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state="hidden" r:id="rId18"/>
    <sheet name="假设开发法" sheetId="12" state="hidden" r:id="rId19"/>
    <sheet name="酒店收入计算" sheetId="58" state="hidden" r:id="rId20"/>
    <sheet name="典型户型修正" sheetId="3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state="hidden" r:id="rId35"/>
    <sheet name="存贷款利率" sheetId="61" state="hidden" r:id="rId36"/>
    <sheet name="收益法" sheetId="15" r:id="rId37"/>
    <sheet name="案例" sheetId="64"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6"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36">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1" l="1"/>
  <c r="C33" i="21" l="1"/>
  <c r="D29" i="43"/>
  <c r="C6" i="21" l="1"/>
  <c r="I5" i="21"/>
  <c r="G5" i="21"/>
  <c r="E5" i="21"/>
  <c r="I27" i="1" l="1"/>
  <c r="L26" i="1"/>
  <c r="K26" i="1"/>
  <c r="K25" i="1"/>
  <c r="I20" i="1"/>
  <c r="K27" i="1" l="1"/>
  <c r="E20" i="1" s="1"/>
  <c r="C37" i="21" s="1"/>
  <c r="D2" i="4"/>
  <c r="G37" i="21" l="1"/>
  <c r="I37" i="21"/>
  <c r="E37" i="21"/>
  <c r="B2" i="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3" i="61"/>
  <c r="D4" i="61"/>
  <c r="F6" i="61"/>
  <c r="F3" i="61"/>
  <c r="F4" i="61"/>
  <c r="D7" i="61"/>
  <c r="E20" i="43" l="1"/>
  <c r="I1" i="61"/>
  <c r="B30" i="1" s="1"/>
  <c r="D5" i="61"/>
  <c r="D6"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X15" i="59" s="1"/>
  <c r="Q14" i="59"/>
  <c r="AB14" i="59" s="1"/>
  <c r="P14" i="59"/>
  <c r="AA14" i="59" s="1"/>
  <c r="O14" i="59"/>
  <c r="Y14" i="59" s="1"/>
  <c r="Z14" i="59" s="1"/>
  <c r="N14" i="59"/>
  <c r="X14" i="59" s="1"/>
  <c r="Q13" i="59"/>
  <c r="AB13" i="59" s="1"/>
  <c r="P13" i="59"/>
  <c r="AA13" i="59" s="1"/>
  <c r="O13" i="59"/>
  <c r="Y13" i="59" s="1"/>
  <c r="Z13" i="59" s="1"/>
  <c r="N13" i="59"/>
  <c r="X13" i="59" s="1"/>
  <c r="F13" i="59"/>
  <c r="F14" i="59" s="1"/>
  <c r="F15" i="59" s="1"/>
  <c r="V15" i="59" s="1"/>
  <c r="Q12" i="59"/>
  <c r="AB12" i="59" s="1"/>
  <c r="P12" i="59"/>
  <c r="O12" i="59"/>
  <c r="N12" i="59"/>
  <c r="D12" i="59"/>
  <c r="Q11" i="59"/>
  <c r="AB11" i="59" s="1"/>
  <c r="P11" i="59"/>
  <c r="O11" i="59"/>
  <c r="Y11" i="59" s="1"/>
  <c r="Z11" i="59" s="1"/>
  <c r="N11" i="59"/>
  <c r="X11" i="59" s="1"/>
  <c r="Q10" i="59"/>
  <c r="AB10" i="59" s="1"/>
  <c r="P10" i="59"/>
  <c r="AA10" i="59" s="1"/>
  <c r="O10" i="59"/>
  <c r="Y10" i="59" s="1"/>
  <c r="Z10" i="59" s="1"/>
  <c r="N10" i="59"/>
  <c r="X10" i="59" s="1"/>
  <c r="Q9" i="59"/>
  <c r="AB9" i="59" s="1"/>
  <c r="P9" i="59"/>
  <c r="AA9" i="59" s="1"/>
  <c r="O9" i="59"/>
  <c r="Y9" i="59" s="1"/>
  <c r="Z9" i="59" s="1"/>
  <c r="N9" i="59"/>
  <c r="X9" i="59" s="1"/>
  <c r="F9" i="59"/>
  <c r="F10" i="59" s="1"/>
  <c r="F11" i="59" s="1"/>
  <c r="V11" i="59" s="1"/>
  <c r="Q8" i="59"/>
  <c r="AB8" i="59" s="1"/>
  <c r="P8" i="59"/>
  <c r="O8" i="59"/>
  <c r="N8" i="59"/>
  <c r="D8" i="59"/>
  <c r="O7" i="59"/>
  <c r="N7" i="59"/>
  <c r="B13" i="59" l="1"/>
  <c r="B14" i="59" s="1"/>
  <c r="B15" i="59" s="1"/>
  <c r="S15" i="59" s="1"/>
  <c r="X12" i="59"/>
  <c r="E13" i="59"/>
  <c r="E14" i="59" s="1"/>
  <c r="E15" i="59" s="1"/>
  <c r="U15" i="59" s="1"/>
  <c r="AA12" i="59"/>
  <c r="B17" i="59"/>
  <c r="B18" i="59" s="1"/>
  <c r="B19" i="59" s="1"/>
  <c r="S19" i="59" s="1"/>
  <c r="X16" i="59"/>
  <c r="E17" i="59"/>
  <c r="E18" i="59" s="1"/>
  <c r="E19" i="59" s="1"/>
  <c r="AA16" i="59"/>
  <c r="P47" i="59"/>
  <c r="U47" i="59"/>
  <c r="B9" i="59"/>
  <c r="B10" i="59" s="1"/>
  <c r="B11" i="59" s="1"/>
  <c r="S11" i="59" s="1"/>
  <c r="X8" i="59"/>
  <c r="E9" i="59"/>
  <c r="E10" i="59" s="1"/>
  <c r="E11" i="59" s="1"/>
  <c r="U11" i="59" s="1"/>
  <c r="AA8" i="59"/>
  <c r="C9" i="59"/>
  <c r="Y8" i="59"/>
  <c r="Z8" i="59" s="1"/>
  <c r="AA11" i="59"/>
  <c r="C13" i="59"/>
  <c r="Y12" i="59"/>
  <c r="Z12" i="59" s="1"/>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H12" i="48"/>
  <c r="H13" i="48"/>
  <c r="H14" i="48"/>
  <c r="H17" i="48"/>
  <c r="H19" i="48"/>
  <c r="H20" i="48"/>
  <c r="H23" i="48"/>
  <c r="H24" i="48"/>
  <c r="D24" i="48"/>
  <c r="D12" i="48"/>
  <c r="D21" i="48"/>
  <c r="B21" i="49"/>
  <c r="B5" i="60" s="1"/>
  <c r="B12" i="49"/>
  <c r="B3" i="60" s="1"/>
  <c r="B2" i="48"/>
  <c r="B23" i="48" s="1"/>
  <c r="D23" i="48" s="1"/>
  <c r="I2" i="43"/>
  <c r="H6" i="44" s="1"/>
  <c r="G2" i="43"/>
  <c r="E30" i="4"/>
  <c r="C7" i="4"/>
  <c r="G3" i="43"/>
  <c r="F22" i="43" s="1"/>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30" i="9"/>
  <c r="C24" i="9" s="1"/>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F36" i="34"/>
  <c r="AA36" i="34" s="1"/>
  <c r="H39" i="33"/>
  <c r="AB39"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B30" i="36"/>
  <c r="AC30" i="35"/>
  <c r="F29" i="35"/>
  <c r="S29" i="35" s="1"/>
  <c r="U34" i="37"/>
  <c r="AB42" i="34"/>
  <c r="H38" i="34"/>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S14" i="33"/>
  <c r="AC32" i="34"/>
  <c r="AC14" i="34"/>
  <c r="J10" i="36"/>
  <c r="AC10" i="36" s="1"/>
  <c r="AB46"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F37" i="47" s="1"/>
  <c r="B35" i="47" s="1"/>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E17" i="43"/>
  <c r="I17" i="43"/>
  <c r="D108" i="9"/>
  <c r="B56" i="60"/>
  <c r="E22" i="43"/>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C109" i="57"/>
  <c r="H103" i="57" s="1"/>
  <c r="T27" i="31"/>
  <c r="S27" i="31"/>
  <c r="B113" i="43"/>
  <c r="I118" i="43" s="1"/>
  <c r="J118" i="43" s="1"/>
  <c r="K118" i="43" s="1"/>
  <c r="L118" i="43" s="1"/>
  <c r="M118" i="43" s="1"/>
  <c r="K101" i="43"/>
  <c r="K109" i="43" s="1"/>
  <c r="G101" i="43"/>
  <c r="G107" i="43" s="1"/>
  <c r="C101" i="43"/>
  <c r="C109" i="43" s="1"/>
  <c r="L101" i="43"/>
  <c r="L107" i="43" s="1"/>
  <c r="H101" i="43"/>
  <c r="H109"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AB31" i="21" s="1"/>
  <c r="F31" i="21"/>
  <c r="AA31" i="21" s="1"/>
  <c r="H39" i="21"/>
  <c r="U39" i="21" s="1"/>
  <c r="F117" i="21"/>
  <c r="G117" i="21"/>
  <c r="S9" i="21"/>
  <c r="AA9" i="2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A121" i="9"/>
  <c r="F101" i="9"/>
  <c r="F33" i="9"/>
  <c r="C25" i="57"/>
  <c r="G103" i="43"/>
  <c r="F59" i="43"/>
  <c r="H63" i="43" s="1"/>
  <c r="G15" i="47"/>
  <c r="W40" i="40"/>
  <c r="U15" i="37"/>
  <c r="AB24" i="36"/>
  <c r="H25" i="34"/>
  <c r="U25" i="34" s="1"/>
  <c r="AB35" i="39"/>
  <c r="AC36" i="37"/>
  <c r="AA12" i="37"/>
  <c r="S34" i="35"/>
  <c r="J17" i="34"/>
  <c r="AC17" i="34" s="1"/>
  <c r="G80" i="34"/>
  <c r="F17" i="34"/>
  <c r="AA17" i="34" s="1"/>
  <c r="H27" i="33"/>
  <c r="AB27" i="33" s="1"/>
  <c r="F43" i="33"/>
  <c r="S43" i="33" s="1"/>
  <c r="J43" i="33"/>
  <c r="AC43" i="33" s="1"/>
  <c r="U31"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10" i="21" l="1"/>
  <c r="W43" i="21"/>
  <c r="AB34" i="21"/>
  <c r="C21" i="39"/>
  <c r="U15" i="21"/>
  <c r="AC33" i="21"/>
  <c r="AC9" i="35"/>
  <c r="W9" i="35"/>
  <c r="AC11" i="34"/>
  <c r="S26" i="37"/>
  <c r="AB24" i="35"/>
  <c r="S27" i="37"/>
  <c r="AC40" i="37"/>
  <c r="AC15" i="21"/>
  <c r="AC37" i="34"/>
  <c r="AB25" i="39"/>
  <c r="U14" i="21"/>
  <c r="AA47" i="34"/>
  <c r="S47" i="34"/>
  <c r="U15" i="34"/>
  <c r="W32" i="35"/>
  <c r="AC34" i="36"/>
  <c r="AC11" i="40"/>
  <c r="AC9" i="21"/>
  <c r="AB12" i="33"/>
  <c r="C25" i="39"/>
  <c r="F26" i="33"/>
  <c r="U39" i="34"/>
  <c r="U32" i="35"/>
  <c r="F26" i="21"/>
  <c r="S26" i="21" s="1"/>
  <c r="J19" i="21"/>
  <c r="W19" i="21" s="1"/>
  <c r="F19" i="21"/>
  <c r="AA19" i="21" s="1"/>
  <c r="I17" i="21"/>
  <c r="E17" i="21"/>
  <c r="G17" i="21"/>
  <c r="F12" i="33"/>
  <c r="F9" i="35"/>
  <c r="J25" i="37"/>
  <c r="AC25" i="37" s="1"/>
  <c r="C30" i="9"/>
  <c r="C25" i="9" s="1"/>
  <c r="G23" i="21"/>
  <c r="I23" i="21"/>
  <c r="E23" i="21"/>
  <c r="G19" i="21"/>
  <c r="I19" i="21"/>
  <c r="E19" i="21"/>
  <c r="G15" i="21"/>
  <c r="I15" i="21"/>
  <c r="E15" i="21"/>
  <c r="D1" i="58"/>
  <c r="E10" i="58" s="1"/>
  <c r="V27" i="31"/>
  <c r="X27" i="31"/>
  <c r="X25" i="31" s="1"/>
  <c r="J100" i="43"/>
  <c r="F100" i="43"/>
  <c r="M100" i="43"/>
  <c r="I100" i="43"/>
  <c r="E100" i="43"/>
  <c r="C30" i="58"/>
  <c r="E26" i="58" s="1"/>
  <c r="D103" i="43"/>
  <c r="H106" i="43"/>
  <c r="K104" i="43"/>
  <c r="C102" i="43"/>
  <c r="F101" i="43"/>
  <c r="F102" i="43" s="1"/>
  <c r="J101" i="43"/>
  <c r="J103" i="43" s="1"/>
  <c r="N101" i="43"/>
  <c r="E101" i="43"/>
  <c r="I101" i="43"/>
  <c r="I102" i="43" s="1"/>
  <c r="M101" i="43"/>
  <c r="M103" i="43" s="1"/>
  <c r="G22" i="43"/>
  <c r="M105" i="43"/>
  <c r="F107" i="43"/>
  <c r="U42" i="21"/>
  <c r="S40" i="21"/>
  <c r="AB37" i="21"/>
  <c r="W29" i="21"/>
  <c r="AB29" i="21"/>
  <c r="AA29" i="21"/>
  <c r="S38" i="21"/>
  <c r="U35" i="21"/>
  <c r="U33" i="21"/>
  <c r="U28" i="21"/>
  <c r="AC27" i="21"/>
  <c r="W25" i="21"/>
  <c r="S23" i="21"/>
  <c r="W17" i="21"/>
  <c r="B74" i="43"/>
  <c r="C27" i="39"/>
  <c r="D10" i="11"/>
  <c r="M4" i="43"/>
  <c r="N5" i="43"/>
  <c r="N3" i="43"/>
  <c r="M9" i="43"/>
  <c r="H14" i="44"/>
  <c r="H16" i="44"/>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19" i="21" l="1"/>
  <c r="S12" i="33"/>
  <c r="AA12" i="33"/>
  <c r="S19" i="21"/>
  <c r="AA9" i="35"/>
  <c r="S9" i="35"/>
  <c r="AA26" i="33"/>
  <c r="S26" i="33"/>
  <c r="N107" i="43"/>
  <c r="N102" i="43"/>
  <c r="E109" i="43"/>
  <c r="E103" i="43"/>
  <c r="G4" i="47"/>
  <c r="F48" i="43"/>
  <c r="F81" i="43"/>
  <c r="F70" i="43"/>
  <c r="G26" i="47"/>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4" i="43"/>
  <c r="H55" i="43"/>
  <c r="H50" i="43"/>
  <c r="H53" i="43"/>
  <c r="H72" i="43"/>
  <c r="H74" i="43"/>
  <c r="H78" i="43"/>
  <c r="H75" i="43"/>
  <c r="H76" i="43"/>
  <c r="H73" i="43"/>
  <c r="H77" i="43"/>
  <c r="H70" i="43"/>
  <c r="H71" i="43"/>
  <c r="H85" i="43"/>
  <c r="H87" i="43"/>
  <c r="M87" i="43" s="1"/>
  <c r="N87" i="43" s="1"/>
  <c r="H83" i="43"/>
  <c r="M83" i="43" s="1"/>
  <c r="N83" i="43" s="1"/>
  <c r="H88" i="43"/>
  <c r="H81" i="43"/>
  <c r="H86" i="43"/>
  <c r="K86" i="43" s="1"/>
  <c r="J86" i="43" s="1"/>
  <c r="D86" i="43" s="1"/>
  <c r="H82" i="43"/>
  <c r="K82" i="43" s="1"/>
  <c r="J82" i="43" s="1"/>
  <c r="D82" i="43" s="1"/>
  <c r="H84" i="43"/>
  <c r="G43" i="35"/>
  <c r="H43" i="35" s="1"/>
  <c r="B23" i="31"/>
  <c r="B2" i="31" s="1"/>
  <c r="C33" i="57" s="1"/>
  <c r="H124" i="57" s="1"/>
  <c r="I103" i="57" s="1"/>
  <c r="I113" i="57" s="1"/>
  <c r="I104" i="57"/>
  <c r="C107" i="57"/>
  <c r="Q59" i="15"/>
  <c r="K54" i="15"/>
  <c r="J54"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L47" i="15"/>
  <c r="C49" i="11"/>
  <c r="C51" i="11" s="1"/>
  <c r="P58" i="57"/>
  <c r="N59" i="57"/>
  <c r="N60" i="57"/>
  <c r="B3" i="12"/>
  <c r="C13" i="15"/>
  <c r="Q47" i="15"/>
  <c r="J19" i="15"/>
  <c r="J17" i="15" s="1"/>
  <c r="C33" i="15"/>
  <c r="C31" i="15" s="1"/>
  <c r="J14" i="15"/>
  <c r="C58" i="15"/>
  <c r="C36" i="15"/>
  <c r="K68" i="39"/>
  <c r="J70" i="39"/>
  <c r="K63" i="40"/>
  <c r="J65" i="40"/>
  <c r="D20" i="57"/>
  <c r="C52" i="11" l="1"/>
  <c r="B3" i="11" s="1"/>
  <c r="N62" i="57"/>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C19" i="57"/>
  <c r="D20" i="9"/>
  <c r="E2" i="11"/>
  <c r="E2" i="35"/>
  <c r="E2" i="36"/>
  <c r="E2" i="21"/>
  <c r="E2" i="37"/>
  <c r="C20" i="57"/>
  <c r="E2" i="33"/>
  <c r="E2" i="34"/>
  <c r="B2" i="36" l="1"/>
  <c r="B3" i="36" s="1"/>
  <c r="B2" i="34"/>
  <c r="B3" i="34" s="1"/>
  <c r="B2" i="35"/>
  <c r="B2" i="37"/>
  <c r="B3" i="37" s="1"/>
  <c r="B2" i="33"/>
  <c r="B3" i="33" s="1"/>
  <c r="B2" i="21"/>
  <c r="B3" i="21" s="1"/>
  <c r="C102" i="57"/>
  <c r="B2" i="11"/>
  <c r="D102" i="9"/>
  <c r="G20" i="57"/>
  <c r="C103" i="57"/>
  <c r="Q65" i="15"/>
  <c r="L58" i="15"/>
  <c r="L61" i="15" s="1"/>
  <c r="O68" i="39"/>
  <c r="O70" i="39" s="1"/>
  <c r="N70" i="39"/>
  <c r="O63" i="40"/>
  <c r="O65" i="40" s="1"/>
  <c r="N65" i="40"/>
  <c r="C19" i="9"/>
  <c r="D19" i="9"/>
  <c r="C20" i="9"/>
  <c r="D19" i="57"/>
  <c r="C102" i="9" l="1"/>
  <c r="G20" i="9"/>
  <c r="D101" i="9"/>
  <c r="Q64" i="15"/>
  <c r="Q73" i="15" s="1"/>
  <c r="Q55" i="15"/>
  <c r="Q60" i="15" s="1"/>
  <c r="D22" i="57"/>
  <c r="D102" i="57"/>
  <c r="G19" i="57"/>
  <c r="C105" i="57" s="1"/>
  <c r="C101" i="9"/>
  <c r="D22" i="9"/>
  <c r="G19" i="9"/>
  <c r="H7" i="40"/>
  <c r="F7" i="40"/>
  <c r="J7" i="40"/>
  <c r="H7" i="39"/>
  <c r="F7" i="39"/>
  <c r="J7" i="39"/>
  <c r="C32" i="9" l="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F121" i="9" s="1"/>
  <c r="F122" i="9" s="1"/>
  <c r="F5" i="52" s="1"/>
  <c r="B42" i="60" s="1"/>
  <c r="E121" i="9"/>
  <c r="E4" i="52" s="1"/>
  <c r="B38" i="60" s="1"/>
  <c r="I121" i="9"/>
  <c r="D107" i="9" s="1"/>
  <c r="D8" i="62" l="1"/>
  <c r="C8" i="62"/>
  <c r="G4" i="52"/>
  <c r="B41" i="60" s="1"/>
  <c r="H121" i="9"/>
  <c r="D121" i="9"/>
  <c r="F4" i="52"/>
  <c r="B40" i="60" s="1"/>
  <c r="I4" i="52"/>
  <c r="I103" i="9"/>
  <c r="C104" i="9"/>
  <c r="D4" i="52" l="1"/>
  <c r="B37" i="60" s="1"/>
  <c r="D122" i="9"/>
  <c r="D5" i="52" s="1"/>
  <c r="B39" i="60" s="1"/>
  <c r="D30" i="50"/>
  <c r="D9" i="50"/>
  <c r="B21" i="60" s="1"/>
  <c r="H4" i="52"/>
  <c r="C103" i="9"/>
  <c r="D14" i="62"/>
  <c r="H122" i="9"/>
  <c r="H5" i="52" s="1"/>
  <c r="D106" i="9"/>
  <c r="D112" i="9" s="1"/>
  <c r="I102" i="9"/>
  <c r="D113" i="9" l="1"/>
  <c r="D117" i="9"/>
  <c r="D7" i="50"/>
  <c r="D28" i="50"/>
  <c r="D29" i="50" s="1"/>
  <c r="M48" i="9"/>
  <c r="D45" i="9"/>
  <c r="I110" i="9"/>
  <c r="F14" i="62"/>
  <c r="B5" i="62"/>
  <c r="E14" i="62"/>
  <c r="D52" i="9" l="1"/>
  <c r="D55" i="9"/>
  <c r="M53" i="9" s="1"/>
  <c r="C93" i="9"/>
  <c r="C86" i="9" s="1"/>
  <c r="C78" i="9"/>
  <c r="C73" i="9" s="1"/>
  <c r="C64" i="9"/>
  <c r="C63" i="9" s="1"/>
  <c r="C67" i="9" s="1"/>
  <c r="C68" i="9" s="1"/>
  <c r="D54" i="9" s="1"/>
  <c r="D59" i="9"/>
  <c r="M55" i="9" s="1"/>
  <c r="C72" i="9"/>
  <c r="D53" i="9"/>
  <c r="D48" i="9" s="1"/>
  <c r="M52" i="9" s="1"/>
  <c r="C85" i="9"/>
  <c r="C95" i="9" s="1"/>
  <c r="D44" i="50"/>
  <c r="I115" i="9"/>
  <c r="D23" i="50" s="1"/>
  <c r="B34" i="60" s="1"/>
  <c r="C5" i="62"/>
  <c r="D5" i="62"/>
  <c r="D15" i="50"/>
  <c r="D36" i="50"/>
  <c r="D37" i="50" s="1"/>
  <c r="D125" i="9"/>
  <c r="B19" i="60"/>
  <c r="D8" i="50"/>
  <c r="B22" i="60" s="1"/>
  <c r="D38" i="50"/>
  <c r="B62" i="60" s="1"/>
  <c r="I111" i="9"/>
  <c r="C79" i="9" l="1"/>
  <c r="D17" i="50"/>
  <c r="D126" i="9"/>
  <c r="D9" i="52" s="1"/>
  <c r="D8" i="52"/>
  <c r="G14" i="62"/>
  <c r="B6" i="62" s="1"/>
  <c r="B29" i="60"/>
  <c r="D16" i="50"/>
  <c r="B30" i="60" s="1"/>
  <c r="C96" i="9"/>
  <c r="E96" i="9" s="1"/>
  <c r="E97" i="9" s="1"/>
  <c r="C97" i="9" l="1"/>
  <c r="D58" i="9" s="1"/>
  <c r="D56" i="9" s="1"/>
  <c r="M54" i="9" s="1"/>
  <c r="N57" i="9" s="1"/>
  <c r="N59" i="9" s="1"/>
  <c r="C80" i="9"/>
  <c r="E80" i="9" s="1"/>
  <c r="E81" i="9" s="1"/>
  <c r="C6" i="62"/>
  <c r="D6" i="62"/>
  <c r="N58" i="9" l="1"/>
  <c r="P57" i="9"/>
  <c r="C81"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<sst xmlns="http://schemas.openxmlformats.org/spreadsheetml/2006/main" count="6885" uniqueCount="3009">
  <si>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</si>
  <si>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</si>
  <si>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</si>
  <si>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</si>
  <si>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</si>
  <si>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</si>
  <si>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</si>
  <si>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</si>
  <si>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</si>
  <si>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</si>
  <si>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</si>
  <si>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</si>
  <si>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</si>
  <si>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</si>
  <si>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</si>
  <si>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</si>
  <si>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</si>
  <si>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</si>
  <si>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</si>
  <si>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</si>
  <si>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</si>
  <si>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</si>
  <si>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</si>
  <si>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</si>
  <si>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</si>
  <si>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</si>
  <si>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</si>
  <si>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</si>
  <si>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</si>
  <si>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</si>
  <si>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</si>
  <si>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</si>
  <si>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</si>
  <si>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</si>
  <si>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</si>
  <si>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</si>
  <si>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</si>
  <si>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</si>
  <si>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</si>
  <si>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</si>
  <si>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</si>
  <si>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</si>
  <si>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</si>
  <si>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</si>
  <si>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</si>
  <si>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</si>
  <si>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</si>
  <si>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</si>
  <si>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</si>
  <si>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</si>
  <si>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</si>
  <si>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</si>
  <si>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</si>
  <si>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</si>
  <si>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</si>
  <si>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</si>
  <si>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</si>
  <si>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</si>
  <si>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</si>
  <si>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</si>
  <si>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</si>
  <si>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</si>
  <si>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</si>
  <si>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</si>
  <si>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</si>
  <si>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</si>
  <si>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</si>
  <si>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</si>
  <si>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</si>
  <si>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</si>
  <si>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</si>
  <si>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</si>
  <si>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</si>
  <si>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</si>
  <si>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</si>
  <si>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</si>
  <si>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</si>
  <si>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</si>
  <si>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</si>
  <si>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</si>
  <si>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</si>
  <si>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</si>
  <si>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</si>
  <si>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</si>
  <si>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</si>
  <si>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</si>
  <si>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</si>
  <si>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</si>
  <si>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</si>
  <si>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</si>
  <si>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</si>
  <si>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</si>
  <si>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</si>
  <si>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</si>
  <si>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</si>
  <si>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</si>
  <si>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</si>
  <si>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</si>
  <si>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</si>
  <si>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</si>
  <si>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</si>
  <si>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</si>
  <si>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</si>
  <si>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</si>
  <si>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</si>
  <si>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</si>
  <si>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</si>
  <si>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</si>
  <si>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</si>
  <si>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</si>
  <si>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</si>
  <si>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</si>
  <si>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</si>
  <si>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</si>
  <si>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</si>
  <si>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</si>
  <si>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</si>
  <si>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</si>
  <si>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</si>
  <si>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</si>
  <si>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</si>
  <si>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</si>
  <si>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</si>
  <si>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</si>
  <si>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</si>
  <si>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</si>
  <si>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</si>
  <si>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</si>
  <si>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</si>
  <si>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</si>
  <si>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</si>
  <si>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</si>
  <si>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</si>
  <si>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</si>
  <si>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</si>
  <si>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</si>
  <si>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</si>
  <si>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</si>
  <si>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</si>
  <si>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</si>
  <si>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</si>
  <si>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</si>
  <si>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</si>
  <si>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</si>
  <si>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</si>
  <si>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</si>
  <si>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</si>
  <si>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</si>
  <si>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</si>
  <si>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</si>
  <si>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</si>
  <si>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</si>
  <si>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</si>
  <si>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</si>
  <si>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</si>
  <si>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</si>
  <si>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</si>
  <si>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</si>
  <si>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</si>
  <si>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</si>
  <si>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</si>
  <si>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</si>
  <si>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</si>
  <si>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</si>
  <si>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</si>
  <si>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</si>
  <si>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</si>
  <si>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</si>
  <si>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</si>
  <si>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</si>
  <si>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</si>
  <si>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</si>
  <si>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</si>
  <si>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</si>
  <si>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</si>
  <si>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</si>
  <si>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</si>
  <si>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</si>
  <si>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</si>
  <si>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</si>
  <si>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</si>
  <si>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</si>
  <si>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</si>
  <si>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</si>
  <si>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</si>
  <si>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</si>
  <si>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</si>
  <si>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</si>
  <si>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</si>
  <si>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</si>
  <si>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</si>
  <si>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</si>
  <si>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</si>
  <si>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</si>
  <si>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</si>
  <si>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</si>
  <si>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</si>
  <si>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</si>
  <si>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</si>
  <si>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</si>
  <si>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</si>
  <si>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</si>
  <si>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</si>
  <si>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</si>
  <si>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</si>
  <si>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</si>
  <si>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</si>
  <si>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</si>
  <si>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</si>
  <si>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</si>
  <si>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</si>
  <si>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</si>
  <si>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</si>
  <si>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</si>
  <si>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</si>
  <si>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</si>
  <si>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</si>
  <si>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</si>
  <si>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</si>
  <si>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</si>
  <si>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</si>
  <si>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</si>
  <si>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</si>
  <si>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</si>
  <si>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</si>
  <si>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</si>
  <si>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</si>
  <si>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</si>
  <si>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</si>
  <si>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</si>
  <si>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</si>
  <si>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</si>
  <si>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</si>
  <si>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</si>
  <si>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</si>
  <si>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</si>
  <si>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</si>
  <si>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</si>
  <si>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</si>
  <si>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</si>
  <si>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</si>
  <si>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</si>
  <si>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</si>
  <si>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</si>
  <si>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</si>
  <si>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</si>
  <si>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</si>
  <si>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</si>
  <si>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</si>
  <si>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</si>
  <si>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</si>
  <si>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</si>
  <si>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</si>
  <si>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</si>
  <si>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</si>
  <si>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</si>
  <si>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</si>
  <si>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</si>
  <si>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</si>
  <si>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</si>
  <si>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</si>
  <si>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</si>
  <si>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</si>
  <si>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</si>
  <si>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</si>
  <si>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</si>
  <si>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</si>
  <si>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</si>
  <si>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</si>
  <si>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</si>
  <si>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</si>
  <si>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</si>
  <si>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</si>
  <si>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</si>
  <si>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</si>
  <si>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</si>
  <si>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</si>
  <si>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</si>
  <si>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</si>
  <si>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</si>
  <si>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</si>
  <si>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</si>
  <si>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</si>
  <si>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</si>
  <si>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</si>
  <si>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</si>
  <si>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</si>
  <si>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</si>
  <si>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</si>
  <si>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</si>
  <si>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</si>
  <si>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</si>
  <si>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</si>
  <si>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</si>
  <si>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</si>
  <si>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</si>
  <si>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</si>
  <si>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</si>
  <si>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</si>
  <si>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</si>
  <si>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</si>
  <si>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</si>
  <si>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</si>
  <si>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</si>
  <si>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</si>
  <si>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</si>
  <si>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</si>
  <si>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</si>
  <si>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</si>
  <si>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</si>
  <si>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</si>
  <si>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</si>
  <si>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</si>
  <si>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</si>
  <si>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</si>
  <si>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</si>
  <si>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</si>
  <si>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</si>
  <si>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</si>
  <si>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</si>
  <si>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</si>
  <si>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</si>
  <si>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</si>
  <si>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</si>
  <si>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</si>
  <si>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</si>
  <si>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</si>
  <si>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</si>
  <si>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</si>
  <si>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</si>
  <si>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</si>
  <si>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</si>
  <si>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</si>
  <si>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</si>
  <si>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</si>
  <si>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</si>
  <si>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</si>
  <si>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</si>
  <si>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</si>
  <si>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</si>
  <si>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</si>
  <si>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</si>
  <si>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</si>
  <si>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</si>
  <si>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</si>
  <si>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</si>
  <si>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</si>
  <si>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</si>
  <si>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</si>
  <si>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</si>
  <si>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</si>
  <si>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</si>
  <si>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</si>
  <si>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</si>
  <si>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</si>
  <si>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</si>
  <si>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</si>
  <si>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</si>
  <si>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</si>
  <si>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</si>
  <si>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</si>
  <si>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</si>
  <si>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</si>
  <si>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</si>
  <si>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</si>
  <si>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</si>
  <si>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</si>
  <si>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</si>
  <si>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</si>
  <si>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</si>
  <si>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</si>
  <si>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</si>
  <si>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</si>
  <si>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</si>
  <si>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</si>
  <si>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</si>
  <si>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</si>
  <si>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</si>
  <si>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</si>
  <si>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</si>
  <si>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</si>
  <si>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</si>
  <si>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</si>
  <si>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</si>
  <si>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</si>
  <si>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</si>
  <si>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</si>
  <si>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</si>
  <si>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</si>
  <si>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</si>
  <si>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</si>
  <si>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</si>
  <si>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</si>
  <si>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</si>
  <si>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</si>
  <si>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</si>
  <si>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</si>
  <si>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</si>
  <si>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</si>
  <si>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</si>
  <si>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</si>
  <si>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</si>
  <si>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</si>
  <si>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</si>
  <si>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</si>
  <si>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</si>
  <si>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</si>
  <si>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</si>
  <si>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</si>
  <si>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</si>
  <si>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</si>
  <si>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</si>
  <si>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</si>
  <si>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</si>
  <si>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</si>
  <si>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</si>
  <si>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</si>
  <si>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</si>
  <si>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</si>
  <si>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</si>
  <si>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</si>
  <si>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</si>
  <si>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</si>
  <si>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</si>
  <si>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</si>
  <si>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</si>
  <si>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</si>
  <si>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</si>
  <si>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</si>
  <si>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</si>
  <si>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</si>
  <si>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</si>
  <si>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</si>
  <si>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</si>
  <si>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</si>
  <si>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</si>
  <si>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</si>
  <si>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</si>
  <si>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</si>
  <si>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</si>
  <si>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</si>
  <si>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</si>
  <si>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</si>
  <si>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</si>
  <si>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</si>
  <si>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</si>
  <si>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</si>
  <si>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</si>
  <si>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</si>
  <si>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</si>
  <si>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</si>
  <si>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</si>
  <si>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</si>
  <si>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</si>
  <si>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</si>
  <si>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</si>
  <si>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</si>
  <si>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</si>
  <si>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</si>
  <si>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</si>
  <si>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</si>
  <si>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</si>
  <si>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</si>
  <si>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</si>
  <si>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</si>
  <si>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</si>
  <si>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</si>
  <si>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</si>
  <si>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</si>
  <si>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</si>
  <si>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</si>
  <si>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</si>
  <si>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</si>
  <si>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</si>
  <si>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</si>
  <si>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</si>
  <si>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</si>
  <si>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</si>
  <si>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</si>
  <si>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</si>
  <si>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</si>
  <si>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</si>
  <si>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</si>
  <si>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</si>
  <si>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</si>
  <si>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</si>
  <si>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</si>
  <si>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</si>
  <si>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</si>
  <si>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</si>
  <si>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</si>
  <si>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</si>
  <si>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</si>
  <si>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</si>
  <si>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</si>
  <si>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</si>
  <si>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</si>
  <si>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</si>
  <si>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</si>
  <si>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</si>
  <si>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</si>
  <si>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</si>
  <si>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</si>
  <si>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</si>
  <si>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</si>
  <si>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</si>
  <si>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</si>
  <si>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</si>
  <si>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</si>
  <si>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</si>
  <si>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</si>
  <si>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</si>
  <si>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</si>
  <si>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</si>
  <si>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</si>
  <si>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</si>
  <si>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</si>
  <si>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</si>
  <si>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</si>
  <si>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</si>
  <si>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</si>
  <si>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</si>
  <si>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</si>
  <si>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</si>
  <si>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</si>
  <si>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</si>
  <si>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</si>
  <si>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</si>
  <si>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</si>
  <si>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</si>
  <si>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</si>
  <si>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</si>
  <si>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</si>
  <si>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</si>
  <si>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</si>
  <si>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</si>
  <si>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</si>
  <si>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</si>
  <si>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</si>
  <si>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</si>
  <si>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</si>
  <si>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</si>
  <si>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</si>
  <si>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</si>
  <si>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</si>
  <si>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</si>
  <si>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</si>
  <si>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</si>
  <si>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</si>
  <si>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</si>
  <si>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</si>
  <si>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</si>
  <si>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</si>
  <si>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</si>
  <si>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</si>
  <si>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</si>
  <si>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</si>
  <si>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</si>
  <si>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</si>
  <si>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</si>
  <si>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</si>
  <si>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</si>
  <si>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</si>
  <si>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</si>
  <si>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</si>
  <si>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</si>
  <si>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</si>
  <si>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</si>
  <si>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</si>
  <si>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</si>
  <si>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</si>
  <si>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</si>
  <si>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</si>
  <si>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</si>
  <si>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</si>
  <si>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</si>
  <si>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</si>
  <si>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</si>
  <si>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</si>
  <si>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</si>
  <si>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</si>
  <si>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</si>
  <si>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</si>
  <si>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</si>
  <si>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</si>
  <si>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</si>
  <si>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</si>
  <si>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</si>
  <si>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</si>
  <si>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</si>
  <si>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</si>
  <si>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</si>
  <si>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</si>
  <si>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</si>
  <si>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</si>
  <si>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</si>
  <si>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</si>
  <si>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</si>
  <si>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</si>
  <si>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</si>
  <si>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</si>
  <si>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</si>
  <si>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</si>
  <si>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</si>
  <si>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</si>
  <si>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</si>
  <si>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</si>
  <si>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</si>
  <si>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</si>
  <si>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</si>
  <si>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</si>
  <si>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</si>
  <si>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</si>
  <si>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</si>
  <si>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</si>
  <si>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</si>
  <si>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</si>
  <si>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</si>
  <si>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</si>
  <si>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</si>
  <si>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</si>
  <si>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</si>
  <si>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</si>
  <si>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</si>
  <si>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</si>
  <si>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</si>
  <si>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</si>
  <si>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</si>
  <si>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</si>
  <si>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</si>
  <si>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</si>
  <si>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</si>
  <si>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</si>
  <si>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</si>
  <si>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</si>
  <si>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</si>
  <si>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</si>
  <si>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</si>
  <si>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</si>
  <si>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</si>
  <si>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</si>
  <si>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</si>
  <si>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</si>
  <si>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</si>
  <si>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</si>
  <si>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</si>
  <si>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</si>
  <si>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</si>
  <si>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</si>
  <si>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</si>
  <si>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</si>
  <si>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</si>
  <si>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</si>
  <si>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</si>
  <si>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</si>
  <si>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</si>
  <si>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</si>
  <si>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</si>
  <si>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</si>
  <si>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</si>
  <si>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</si>
  <si>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</si>
  <si>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</si>
  <si>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</si>
  <si>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</si>
  <si>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</si>
  <si>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</si>
  <si>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</si>
  <si>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</si>
  <si>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</si>
  <si>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</si>
  <si>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</si>
  <si>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</si>
  <si>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</si>
  <si>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</si>
  <si>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</si>
  <si>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</si>
  <si>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</si>
  <si>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</si>
  <si>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</si>
  <si>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</si>
  <si>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</si>
  <si>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</si>
  <si>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</si>
  <si>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</si>
  <si>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</si>
  <si>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</si>
  <si>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</si>
  <si>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</si>
  <si>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</si>
  <si>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</si>
  <si>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</si>
  <si>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</si>
  <si>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</si>
  <si>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</si>
  <si>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</si>
  <si>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</si>
  <si>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</si>
  <si>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</si>
  <si>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</si>
  <si>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</si>
  <si>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</si>
  <si>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</si>
  <si>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</si>
  <si>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</si>
  <si>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</si>
  <si>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</si>
  <si>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</si>
  <si>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</si>
  <si>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</si>
  <si>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</si>
  <si>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</si>
  <si>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</si>
  <si>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</si>
  <si>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</si>
  <si>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</si>
  <si>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</si>
  <si>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</si>
  <si>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</si>
  <si>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</si>
  <si>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</si>
  <si>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</si>
  <si>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</si>
  <si>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</si>
  <si>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</si>
  <si>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</si>
  <si>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</si>
  <si>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</si>
  <si>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</si>
  <si>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</si>
  <si>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</si>
  <si>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</si>
  <si>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</si>
  <si>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</si>
  <si>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</si>
  <si>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</si>
  <si>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</si>
  <si>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</si>
  <si>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</si>
  <si>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</si>
  <si>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</si>
  <si>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</si>
  <si>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</si>
  <si>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</si>
  <si>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</si>
  <si>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</si>
  <si>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</si>
  <si>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</si>
  <si>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</si>
  <si>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</si>
  <si>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</si>
  <si>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</si>
  <si>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</si>
  <si>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</si>
  <si>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</si>
  <si>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</si>
  <si>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</si>
  <si>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</si>
  <si>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</si>
  <si>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</si>
  <si>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</si>
  <si>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</si>
  <si>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</si>
  <si>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</si>
  <si>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</si>
  <si>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</si>
  <si>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</si>
  <si>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</si>
  <si>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</si>
  <si>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</si>
  <si>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</si>
  <si>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</si>
  <si>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</si>
  <si>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</si>
  <si>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</si>
  <si>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</si>
  <si>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</si>
  <si>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</si>
  <si>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</si>
  <si>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</si>
  <si>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</si>
  <si>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</si>
  <si>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</si>
  <si>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</si>
  <si>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</si>
  <si>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</si>
  <si>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</si>
  <si>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</si>
  <si>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</si>
  <si>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</si>
  <si>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</si>
  <si>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</si>
  <si>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</si>
  <si>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</si>
  <si>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</si>
  <si>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</si>
  <si>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</si>
  <si>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</si>
  <si>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</si>
  <si>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</si>
  <si>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</si>
  <si>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</si>
  <si>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</si>
  <si>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</si>
  <si>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</si>
  <si>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</si>
  <si>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</si>
  <si>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</si>
  <si>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</si>
  <si>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</si>
  <si>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</si>
  <si>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</si>
  <si>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</si>
  <si>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</si>
  <si>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</si>
  <si>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</si>
  <si>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</si>
  <si>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</si>
  <si>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</si>
  <si>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</si>
  <si>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</si>
  <si>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</si>
  <si>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</si>
  <si>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</si>
  <si>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</si>
  <si>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</si>
  <si>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</si>
  <si>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</si>
  <si>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</si>
  <si>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</si>
  <si>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</si>
  <si>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</si>
  <si>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</si>
  <si>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</si>
  <si>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</si>
  <si>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</si>
  <si>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</si>
  <si>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</si>
  <si>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</si>
  <si>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</si>
  <si>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</si>
  <si>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</si>
  <si>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</si>
  <si>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</si>
  <si>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</si>
  <si>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</si>
  <si>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</si>
  <si>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</si>
  <si>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</si>
  <si>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</si>
  <si>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</si>
  <si>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</si>
  <si>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</si>
  <si>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</si>
  <si>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</si>
  <si>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</si>
  <si>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</si>
  <si>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</si>
  <si>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</si>
  <si>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</si>
  <si>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</si>
  <si>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</si>
  <si>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</si>
  <si>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</si>
  <si>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</si>
  <si>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</si>
  <si>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</si>
  <si>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</si>
  <si>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</si>
  <si>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</si>
  <si>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</si>
  <si>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</si>
  <si>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</si>
  <si>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</si>
  <si>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</si>
  <si>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</si>
  <si>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</si>
  <si>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</si>
  <si>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</si>
  <si>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</si>
  <si>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</si>
  <si>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</si>
  <si>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</si>
  <si>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</si>
  <si>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</si>
  <si>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</si>
  <si>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</si>
  <si>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</si>
  <si>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</si>
  <si>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</si>
  <si>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</si>
  <si>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</si>
  <si>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</si>
  <si>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</si>
  <si>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</si>
  <si>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</si>
  <si>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</si>
  <si>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</si>
  <si>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</si>
  <si>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</si>
  <si>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</si>
  <si>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</si>
  <si>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</si>
  <si>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</si>
  <si>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</si>
  <si>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</si>
  <si>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</si>
  <si>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</si>
  <si>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</si>
  <si>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</si>
  <si>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</si>
  <si>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</si>
  <si>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</si>
  <si>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</si>
  <si>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</si>
  <si>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</si>
  <si>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</si>
  <si>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</si>
  <si>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</si>
  <si>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</si>
  <si>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</si>
  <si>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</si>
  <si>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</si>
  <si>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</si>
  <si>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</si>
  <si>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</si>
  <si>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</si>
  <si>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</si>
  <si>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</si>
  <si>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</si>
  <si>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</si>
  <si>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</si>
  <si>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</si>
  <si>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</si>
  <si>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</si>
  <si>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</si>
  <si>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</si>
  <si>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</si>
  <si>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</si>
  <si>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</si>
  <si>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</si>
  <si>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</si>
  <si>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</si>
  <si>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</si>
  <si>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</si>
  <si>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</si>
  <si>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</si>
  <si>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</si>
  <si>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</si>
  <si>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</si>
  <si>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</si>
  <si>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</si>
  <si>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</si>
  <si>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</si>
  <si>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</si>
  <si>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</si>
  <si>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</si>
  <si>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</si>
  <si>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</si>
  <si>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</si>
  <si>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</si>
  <si>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</si>
  <si>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</si>
  <si>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</si>
  <si>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</si>
  <si>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</si>
  <si>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</si>
  <si>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</si>
  <si>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</si>
  <si>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</si>
  <si>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</si>
  <si>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</si>
  <si>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</si>
  <si>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</si>
  <si>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</si>
  <si>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</si>
  <si>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</si>
  <si>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</si>
  <si>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</si>
  <si>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</si>
  <si>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</si>
  <si>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</si>
  <si>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</si>
  <si>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</si>
  <si>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</si>
  <si>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</si>
  <si>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</si>
  <si>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</si>
  <si>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</si>
  <si>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</si>
  <si>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</si>
  <si>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</si>
  <si>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</si>
  <si>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</si>
  <si>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</si>
  <si>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</si>
  <si>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</si>
  <si>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</si>
  <si>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</si>
  <si>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</si>
  <si>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</si>
  <si>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</si>
  <si>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</si>
  <si>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</si>
  <si>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</si>
  <si>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</si>
  <si>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</si>
  <si>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</si>
  <si>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</si>
  <si>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</si>
  <si>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</si>
  <si>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</si>
  <si>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</si>
  <si>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</si>
  <si>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</si>
  <si>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</si>
  <si>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</si>
  <si>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</si>
  <si>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</si>
  <si>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</si>
  <si>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</si>
  <si>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</si>
  <si>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</si>
  <si>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</si>
  <si>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</si>
  <si>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</si>
  <si>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</si>
  <si>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</si>
  <si>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</si>
  <si>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</si>
  <si>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</si>
  <si>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</si>
  <si>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</si>
  <si>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</si>
  <si>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</si>
  <si>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</si>
  <si>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</si>
  <si>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</si>
  <si>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</si>
  <si>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</si>
  <si>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</si>
  <si>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</si>
  <si>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</si>
  <si>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</si>
  <si>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</si>
  <si>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</si>
  <si>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</si>
  <si>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</si>
  <si>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</si>
  <si>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</si>
  <si>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</si>
  <si>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</si>
  <si>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</si>
  <si>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</si>
  <si>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</si>
  <si>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</si>
  <si>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</si>
  <si>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</si>
  <si>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</si>
  <si>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</si>
  <si>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</si>
  <si>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</si>
  <si>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</si>
  <si>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</si>
  <si>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</si>
  <si>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</si>
  <si>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</si>
  <si>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</si>
  <si>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</si>
  <si>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</si>
  <si>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</si>
  <si>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</si>
  <si>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</si>
  <si>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</si>
  <si>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</si>
  <si>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</si>
  <si>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</si>
  <si>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</si>
  <si>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</si>
  <si>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</si>
  <si>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</si>
  <si>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</si>
  <si>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</si>
  <si>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</si>
  <si>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</si>
  <si>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</si>
  <si>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</si>
  <si>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</si>
  <si>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</si>
  <si>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</si>
  <si>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</si>
  <si>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</si>
  <si>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</si>
  <si>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</si>
  <si>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</si>
  <si>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</si>
  <si>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</si>
  <si>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</si>
  <si>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</si>
  <si>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</si>
  <si>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</si>
  <si>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</si>
  <si>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</si>
  <si>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</si>
  <si>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</si>
  <si>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</si>
  <si>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</si>
  <si>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</si>
  <si>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</si>
  <si>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</si>
  <si>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</si>
  <si>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</si>
  <si>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</si>
  <si>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</si>
  <si>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</si>
  <si>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</si>
  <si>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</si>
  <si>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</si>
  <si>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</si>
  <si>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</si>
  <si>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</si>
  <si>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</si>
  <si>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</si>
  <si>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</si>
  <si>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</si>
  <si>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</si>
  <si>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</si>
  <si>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</si>
  <si>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</si>
  <si>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</si>
  <si>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</si>
  <si>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</si>
  <si>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</si>
  <si>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</si>
  <si>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</si>
  <si>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</si>
  <si>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</si>
  <si>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</si>
  <si>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</si>
  <si>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</si>
  <si>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</si>
  <si>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</si>
  <si>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</si>
  <si>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</si>
  <si>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</si>
  <si>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</si>
  <si>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</si>
  <si>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</si>
  <si>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</si>
  <si>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</si>
  <si>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</si>
  <si>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</si>
  <si>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</si>
  <si>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</si>
  <si>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</si>
  <si>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</si>
  <si>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</si>
  <si>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</si>
  <si>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</si>
  <si>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</si>
  <si>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</si>
  <si>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</si>
  <si>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</si>
  <si>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</si>
  <si>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</si>
  <si>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</si>
  <si>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</si>
  <si>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</si>
  <si>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</si>
  <si>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</si>
  <si>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</si>
  <si>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</si>
  <si>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</si>
  <si>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</si>
  <si>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</si>
  <si>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</si>
  <si>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</si>
  <si>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</si>
  <si>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</si>
  <si>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</si>
  <si>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</si>
  <si>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</si>
  <si>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</si>
  <si>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</si>
  <si>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</si>
  <si>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</si>
  <si>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</si>
  <si>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</si>
  <si>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</si>
  <si>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</si>
  <si>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</si>
  <si>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</si>
  <si>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</si>
  <si>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</si>
  <si>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</si>
  <si>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</si>
  <si>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</si>
  <si>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</si>
  <si>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</si>
  <si>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</si>
  <si>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</si>
  <si>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</si>
  <si>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</si>
  <si>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</si>
  <si>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</si>
  <si>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</si>
  <si>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</si>
  <si>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</si>
  <si>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</si>
  <si>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</si>
  <si>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</si>
  <si>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</si>
  <si>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</si>
  <si>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</si>
  <si>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</si>
  <si>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</si>
  <si>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</si>
  <si>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</si>
  <si>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</si>
  <si>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</si>
  <si>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</si>
  <si>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</si>
  <si>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</si>
  <si>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</si>
  <si>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</si>
  <si>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</si>
  <si>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</si>
  <si>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</si>
  <si>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</si>
  <si>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</si>
  <si>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</si>
  <si>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</si>
  <si>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</si>
  <si>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</si>
  <si>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</si>
  <si>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</si>
  <si>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</si>
  <si>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</si>
  <si>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</si>
  <si>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</si>
  <si>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</si>
  <si>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</si>
  <si>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</si>
  <si>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</si>
  <si>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</si>
  <si>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</si>
  <si>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</si>
  <si>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</si>
  <si>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</si>
  <si>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</si>
  <si>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</si>
  <si>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</si>
  <si>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</si>
  <si>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</si>
  <si>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</si>
  <si>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</si>
  <si>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</si>
  <si>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</si>
  <si>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</si>
  <si>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</si>
  <si>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</si>
  <si>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</si>
  <si>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</si>
  <si>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</si>
  <si>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</si>
  <si>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</si>
  <si>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</si>
  <si>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</si>
  <si>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</si>
  <si>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</si>
  <si>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</si>
  <si>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</si>
  <si>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</si>
  <si>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</si>
  <si>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</si>
  <si>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</si>
  <si>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</si>
  <si>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</si>
  <si>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</si>
  <si>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</si>
  <si>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</si>
  <si>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</si>
  <si>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</si>
  <si>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</si>
  <si>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</si>
  <si>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</si>
  <si>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</si>
  <si>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</si>
  <si>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</si>
  <si>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</si>
  <si>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</si>
  <si>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</si>
  <si>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</si>
  <si>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</si>
  <si>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</si>
  <si>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</si>
  <si>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</si>
  <si>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</si>
  <si>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</si>
  <si>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</si>
  <si>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</si>
  <si>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</si>
  <si>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</si>
  <si>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</si>
  <si>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</si>
  <si>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</si>
  <si>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</si>
  <si>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</si>
  <si>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</si>
  <si>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</si>
  <si>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</si>
  <si>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</si>
  <si>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</si>
  <si>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</si>
  <si>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</si>
  <si>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</si>
  <si>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</si>
  <si>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</si>
  <si>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</si>
  <si>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</si>
  <si>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</si>
  <si>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</si>
  <si>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</si>
  <si>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</si>
  <si>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</si>
  <si>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</si>
  <si>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</si>
  <si>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</si>
  <si>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</si>
  <si>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</si>
  <si>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</si>
  <si>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</si>
  <si>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</si>
  <si>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</si>
  <si>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</si>
  <si>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</si>
  <si>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</si>
  <si>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</si>
  <si>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</si>
  <si>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</si>
  <si>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</si>
  <si>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</si>
  <si>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</si>
  <si>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</si>
  <si>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</si>
  <si>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</si>
  <si>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</si>
  <si>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</si>
  <si>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</si>
  <si>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</si>
  <si>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</si>
  <si>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</si>
  <si>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</si>
  <si>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</si>
  <si>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</si>
  <si>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</si>
  <si>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</si>
  <si>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</si>
  <si>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</si>
  <si>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</si>
  <si>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</si>
  <si>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</si>
  <si>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</si>
  <si>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</si>
  <si>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</si>
  <si>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</si>
  <si>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</si>
  <si>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</si>
  <si>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</si>
  <si>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</si>
  <si>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</si>
  <si>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</si>
  <si>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</si>
  <si>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</si>
  <si>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</si>
  <si>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</si>
  <si>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</si>
  <si>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</si>
  <si>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</si>
  <si>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</si>
  <si>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</si>
  <si>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</si>
  <si>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</si>
  <si>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</si>
  <si>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</si>
  <si>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</si>
  <si>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</si>
  <si>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</si>
  <si>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</si>
  <si>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</si>
  <si>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</si>
  <si>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</si>
  <si>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</si>
  <si>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</si>
  <si>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</si>
  <si>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</si>
  <si>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</si>
  <si>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</si>
  <si>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</si>
  <si>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</si>
  <si>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</si>
  <si>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</si>
  <si>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</si>
  <si>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</si>
  <si>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</si>
  <si>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</si>
  <si>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</si>
  <si>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</si>
  <si>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</si>
  <si>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</si>
  <si>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</si>
  <si>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</si>
  <si>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</si>
  <si>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</si>
  <si>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</si>
  <si>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</si>
  <si>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</si>
  <si>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</si>
  <si>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</si>
  <si>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</si>
  <si>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</si>
  <si>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</si>
  <si>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</si>
  <si>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</si>
  <si>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</si>
  <si>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</si>
  <si>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</si>
  <si>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</si>
  <si>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</si>
  <si>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</si>
  <si>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</si>
  <si>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</si>
  <si>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</si>
  <si>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</si>
  <si>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</si>
  <si>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</si>
  <si>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</si>
  <si>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</si>
  <si>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</si>
  <si>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</si>
  <si>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</si>
  <si>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</si>
  <si>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</si>
  <si>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</si>
  <si>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</si>
  <si>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</si>
  <si>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</si>
  <si>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</si>
  <si>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</si>
  <si>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</si>
  <si>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</si>
  <si>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</si>
  <si>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</si>
  <si>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</si>
  <si>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</si>
  <si>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</si>
  <si>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</si>
  <si>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</si>
  <si>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</si>
  <si>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</si>
  <si>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</si>
  <si>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</si>
  <si>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</si>
  <si>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</si>
  <si>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</si>
  <si>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</si>
  <si>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</si>
  <si>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</si>
  <si>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</si>
  <si>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</si>
  <si>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</si>
  <si>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</si>
  <si>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</si>
  <si>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</si>
  <si>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</si>
  <si>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</si>
  <si>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</si>
  <si>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</si>
  <si>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</si>
  <si>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</si>
  <si>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</si>
  <si>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</si>
  <si>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</si>
  <si>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</si>
  <si>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</si>
  <si>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</si>
  <si>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</si>
  <si>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</si>
  <si>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</si>
  <si>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</si>
  <si>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</si>
  <si>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</si>
  <si>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</si>
  <si>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</si>
  <si>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</si>
  <si>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</si>
  <si>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</si>
  <si>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</si>
  <si>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</si>
  <si>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</si>
  <si>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</si>
  <si>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</si>
  <si>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</si>
  <si>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</si>
  <si>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</si>
  <si>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</si>
  <si>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</si>
  <si>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</si>
  <si>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</si>
  <si>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</si>
  <si>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</si>
  <si>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</si>
  <si>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</si>
  <si>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</si>
  <si>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</si>
  <si>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</si>
  <si>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</si>
  <si>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</si>
  <si>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</si>
  <si>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</si>
  <si>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</si>
  <si>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</si>
  <si>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</si>
  <si>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</si>
  <si>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</si>
  <si>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</si>
  <si>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</si>
  <si>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</si>
  <si>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</si>
  <si>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</si>
  <si>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</si>
  <si>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</si>
  <si>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</si>
  <si>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</si>
  <si>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</si>
  <si>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</si>
  <si>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</si>
  <si>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</si>
  <si>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</si>
  <si>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</si>
  <si>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</si>
  <si>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</si>
  <si>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</si>
  <si>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</si>
  <si>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</si>
  <si>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</si>
  <si>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</si>
  <si>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</si>
  <si>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</si>
  <si>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</si>
  <si>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</si>
  <si>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</si>
  <si>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</si>
  <si>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</si>
  <si>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</si>
  <si>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</si>
  <si>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</si>
  <si>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</si>
  <si>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</si>
  <si>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</si>
  <si>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</si>
  <si>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</si>
  <si>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</si>
  <si>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</si>
  <si>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</si>
  <si>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</si>
  <si>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</si>
  <si>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</si>
  <si>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</si>
  <si>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</si>
  <si>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</si>
  <si>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</si>
  <si>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</si>
  <si>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</si>
  <si>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</si>
  <si>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</si>
  <si>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</si>
  <si>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</si>
  <si>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</si>
  <si>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</si>
  <si>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</si>
  <si>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</si>
  <si>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</si>
  <si>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</si>
  <si>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</si>
  <si>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</si>
  <si>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</si>
  <si>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</si>
  <si>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</si>
  <si>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</si>
  <si>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</si>
  <si>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</si>
  <si>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</si>
  <si>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</si>
  <si>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</si>
  <si>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</si>
  <si>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</si>
  <si>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</si>
  <si>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</si>
  <si>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</si>
  <si>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</si>
  <si>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</si>
  <si>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</si>
  <si>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</si>
  <si>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</si>
  <si>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</si>
  <si>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</si>
  <si>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</si>
  <si>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</si>
  <si>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</si>
  <si>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</si>
  <si>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</si>
  <si>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</si>
  <si>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</si>
  <si>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</si>
  <si>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</si>
  <si>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</si>
  <si>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</si>
  <si>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</si>
  <si>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</si>
  <si>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</si>
  <si>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</si>
  <si>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</si>
  <si>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</si>
  <si>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</si>
  <si>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</si>
  <si>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</si>
  <si>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</si>
  <si>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</si>
  <si>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</si>
  <si>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</si>
  <si>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</si>
  <si>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</si>
  <si>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</si>
  <si>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</si>
  <si>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</si>
  <si>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</si>
  <si>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</si>
  <si>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</si>
  <si>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</si>
  <si>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</si>
  <si>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</si>
  <si>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</si>
  <si>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</si>
  <si>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</si>
  <si>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</si>
  <si>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</si>
  <si>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</si>
  <si>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</si>
  <si>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</si>
  <si>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</si>
  <si>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</si>
  <si>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</si>
  <si>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</si>
  <si>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</si>
  <si>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</si>
  <si>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</si>
  <si>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</si>
  <si>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</si>
  <si>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</si>
  <si>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</si>
  <si>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</si>
  <si>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</si>
  <si>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</si>
  <si>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</si>
  <si>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</si>
  <si>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</si>
  <si>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</si>
  <si>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</si>
  <si>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</si>
  <si>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</si>
  <si>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</si>
  <si>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</si>
  <si>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</si>
  <si>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</si>
  <si>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</si>
  <si>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</si>
  <si>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</si>
  <si>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</si>
  <si>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</si>
  <si>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</si>
  <si>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</si>
  <si>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</si>
  <si>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</si>
  <si>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</si>
  <si>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</si>
  <si>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</si>
  <si>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</si>
  <si>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</si>
  <si>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</si>
  <si>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</si>
  <si>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</si>
  <si>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</si>
  <si>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</si>
  <si>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</si>
  <si>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</si>
  <si>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</si>
  <si>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</si>
  <si>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</si>
  <si>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</si>
  <si>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</si>
  <si>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</si>
  <si>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</si>
  <si>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</si>
  <si>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</si>
  <si>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</si>
  <si>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</si>
  <si>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</si>
  <si>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</si>
  <si>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</si>
  <si>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</si>
  <si>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</si>
  <si>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</si>
  <si>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</si>
  <si>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</si>
  <si>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</si>
  <si>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</si>
  <si>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</si>
  <si>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</si>
  <si>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</si>
  <si>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</si>
  <si>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</si>
  <si>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</si>
  <si>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</si>
  <si>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</si>
  <si>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</si>
  <si>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</si>
  <si>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</si>
  <si>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</si>
  <si>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</si>
  <si>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</si>
  <si>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</si>
  <si>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</si>
  <si>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</si>
  <si>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</si>
  <si>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</si>
  <si>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</si>
  <si>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</si>
  <si>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</si>
  <si>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</si>
  <si>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</si>
  <si>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</si>
  <si>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</si>
  <si>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</si>
  <si>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</si>
  <si>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</si>
  <si>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</si>
  <si>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</si>
  <si>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</si>
  <si>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</si>
  <si>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</si>
  <si>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</si>
  <si>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</si>
  <si>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</si>
  <si>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</si>
  <si>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</si>
  <si>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</si>
  <si>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</si>
  <si>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</si>
  <si>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</si>
  <si>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</si>
  <si>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</si>
  <si>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</si>
  <si>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</si>
  <si>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</si>
  <si>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</si>
  <si>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</si>
  <si>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</si>
  <si>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</si>
  <si>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</si>
  <si>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</si>
  <si>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</si>
  <si>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</si>
  <si>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</si>
  <si>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</si>
  <si>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</si>
  <si>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</si>
  <si>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</si>
  <si>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</si>
  <si>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</si>
  <si>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</si>
  <si>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</si>
  <si>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</si>
  <si>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</si>
  <si>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</si>
  <si>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</si>
  <si>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</si>
  <si>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</si>
  <si>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</si>
  <si>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</si>
  <si>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</si>
  <si>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</si>
  <si>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</si>
  <si>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</si>
  <si>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</si>
  <si>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</si>
  <si>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</si>
  <si>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</si>
  <si>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</si>
  <si>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</si>
  <si>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</si>
  <si>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</si>
  <si>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</si>
  <si>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</si>
  <si>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</si>
  <si>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</si>
  <si>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</si>
  <si>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</si>
  <si>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</si>
  <si>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</si>
  <si>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</si>
  <si>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</si>
  <si>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</si>
  <si>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</si>
  <si>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</si>
  <si>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</si>
  <si>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</si>
  <si>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</si>
  <si>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</si>
  <si>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</si>
  <si>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</si>
  <si>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</si>
  <si>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</si>
  <si>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</si>
  <si>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</si>
  <si>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</si>
  <si>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</si>
  <si>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</si>
  <si>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</si>
  <si>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</si>
  <si>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</si>
  <si>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</si>
  <si>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</si>
  <si>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</si>
  <si>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</si>
  <si>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</si>
  <si>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</si>
  <si>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</si>
  <si>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</si>
  <si>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</si>
  <si>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</si>
  <si>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</si>
  <si>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</si>
  <si>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</si>
  <si>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</si>
  <si>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</si>
  <si>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</si>
  <si>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</si>
  <si>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</si>
  <si>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</si>
  <si>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</si>
  <si>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</si>
  <si>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</si>
  <si>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</si>
  <si>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</si>
  <si>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</si>
  <si>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</si>
  <si>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</si>
  <si>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</si>
  <si>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</si>
  <si>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</si>
  <si>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</si>
  <si>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</si>
  <si>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</si>
  <si>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</si>
  <si>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</si>
  <si>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</si>
  <si>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</si>
  <si>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</si>
  <si>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</si>
  <si>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</si>
  <si>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</si>
  <si>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</si>
  <si>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</si>
  <si>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</si>
  <si>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</si>
  <si>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</si>
  <si>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</si>
  <si>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</si>
  <si>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</si>
  <si>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</si>
  <si>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</si>
  <si>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</si>
  <si>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</si>
  <si>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</si>
  <si>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</si>
  <si>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</si>
  <si>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</si>
  <si>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</si>
  <si>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</si>
  <si>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</si>
  <si>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</si>
  <si>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</si>
  <si>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</si>
  <si>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</si>
  <si>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</si>
  <si>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</si>
  <si>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</si>
  <si>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</si>
  <si>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</si>
  <si>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</si>
  <si>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</si>
  <si>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</si>
  <si>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</si>
  <si>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</si>
  <si>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</si>
  <si>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</si>
  <si>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</si>
  <si>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</si>
  <si>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</si>
  <si>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</si>
  <si>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</si>
  <si>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</si>
  <si>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</si>
  <si>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</si>
  <si>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</si>
  <si>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</si>
  <si>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</si>
  <si>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</si>
  <si>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</si>
  <si>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</si>
  <si>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</si>
  <si>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</si>
  <si>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</si>
  <si>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</si>
  <si>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</si>
  <si>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</si>
  <si>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</si>
  <si>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</si>
  <si>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</si>
  <si>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</si>
  <si>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</si>
  <si>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</si>
  <si>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</si>
  <si>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</si>
  <si>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</si>
  <si>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</si>
  <si>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</si>
  <si>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</si>
  <si>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</si>
  <si>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</si>
  <si>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</si>
  <si>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</si>
  <si>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</si>
  <si>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</si>
  <si>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</si>
  <si>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</si>
  <si>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</si>
  <si>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</si>
  <si>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</si>
  <si>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</si>
  <si>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</si>
  <si>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</si>
  <si>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</si>
  <si>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</si>
  <si>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</si>
  <si>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</si>
  <si>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</si>
  <si>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</si>
  <si>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</si>
  <si>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</si>
  <si>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</si>
  <si>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</si>
  <si>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</si>
  <si>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</si>
  <si>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</si>
  <si>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</si>
  <si>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</si>
  <si>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</si>
  <si>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</si>
  <si>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</si>
  <si>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</si>
  <si>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</si>
  <si>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</si>
  <si>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</si>
  <si>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</si>
  <si>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</si>
  <si>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</si>
  <si>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</si>
  <si>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</si>
  <si>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</si>
  <si>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</si>
  <si>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</si>
  <si>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</si>
  <si>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</si>
  <si>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</si>
  <si>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</si>
  <si>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</si>
  <si>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</si>
  <si>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</si>
  <si>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</si>
  <si>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</si>
  <si>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</si>
  <si>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</si>
  <si>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</si>
  <si>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</si>
  <si>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</si>
  <si>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</si>
  <si>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</si>
  <si>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</si>
  <si>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</si>
  <si>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</si>
  <si>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</si>
  <si>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</si>
  <si>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</si>
  <si>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</si>
  <si>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</si>
  <si>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</si>
  <si>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</si>
  <si>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</si>
  <si>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</si>
  <si>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</si>
  <si>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</si>
  <si>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</si>
  <si>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</si>
  <si>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</si>
  <si>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</si>
  <si>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</si>
  <si>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</si>
  <si>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</si>
  <si>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</si>
  <si>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</si>
  <si>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</si>
  <si>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</si>
  <si>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</si>
  <si>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</si>
  <si>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</si>
  <si>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</si>
  <si>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</si>
  <si>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</si>
  <si>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</si>
  <si>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</si>
  <si>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</si>
  <si>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</si>
  <si>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</si>
  <si>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</si>
  <si>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</si>
  <si>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</si>
  <si>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</si>
  <si>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</si>
  <si>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</si>
  <si>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</si>
  <si>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</si>
  <si>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</si>
  <si>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</si>
  <si>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</si>
  <si>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</si>
  <si>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</si>
  <si>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</si>
  <si>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</si>
  <si>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</si>
  <si>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</si>
  <si>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</si>
  <si>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</si>
  <si>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</si>
  <si>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</si>
  <si>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</si>
  <si>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</si>
  <si>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</si>
  <si>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</si>
  <si>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</si>
  <si>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</si>
  <si>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</si>
  <si>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</si>
  <si>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</si>
  <si>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</si>
  <si>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</si>
  <si>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</si>
  <si>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</si>
  <si>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</si>
  <si>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</si>
  <si>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</si>
  <si>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</si>
  <si>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</si>
  <si>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</si>
  <si>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</si>
  <si>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</si>
  <si>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</si>
  <si>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</si>
  <si>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</si>
  <si>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</si>
  <si>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</si>
  <si>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</si>
  <si>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</si>
  <si>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</si>
  <si>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</si>
  <si>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</si>
  <si>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</si>
  <si>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</si>
  <si>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</si>
  <si>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</si>
  <si>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</si>
  <si>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</si>
  <si>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</si>
  <si>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</si>
  <si>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</si>
  <si>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</si>
  <si>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</si>
  <si>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</si>
  <si>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</si>
  <si>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</si>
  <si>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</si>
  <si>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</si>
  <si>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</si>
  <si>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</si>
  <si>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</si>
  <si>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</si>
  <si>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</si>
  <si>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</si>
  <si>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</si>
  <si>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</si>
  <si>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</si>
  <si>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</si>
  <si>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</si>
  <si>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</si>
  <si>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</si>
  <si>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</si>
  <si>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</si>
  <si>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</si>
  <si>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</si>
  <si>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</si>
  <si>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</si>
  <si>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</si>
  <si>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</si>
  <si>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</si>
  <si>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</si>
  <si>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</si>
  <si>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</si>
  <si>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</si>
  <si>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</si>
  <si>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</si>
  <si>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</si>
  <si>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</si>
  <si>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</si>
  <si>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</si>
  <si>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</si>
  <si>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</si>
  <si>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</si>
  <si>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</si>
  <si>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</si>
  <si>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</si>
  <si>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</si>
  <si>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</si>
  <si>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</si>
  <si>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</si>
  <si>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</si>
  <si>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</si>
  <si>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</si>
  <si>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</si>
  <si>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</si>
  <si>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</si>
  <si>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</si>
  <si>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</si>
  <si>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</si>
  <si>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</si>
  <si>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</si>
  <si>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</si>
  <si>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</si>
  <si>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</si>
  <si>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</si>
  <si>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</si>
  <si>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</si>
  <si>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</si>
  <si>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</si>
  <si>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</si>
  <si>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</si>
  <si>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</si>
  <si>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</si>
  <si>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</si>
  <si>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</si>
  <si>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</si>
  <si>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</si>
  <si>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</si>
  <si>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</si>
  <si>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</si>
  <si>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</si>
  <si>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</si>
  <si>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</si>
  <si>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</si>
  <si>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</si>
  <si>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</si>
  <si>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</si>
  <si>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</si>
  <si>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</si>
  <si>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</si>
  <si>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</si>
  <si>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</si>
  <si>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</si>
  <si>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</si>
  <si>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</si>
  <si>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</si>
  <si>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</si>
  <si>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</si>
  <si>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</si>
  <si>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</si>
  <si>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</si>
  <si>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</si>
  <si>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</si>
  <si>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</si>
  <si>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</si>
  <si>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</si>
  <si>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</si>
  <si>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</si>
  <si>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</si>
  <si>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</si>
  <si>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</si>
  <si>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</si>
  <si>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</si>
  <si>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</si>
  <si>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</si>
  <si>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</si>
  <si>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</si>
  <si>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</si>
  <si>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</si>
  <si>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</si>
  <si>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</si>
  <si>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</si>
  <si>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</si>
  <si>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</si>
  <si>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</si>
  <si>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</si>
  <si>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</si>
  <si>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</si>
  <si>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</si>
  <si>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</si>
  <si>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</si>
  <si>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</si>
  <si>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</si>
  <si>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</si>
  <si>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</si>
  <si>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</si>
  <si>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</si>
  <si>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</si>
  <si>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</si>
  <si>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</si>
  <si>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</si>
  <si>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</si>
  <si>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</si>
  <si>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</si>
  <si>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</si>
  <si>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</si>
  <si>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</si>
  <si>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</si>
  <si>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</si>
  <si>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</si>
  <si>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</si>
  <si>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</si>
  <si>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</si>
  <si>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</si>
  <si>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</si>
  <si>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</si>
  <si>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</si>
  <si>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</si>
  <si>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</si>
  <si>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</si>
  <si>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</si>
  <si>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</si>
  <si>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</si>
  <si>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</si>
  <si>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</si>
  <si>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</si>
  <si>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</si>
  <si>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</si>
  <si>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</si>
  <si>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</si>
  <si>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</si>
  <si>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</si>
  <si>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</si>
  <si>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</si>
  <si>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</si>
  <si>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</si>
  <si>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</si>
  <si>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</si>
  <si>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</si>
  <si>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</si>
  <si>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</si>
  <si>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</si>
  <si>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</si>
  <si>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</si>
  <si>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</si>
  <si>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</si>
  <si>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</si>
  <si>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</si>
  <si>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</si>
  <si>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</si>
  <si>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</si>
  <si>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</si>
  <si>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</si>
  <si>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</si>
  <si>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</si>
  <si>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</si>
  <si>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</si>
  <si>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</si>
  <si>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</si>
  <si>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</si>
  <si>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</si>
  <si>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</si>
  <si>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</si>
  <si>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</si>
  <si>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</si>
  <si>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</si>
  <si>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</si>
  <si>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</si>
  <si>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</si>
  <si>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</si>
  <si>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</si>
  <si>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</si>
  <si>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</si>
  <si>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</si>
  <si>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</si>
  <si>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</si>
  <si>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</si>
  <si>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</si>
  <si>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</si>
  <si>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</si>
  <si>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</si>
  <si>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</si>
  <si>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</si>
  <si>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</si>
  <si>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</si>
  <si>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</si>
  <si>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</si>
  <si>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</si>
  <si>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</si>
  <si>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</si>
  <si>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</si>
  <si>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</si>
  <si>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</si>
  <si>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</si>
  <si>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</si>
  <si>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</si>
  <si>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</si>
  <si>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</si>
  <si>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</si>
  <si>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</si>
  <si>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</si>
  <si>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</si>
  <si>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</si>
  <si>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</si>
  <si>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</si>
  <si>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</si>
  <si>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</si>
  <si>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</si>
  <si>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</si>
  <si>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</si>
  <si>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</si>
  <si>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</si>
  <si>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</si>
  <si>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</si>
  <si>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</si>
  <si>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</si>
  <si>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</si>
  <si>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</si>
  <si>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</si>
  <si>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</si>
  <si>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</si>
  <si>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</si>
  <si>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</si>
  <si>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</si>
  <si>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</si>
  <si>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</si>
  <si>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</si>
  <si>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</si>
  <si>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</si>
  <si>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</si>
  <si>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</si>
  <si>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</si>
  <si>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</si>
  <si>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</si>
  <si>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</si>
  <si>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</si>
  <si>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</si>
  <si>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</si>
  <si>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</si>
  <si>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</si>
  <si>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</si>
  <si>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</si>
  <si>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</si>
  <si>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</si>
  <si>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</si>
  <si>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</si>
  <si>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</si>
  <si>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</si>
  <si>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</si>
  <si>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</si>
  <si>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</si>
  <si>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</si>
  <si>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</si>
  <si>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</si>
  <si>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</si>
  <si>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</si>
  <si>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</si>
  <si>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</si>
  <si>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</si>
  <si>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</si>
  <si>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</si>
  <si>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</si>
  <si>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</si>
  <si>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</si>
  <si>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</si>
  <si>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</si>
  <si>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</si>
  <si>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</si>
  <si>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</si>
  <si>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</si>
  <si>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</si>
  <si>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</si>
  <si>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</si>
  <si>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</si>
  <si>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</si>
  <si>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</si>
  <si>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</si>
  <si>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</si>
  <si>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</si>
  <si>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</si>
  <si>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</si>
  <si>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</si>
  <si>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</si>
  <si>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</si>
  <si>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</si>
  <si>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</si>
  <si>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</si>
  <si>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</si>
  <si>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</si>
  <si>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</si>
  <si>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</si>
  <si>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</si>
  <si>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</si>
  <si>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</si>
  <si>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</si>
  <si>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</si>
  <si>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</si>
  <si>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</si>
  <si>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</si>
  <si>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</si>
  <si>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</si>
  <si>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</si>
  <si>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</si>
  <si>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</si>
  <si>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</si>
  <si>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</si>
  <si>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</si>
  <si>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</si>
  <si>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</si>
  <si>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</si>
  <si>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</si>
  <si>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</si>
  <si>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</si>
  <si>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</si>
  <si>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</si>
  <si>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</si>
  <si>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</si>
  <si>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</si>
  <si>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</si>
  <si>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</si>
  <si>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</si>
  <si>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</si>
  <si>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</si>
  <si>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</si>
  <si>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</si>
  <si>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</si>
  <si>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</si>
  <si>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</si>
  <si>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</si>
  <si>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</si>
  <si>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</si>
  <si>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</si>
  <si>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</si>
  <si>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</si>
  <si>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</si>
  <si>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</si>
  <si>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</si>
  <si>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</si>
  <si>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</si>
  <si>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</si>
  <si>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</si>
  <si>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</si>
  <si>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</si>
  <si>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</si>
  <si>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</si>
  <si>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</si>
  <si>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</si>
  <si>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</si>
  <si>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</si>
  <si>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</si>
  <si>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</si>
  <si>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</si>
  <si>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</si>
  <si>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</si>
  <si>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</si>
  <si>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</si>
  <si>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</si>
  <si>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</si>
  <si>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</si>
  <si>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</si>
  <si>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</si>
  <si>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</si>
  <si>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</si>
  <si>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</si>
  <si>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</si>
  <si>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</si>
  <si>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</si>
  <si>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</si>
  <si>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</si>
  <si>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</si>
  <si>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</si>
  <si>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</si>
  <si>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</si>
  <si>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</si>
  <si>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</si>
  <si>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</si>
  <si>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</si>
  <si>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</si>
  <si>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</si>
  <si>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</si>
  <si>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</si>
  <si>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</si>
  <si>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</si>
  <si>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</si>
  <si>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</si>
  <si>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</si>
  <si>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</si>
  <si>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</si>
  <si>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</si>
  <si>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</si>
  <si>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</si>
  <si>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</si>
  <si>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</si>
  <si>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</si>
  <si>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</si>
  <si>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</si>
  <si>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</si>
  <si>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</si>
  <si>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</si>
  <si>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</si>
  <si>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</si>
  <si>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</si>
  <si>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</si>
  <si>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</si>
  <si>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</si>
  <si>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</si>
  <si>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</si>
  <si>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</si>
  <si>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</si>
  <si>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</si>
  <si>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</si>
  <si>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</si>
  <si>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</si>
  <si>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</si>
  <si>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</si>
  <si>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</si>
  <si>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</si>
  <si>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</si>
  <si>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</si>
  <si>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</si>
  <si>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</si>
  <si>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</si>
  <si>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</si>
  <si>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</si>
  <si>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</si>
  <si>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</si>
  <si>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</si>
  <si>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</si>
  <si>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</si>
  <si>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</si>
  <si>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</si>
  <si>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</si>
  <si>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</si>
  <si>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</si>
  <si>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</si>
  <si>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</si>
  <si>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</si>
  <si>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</si>
  <si>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</si>
  <si>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</si>
  <si>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</si>
  <si>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</si>
  <si>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</si>
  <si>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</si>
  <si>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</si>
  <si>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</si>
  <si>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</si>
  <si>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</si>
  <si>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</si>
  <si>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</si>
  <si>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</si>
  <si>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</si>
  <si>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</si>
  <si>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</si>
  <si>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</si>
  <si>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</si>
  <si>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</si>
  <si>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</si>
  <si>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</si>
  <si>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</si>
  <si>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</si>
  <si>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</si>
  <si>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</si>
  <si>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</si>
  <si>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</si>
  <si>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</si>
  <si>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</si>
  <si>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</si>
  <si>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</si>
  <si>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</si>
  <si>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</si>
  <si>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</si>
  <si>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</si>
  <si>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</si>
  <si>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</si>
  <si>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</si>
  <si>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</si>
  <si>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</si>
  <si>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</si>
  <si>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</si>
  <si>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</si>
  <si>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</si>
  <si>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</si>
  <si>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</si>
  <si>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</si>
  <si>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</si>
  <si>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</si>
  <si>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</si>
  <si>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</si>
  <si>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</si>
  <si>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</si>
  <si>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</si>
  <si>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</si>
  <si>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</si>
  <si>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</si>
  <si>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</si>
  <si>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</si>
  <si>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</si>
  <si>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</si>
  <si>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</si>
  <si>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</si>
  <si>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</si>
  <si>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</si>
  <si>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</si>
  <si>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</si>
  <si>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</si>
  <si>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</si>
  <si>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</si>
  <si>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</si>
  <si>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</si>
  <si>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</si>
  <si>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</si>
  <si>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</si>
  <si>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</si>
  <si>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</si>
  <si>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</si>
  <si>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</si>
  <si>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</si>
  <si>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</si>
  <si>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</si>
  <si>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</si>
  <si>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</si>
  <si>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</si>
  <si>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</si>
  <si>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</si>
  <si>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</si>
  <si>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</si>
  <si>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</si>
  <si>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</si>
  <si>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</si>
  <si>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</si>
  <si>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</si>
  <si>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</si>
  <si>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</si>
  <si>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</si>
  <si>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</si>
  <si>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</si>
  <si>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</si>
  <si>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</si>
  <si>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</si>
  <si>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</si>
  <si>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</si>
  <si>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</si>
  <si>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</si>
  <si>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</si>
  <si>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</si>
  <si>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</si>
  <si>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</si>
  <si>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</si>
  <si>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</si>
  <si>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</si>
  <si>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</si>
  <si>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</si>
  <si>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</si>
  <si>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</si>
  <si>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</si>
  <si>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</si>
  <si>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</si>
  <si>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</si>
  <si>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</si>
  <si>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</si>
  <si>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</si>
  <si>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</si>
  <si>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</si>
  <si>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</si>
  <si>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</si>
  <si>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</si>
  <si>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</si>
  <si>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</si>
  <si>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</si>
  <si>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</si>
  <si>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</si>
  <si>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</si>
  <si>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</si>
  <si>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</si>
  <si>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</si>
  <si>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</si>
  <si>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</si>
  <si>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</si>
  <si>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</si>
  <si>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</si>
  <si>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</si>
  <si>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</si>
  <si>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</si>
  <si>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</si>
  <si>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</si>
  <si>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</si>
  <si>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</si>
  <si>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</si>
  <si>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</si>
  <si>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</si>
  <si>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</si>
  <si>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</si>
  <si>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</si>
  <si>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</si>
  <si>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</si>
  <si>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</si>
  <si>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</si>
  <si>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</si>
  <si>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</si>
  <si>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</si>
  <si>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</si>
  <si>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</si>
  <si>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</si>
  <si>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</si>
  <si>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</si>
  <si>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</si>
  <si>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</si>
  <si>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</si>
  <si>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</si>
  <si>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</si>
  <si>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</si>
  <si>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</si>
  <si>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</si>
  <si>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</si>
  <si>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</si>
  <si>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</si>
  <si>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</si>
  <si>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</si>
  <si>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</si>
  <si>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</si>
  <si>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</si>
  <si>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</si>
  <si>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</si>
  <si>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</si>
  <si>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</si>
  <si>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</si>
  <si>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</si>
  <si>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</si>
  <si>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</si>
  <si>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</si>
  <si>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</si>
  <si>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</si>
  <si>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</si>
  <si>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</si>
  <si>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</si>
  <si>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</si>
  <si>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</si>
  <si>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</si>
  <si>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</si>
  <si>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</si>
  <si>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</si>
  <si>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</si>
  <si>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</si>
  <si>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</si>
  <si>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</si>
  <si>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</si>
  <si>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</si>
  <si>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</si>
  <si>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</si>
  <si>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</si>
  <si>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</si>
  <si>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</si>
  <si>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</si>
  <si>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</si>
  <si>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</si>
  <si>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</si>
  <si>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</si>
  <si>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</si>
  <si>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</si>
  <si>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</si>
  <si>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</si>
  <si>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</si>
  <si>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</si>
  <si>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</si>
  <si>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</si>
  <si>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</si>
  <si>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</si>
  <si>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</si>
  <si>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</si>
  <si>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</si>
  <si>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</si>
  <si>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</si>
  <si>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</si>
  <si>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</si>
  <si>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</si>
  <si>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</si>
  <si>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</si>
  <si>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</si>
  <si>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</si>
  <si>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</si>
  <si>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</si>
  <si>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</si>
  <si>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</si>
  <si>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</si>
  <si>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</si>
  <si>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</si>
  <si>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</si>
  <si>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</si>
  <si>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</si>
  <si>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</si>
  <si>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</si>
  <si>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</si>
  <si>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</si>
  <si>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</si>
  <si>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</si>
  <si>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</si>
  <si>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</si>
  <si>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</si>
  <si>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</si>
  <si>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</si>
  <si>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</si>
  <si>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</si>
  <si>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</si>
  <si>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</si>
  <si>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</si>
  <si>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</si>
  <si>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</si>
  <si>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</si>
  <si>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</si>
  <si>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</si>
  <si>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</si>
  <si>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</si>
  <si>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</si>
  <si>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</si>
  <si>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</si>
  <si>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</si>
  <si>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</si>
  <si>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</si>
  <si>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</si>
  <si>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</si>
  <si>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</si>
  <si>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</si>
  <si>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</si>
  <si>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</si>
  <si>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</si>
  <si>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</si>
  <si>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</si>
  <si>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</si>
  <si>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</si>
  <si>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</si>
  <si>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</si>
  <si>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</si>
  <si>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</si>
  <si>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</si>
  <si>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</si>
  <si>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</si>
  <si>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</si>
  <si>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</si>
  <si>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</si>
  <si>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</si>
  <si>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</si>
  <si>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</si>
  <si>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</si>
  <si>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</si>
  <si>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</si>
  <si>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</si>
  <si>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</si>
  <si>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</si>
  <si>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</si>
  <si>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</si>
  <si>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</si>
  <si>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</si>
  <si>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</si>
  <si>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</si>
  <si>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</si>
  <si>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</si>
  <si>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</si>
  <si>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</si>
  <si>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</si>
  <si>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</si>
  <si>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</si>
  <si>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</si>
  <si>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</si>
  <si>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</si>
  <si>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</si>
  <si>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</si>
  <si>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</si>
  <si>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</si>
  <si>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</si>
  <si>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</si>
  <si>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</si>
  <si>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</si>
  <si>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</si>
  <si>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</si>
  <si>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估价对象1（结果表）</t>
  </si>
  <si>
    <t>陈颖</t>
  </si>
  <si>
    <t>叶凌</t>
  </si>
  <si>
    <t>核定资产</t>
  </si>
  <si>
    <t>房地产市场价值</t>
  </si>
  <si>
    <t>北京市</t>
  </si>
  <si>
    <t>自然人</t>
  </si>
  <si>
    <t>住宅</t>
    <phoneticPr fontId="7" type="noConversion"/>
  </si>
  <si>
    <t>与房产证证载一致</t>
  </si>
  <si>
    <t>是</t>
  </si>
  <si>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</si>
  <si>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</si>
  <si>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</si>
  <si>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</si>
  <si>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</si>
  <si>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</si>
  <si>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</si>
  <si>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</si>
  <si>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</si>
  <si>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</si>
  <si>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</si>
  <si>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</si>
  <si>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</si>
  <si>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</si>
  <si>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</si>
  <si>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结构工程</t>
  </si>
  <si>
    <t>基本完好</t>
    <phoneticPr fontId="4" type="noConversion"/>
  </si>
  <si>
    <t>设备及装饰</t>
    <phoneticPr fontId="4" type="noConversion"/>
  </si>
  <si>
    <t>基本完好</t>
    <phoneticPr fontId="4" type="noConversion"/>
  </si>
  <si>
    <t>权重</t>
    <phoneticPr fontId="4" type="noConversion"/>
  </si>
  <si>
    <t>折扣率</t>
    <phoneticPr fontId="4" type="noConversion"/>
  </si>
  <si>
    <t>住宅</t>
    <phoneticPr fontId="33" type="noConversion"/>
  </si>
  <si>
    <t>较好——有餐饮、医院、超市、学校等</t>
    <phoneticPr fontId="61" type="noConversion"/>
  </si>
  <si>
    <t>七通</t>
  </si>
  <si>
    <t>七通</t>
    <phoneticPr fontId="33" type="noConversion"/>
  </si>
  <si>
    <t>楼层</t>
    <phoneticPr fontId="33" type="noConversion"/>
  </si>
  <si>
    <t>A</t>
    <phoneticPr fontId="208" type="noConversion"/>
  </si>
  <si>
    <t>B</t>
    <phoneticPr fontId="208" type="noConversion"/>
  </si>
  <si>
    <t>东北</t>
    <phoneticPr fontId="33" type="noConversion"/>
  </si>
  <si>
    <t>西</t>
    <phoneticPr fontId="33" type="noConversion"/>
  </si>
  <si>
    <t>南</t>
    <phoneticPr fontId="33" type="noConversion"/>
  </si>
  <si>
    <t>东西</t>
    <phoneticPr fontId="33" type="noConversion"/>
  </si>
  <si>
    <t>东</t>
    <phoneticPr fontId="33" type="noConversion"/>
  </si>
  <si>
    <t>普装</t>
  </si>
  <si>
    <t>普装</t>
    <phoneticPr fontId="33" type="noConversion"/>
  </si>
  <si>
    <t>物业公司管理</t>
  </si>
  <si>
    <t>物业公司管理</t>
    <phoneticPr fontId="33" type="noConversion"/>
  </si>
  <si>
    <t>七通</t>
    <phoneticPr fontId="33" type="noConversion"/>
  </si>
  <si>
    <t>平层</t>
  </si>
  <si>
    <t>平层</t>
    <phoneticPr fontId="33" type="noConversion"/>
  </si>
  <si>
    <t>建成年代</t>
    <phoneticPr fontId="33" type="noConversion"/>
  </si>
  <si>
    <t>简装</t>
  </si>
  <si>
    <t>简装</t>
    <phoneticPr fontId="33" type="noConversion"/>
  </si>
  <si>
    <t>售价</t>
  </si>
  <si>
    <t>设定收益年期(n)</t>
  </si>
  <si>
    <t>比较法-住宅</t>
  </si>
  <si>
    <t>居住用地（指二类居住用地）</t>
  </si>
  <si>
    <t>500-1000米</t>
  </si>
  <si>
    <t>按公示增长率计算</t>
  </si>
  <si>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</si>
  <si>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未包含在土地购买价格中</t>
  </si>
  <si>
    <t>已包含在土地取得成本中</t>
  </si>
  <si>
    <t>C</t>
    <phoneticPr fontId="208" type="noConversion"/>
  </si>
  <si>
    <t>甘露家园</t>
    <phoneticPr fontId="4" type="noConversion"/>
  </si>
  <si>
    <t>甘露园南里17号楼5层5单元552号</t>
    <phoneticPr fontId="33" type="noConversion"/>
  </si>
  <si>
    <t>朝阳区甘露园南里15号院4门422</t>
    <phoneticPr fontId="7" type="noConversion"/>
  </si>
  <si>
    <t>付曰勤</t>
    <phoneticPr fontId="7" type="noConversion"/>
  </si>
  <si>
    <t>甘露园南里新10号楼3层2单元301号</t>
    <phoneticPr fontId="33" type="noConversion"/>
  </si>
  <si>
    <t>估价对象周边有朝阳园、丽景馨居、青年汇佳园、爱这城等居住小区，社区发展完善程度较好，综合评价居住社区成熟度较好</t>
    <phoneticPr fontId="61" type="noConversion"/>
  </si>
  <si>
    <t>以估价对象为圆心，半径1公里内有75、95、112、115、411路等10余条公共线路及地铁6号线（青年路站）、八通线（四惠东站）、小区内有地下车库，综合评价交通便捷度较好</t>
    <phoneticPr fontId="61" type="noConversion"/>
  </si>
  <si>
    <t>区域自然环境：兴隆公园、通惠河；人文环境：中国紫檀博物馆；综合评价环境状况较好</t>
    <phoneticPr fontId="61" type="noConversion"/>
  </si>
  <si>
    <t>城市主干道——朝阳路</t>
    <phoneticPr fontId="33" type="noConversion"/>
  </si>
  <si>
    <t>2/6</t>
  </si>
  <si>
    <t>2/6</t>
    <phoneticPr fontId="33" type="noConversion"/>
  </si>
  <si>
    <t>南北</t>
  </si>
  <si>
    <t>南北</t>
    <phoneticPr fontId="33" type="noConversion"/>
  </si>
  <si>
    <t>主</t>
    <phoneticPr fontId="33" type="noConversion"/>
  </si>
  <si>
    <t>板楼</t>
  </si>
  <si>
    <t>板楼</t>
    <phoneticPr fontId="33" type="noConversion"/>
  </si>
  <si>
    <t>混合</t>
  </si>
  <si>
    <t>钢混</t>
    <phoneticPr fontId="33" type="noConversion"/>
  </si>
  <si>
    <t>混合</t>
    <phoneticPr fontId="33" type="noConversion"/>
  </si>
  <si>
    <t>简装</t>
    <phoneticPr fontId="33" type="noConversion"/>
  </si>
  <si>
    <t>中档</t>
  </si>
  <si>
    <t>中档</t>
    <phoneticPr fontId="33" type="noConversion"/>
  </si>
  <si>
    <t>23</t>
    <phoneticPr fontId="4" type="noConversion"/>
  </si>
  <si>
    <t>50</t>
    <phoneticPr fontId="4" type="noConversion"/>
  </si>
  <si>
    <t>5/6</t>
  </si>
  <si>
    <t>5/6</t>
    <phoneticPr fontId="33" type="noConversion"/>
  </si>
  <si>
    <t>3/5</t>
  </si>
  <si>
    <t>3/5</t>
    <phoneticPr fontId="33" type="noConversion"/>
  </si>
  <si>
    <t>C</t>
    <phoneticPr fontId="208" type="noConversion"/>
  </si>
  <si>
    <t>甘露园南里</t>
    <phoneticPr fontId="4" type="noConversion"/>
  </si>
  <si>
    <t>中区/6</t>
  </si>
  <si>
    <t>中区/6</t>
    <phoneticPr fontId="33" type="noConversion"/>
  </si>
  <si>
    <t>60-70（含）</t>
  </si>
  <si>
    <t>40-50（含）</t>
  </si>
  <si>
    <t>收益法</t>
  </si>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</sst>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29" fillId="0" borderId="19" xfId="0" applyNumberFormat="1" applyFont="1" applyFill="1" applyBorder="1" applyAlignment="1" applyProtection="1">
      <alignment horizontal="center" vertical="center" wrapText="1"/>
      <protection locked="0"/>
    </xf>
    <xf numFmtId="0" fontId="146" fillId="6" borderId="1" xfId="0" applyFont="1" applyFill="1" applyBorder="1" applyAlignment="1" applyProtection="1">
      <alignment horizontal="center" vertical="center" wrapText="1"/>
      <protection locked="0"/>
    </xf>
    <xf numFmtId="49" fontId="65" fillId="0" borderId="32" xfId="0" applyNumberFormat="1" applyFont="1" applyFill="1" applyBorder="1" applyAlignment="1" applyProtection="1">
      <alignment horizontal="center" vertical="center" wrapText="1"/>
      <protection locked="0"/>
    </xf>
    <xf numFmtId="0" fontId="128" fillId="0" borderId="0" xfId="0" applyFont="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75077</xdr:colOff>
      <xdr:row>39</xdr:row>
      <xdr:rowOff>161070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90477" cy="6847620"/>
        </a:xfrm>
        <a:prstGeom prst="rect">
          <a:avLst/>
        </a:prstGeom>
      </xdr:spPr>
    </xdr:pic>
    <xdr:clientData/>
  </xdr:twoCellAnchor>
  <xdr:twoCellAnchor editAs="oneCell">
    <xdr:from>
      <xdr:col>0</xdr:col>
      <xdr:colOff>0</xdr:colOff>
      <xdr:row>40</xdr:row>
      <xdr:rowOff>0</xdr:rowOff>
    </xdr:from>
    <xdr:to>
      <xdr:col>13</xdr:col>
      <xdr:colOff>475077</xdr:colOff>
      <xdr:row>79</xdr:row>
      <xdr:rowOff>113450</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858000"/>
          <a:ext cx="9390477" cy="6800000"/>
        </a:xfrm>
        <a:prstGeom prst="rect">
          <a:avLst/>
        </a:prstGeom>
      </xdr:spPr>
    </xdr:pic>
    <xdr:clientData/>
  </xdr:twoCellAnchor>
  <xdr:twoCellAnchor editAs="oneCell">
    <xdr:from>
      <xdr:col>0</xdr:col>
      <xdr:colOff>0</xdr:colOff>
      <xdr:row>79</xdr:row>
      <xdr:rowOff>0</xdr:rowOff>
    </xdr:from>
    <xdr:to>
      <xdr:col>13</xdr:col>
      <xdr:colOff>17934</xdr:colOff>
      <xdr:row>118</xdr:row>
      <xdr:rowOff>132498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3544550"/>
          <a:ext cx="8933334" cy="6819048"/>
        </a:xfrm>
        <a:prstGeom prst="rect">
          <a:avLst/>
        </a:prstGeom>
      </xdr:spPr>
    </xdr:pic>
    <xdr:clientData/>
  </xdr:twoCellAnchor>
  <xdr:twoCellAnchor editAs="oneCell">
    <xdr:from>
      <xdr:col>0</xdr:col>
      <xdr:colOff>0</xdr:colOff>
      <xdr:row>119</xdr:row>
      <xdr:rowOff>0</xdr:rowOff>
    </xdr:from>
    <xdr:to>
      <xdr:col>16</xdr:col>
      <xdr:colOff>589106</xdr:colOff>
      <xdr:row>133</xdr:row>
      <xdr:rowOff>133034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0402550"/>
          <a:ext cx="11561906" cy="2533334"/>
        </a:xfrm>
        <a:prstGeom prst="rect">
          <a:avLst/>
        </a:prstGeom>
      </xdr:spPr>
    </xdr:pic>
    <xdr:clientData/>
  </xdr:twoCellAnchor>
  <xdr:twoCellAnchor editAs="oneCell">
    <xdr:from>
      <xdr:col>0</xdr:col>
      <xdr:colOff>0</xdr:colOff>
      <xdr:row>134</xdr:row>
      <xdr:rowOff>0</xdr:rowOff>
    </xdr:from>
    <xdr:to>
      <xdr:col>10</xdr:col>
      <xdr:colOff>446762</xdr:colOff>
      <xdr:row>151</xdr:row>
      <xdr:rowOff>66303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2974300"/>
          <a:ext cx="7304762" cy="2980953"/>
        </a:xfrm>
        <a:prstGeom prst="rect">
          <a:avLst/>
        </a:prstGeom>
      </xdr:spPr>
    </xdr:pic>
    <xdr:clientData/>
  </xdr:twoCellAnchor>
  <xdr:twoCellAnchor editAs="oneCell">
    <xdr:from>
      <xdr:col>0</xdr:col>
      <xdr:colOff>0</xdr:colOff>
      <xdr:row>151</xdr:row>
      <xdr:rowOff>0</xdr:rowOff>
    </xdr:from>
    <xdr:to>
      <xdr:col>17</xdr:col>
      <xdr:colOff>646163</xdr:colOff>
      <xdr:row>191</xdr:row>
      <xdr:rowOff>122953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5888950"/>
          <a:ext cx="12304763" cy="6980953"/>
        </a:xfrm>
        <a:prstGeom prst="rect">
          <a:avLst/>
        </a:prstGeom>
      </xdr:spPr>
    </xdr:pic>
    <xdr:clientData/>
  </xdr:twoCellAnchor>
  <xdr:twoCellAnchor editAs="oneCell">
    <xdr:from>
      <xdr:col>1</xdr:col>
      <xdr:colOff>0</xdr:colOff>
      <xdr:row>192</xdr:row>
      <xdr:rowOff>0</xdr:rowOff>
    </xdr:from>
    <xdr:to>
      <xdr:col>11</xdr:col>
      <xdr:colOff>170572</xdr:colOff>
      <xdr:row>209</xdr:row>
      <xdr:rowOff>132969</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32918400"/>
          <a:ext cx="7028572" cy="3047619"/>
        </a:xfrm>
        <a:prstGeom prst="rect">
          <a:avLst/>
        </a:prstGeom>
      </xdr:spPr>
    </xdr:pic>
    <xdr:clientData/>
  </xdr:twoCellAnchor>
  <xdr:twoCellAnchor editAs="oneCell">
    <xdr:from>
      <xdr:col>0</xdr:col>
      <xdr:colOff>657225</xdr:colOff>
      <xdr:row>209</xdr:row>
      <xdr:rowOff>66675</xdr:rowOff>
    </xdr:from>
    <xdr:to>
      <xdr:col>19</xdr:col>
      <xdr:colOff>284169</xdr:colOff>
      <xdr:row>250</xdr:row>
      <xdr:rowOff>170559</xdr:rowOff>
    </xdr:to>
    <xdr:pic>
      <xdr:nvPicPr>
        <xdr:cNvPr id="9" name="图片 8"/>
        <xdr:cNvPicPr>
          <a:picLocks noChangeAspect="1"/>
        </xdr:cNvPicPr>
      </xdr:nvPicPr>
      <xdr:blipFill>
        <a:blip xmlns:r="http://schemas.openxmlformats.org/officeDocument/2006/relationships" r:embed="rId8"/>
        <a:stretch>
          <a:fillRect/>
        </a:stretch>
      </xdr:blipFill>
      <xdr:spPr>
        <a:xfrm>
          <a:off x="657225" y="35899725"/>
          <a:ext cx="12657144" cy="7133334"/>
        </a:xfrm>
        <a:prstGeom prst="rect">
          <a:avLst/>
        </a:prstGeom>
      </xdr:spPr>
    </xdr:pic>
    <xdr:clientData/>
  </xdr:twoCellAnchor>
  <xdr:twoCellAnchor editAs="oneCell">
    <xdr:from>
      <xdr:col>1</xdr:col>
      <xdr:colOff>0</xdr:colOff>
      <xdr:row>251</xdr:row>
      <xdr:rowOff>0</xdr:rowOff>
    </xdr:from>
    <xdr:to>
      <xdr:col>16</xdr:col>
      <xdr:colOff>303477</xdr:colOff>
      <xdr:row>289</xdr:row>
      <xdr:rowOff>46805</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43033950"/>
          <a:ext cx="10590477" cy="6561905"/>
        </a:xfrm>
        <a:prstGeom prst="rect">
          <a:avLst/>
        </a:prstGeom>
      </xdr:spPr>
    </xdr:pic>
    <xdr:clientData/>
  </xdr:twoCellAnchor>
  <xdr:twoCellAnchor editAs="oneCell">
    <xdr:from>
      <xdr:col>15</xdr:col>
      <xdr:colOff>0</xdr:colOff>
      <xdr:row>18</xdr:row>
      <xdr:rowOff>0</xdr:rowOff>
    </xdr:from>
    <xdr:to>
      <xdr:col>25</xdr:col>
      <xdr:colOff>84858</xdr:colOff>
      <xdr:row>38</xdr:row>
      <xdr:rowOff>161476</xdr:rowOff>
    </xdr:to>
    <xdr:pic>
      <xdr:nvPicPr>
        <xdr:cNvPr id="11" name="图片 10"/>
        <xdr:cNvPicPr>
          <a:picLocks noChangeAspect="1"/>
        </xdr:cNvPicPr>
      </xdr:nvPicPr>
      <xdr:blipFill>
        <a:blip xmlns:r="http://schemas.openxmlformats.org/officeDocument/2006/relationships" r:embed="rId10"/>
        <a:stretch>
          <a:fillRect/>
        </a:stretch>
      </xdr:blipFill>
      <xdr:spPr>
        <a:xfrm>
          <a:off x="10287000" y="3086100"/>
          <a:ext cx="6942858" cy="35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2667</v>
      </c>
      <c r="B1" s="2849" t="s">
        <v>2740</v>
      </c>
    </row>
    <row r="2" spans="1:2" s="2852" customFormat="1" ht="15.75" thickTop="1">
      <c r="A2" s="2851" t="s">
        <v>2668</v>
      </c>
      <c r="B2" s="2837" t="str">
        <f>'预评函-封皮'!B9</f>
        <v>北京市房地产市场价值预评估</v>
      </c>
    </row>
    <row r="3" spans="1:2" s="2852" customFormat="1">
      <c r="A3" s="2853" t="s">
        <v>2669</v>
      </c>
      <c r="B3" s="2838">
        <f>'预评函-封皮'!B12</f>
        <v>0</v>
      </c>
    </row>
    <row r="4" spans="1:2" s="2852" customFormat="1">
      <c r="A4" s="2853" t="s">
        <v>2670</v>
      </c>
      <c r="B4" s="2838" t="str">
        <f ca="1">'预评函-封皮'!B18</f>
        <v>陈颖（注册号:1120060040）、叶凌（注册号:1119970111)</v>
      </c>
    </row>
    <row r="5" spans="1:2" s="2850" customFormat="1" ht="15.75" thickBot="1">
      <c r="A5" s="2854" t="s">
        <v>2671</v>
      </c>
      <c r="B5" s="2839" t="str">
        <f>'预评函-封皮'!B21</f>
        <v>康正预评字号</v>
      </c>
    </row>
    <row r="6" spans="1:2" s="2852" customFormat="1" ht="15.75" thickTop="1">
      <c r="A6" s="2853" t="s">
        <v>2672</v>
      </c>
      <c r="B6" s="2837" t="str">
        <f>'预评函-1'!A4</f>
        <v>受您的委托，我公司对北京市房地产进行了预评估。</v>
      </c>
    </row>
    <row r="7" spans="1:2">
      <c r="A7" s="2853" t="s">
        <v>2673</v>
      </c>
      <c r="B7" s="2840" t="str">
        <f>'预评函-1'!A6</f>
        <v>估价对象为北京市房地产，为付曰勤所有。根据《不动产权证书》[]，估价对象建筑面积为56.82平方米，（分摊）出让国有建设用地使用权面积为平方米。估价对象用途为。</v>
      </c>
    </row>
    <row r="8" spans="1:2">
      <c r="A8" s="2853" t="s">
        <v>2674</v>
      </c>
      <c r="B8" s="2840" t="str">
        <f>'预评函-1'!A8</f>
        <v>为估价委托人了解估价对象房地产市场价值提供参考依据。</v>
      </c>
    </row>
    <row r="9" spans="1:2">
      <c r="A9" s="2853" t="s">
        <v>2675</v>
      </c>
      <c r="B9" s="2840" t="str">
        <f>'预评函-1'!A10</f>
        <v>2017年7月18日（评估专业人员实地查勘之日）</v>
      </c>
    </row>
    <row r="10" spans="1:2">
      <c r="A10" s="2853" t="s">
        <v>2676</v>
      </c>
      <c r="B10" s="2840" t="str">
        <f>'预评函-1'!A13</f>
        <v>本次估价的“房地产价值”是指在正常市场情况下，在价值时点2017年7月18日，估价对象规划用途为，假定未设立法定优先受偿款下的房地产市场价值。</v>
      </c>
    </row>
    <row r="11" spans="1:2">
      <c r="A11" s="2853" t="s">
        <v>2677</v>
      </c>
      <c r="B11" s="2840"/>
    </row>
    <row r="12" spans="1:2">
      <c r="A12" s="2853" t="s">
        <v>2678</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2679</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2680</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2681</v>
      </c>
      <c r="B15" s="2841" t="str">
        <f>'预评函-1'!A18</f>
        <v>本次评估采用的主估价方法为比较法和收益法。</v>
      </c>
    </row>
    <row r="16" spans="1:2" ht="15.75" thickTop="1">
      <c r="A16" s="2851" t="s">
        <v>2682</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2683</v>
      </c>
      <c r="B17" s="2840" t="str">
        <f>'预评函-2（1）'!B6</f>
        <v>北京市房地产</v>
      </c>
    </row>
    <row r="18" spans="1:2">
      <c r="A18" s="2853" t="s">
        <v>2684</v>
      </c>
      <c r="B18" s="2840">
        <f>'预评函-2（1）'!C6</f>
        <v>56.82</v>
      </c>
    </row>
    <row r="19" spans="1:2">
      <c r="A19" s="2853" t="s">
        <v>2685</v>
      </c>
      <c r="B19" s="2840">
        <f ca="1">'预评函-2（1）'!D7</f>
        <v>3201125</v>
      </c>
    </row>
    <row r="20" spans="1:2">
      <c r="A20" s="2853" t="s">
        <v>2733</v>
      </c>
      <c r="B20" s="2840" t="str">
        <f>'预评函-2（1）'!C7</f>
        <v>总价（元）</v>
      </c>
    </row>
    <row r="21" spans="1:2">
      <c r="A21" s="2853" t="s">
        <v>2686</v>
      </c>
      <c r="B21" s="2840">
        <f ca="1">'预评函-2（1）'!D9</f>
        <v>56338</v>
      </c>
    </row>
    <row r="22" spans="1:2">
      <c r="A22" s="2853" t="s">
        <v>2687</v>
      </c>
      <c r="B22" s="2840" t="str">
        <f ca="1">'预评函-2（1）'!D8</f>
        <v>叁佰贰拾万壹仟壹佰贰拾伍元整</v>
      </c>
    </row>
    <row r="23" spans="1:2">
      <c r="A23" s="2853" t="s">
        <v>2734</v>
      </c>
      <c r="B23" s="2840">
        <f>'预评函-2（1）'!D10</f>
        <v>0</v>
      </c>
    </row>
    <row r="24" spans="1:2">
      <c r="A24" s="2853" t="s">
        <v>2735</v>
      </c>
      <c r="B24" s="2840" t="str">
        <f>'预评函-2（1）'!C10</f>
        <v>总额（元）</v>
      </c>
    </row>
    <row r="25" spans="1:2">
      <c r="A25" s="2853" t="s">
        <v>2688</v>
      </c>
      <c r="B25" s="2840" t="str">
        <f>'预评函-2（1）'!D11</f>
        <v>零元整</v>
      </c>
    </row>
    <row r="26" spans="1:2">
      <c r="A26" s="2853" t="s">
        <v>2689</v>
      </c>
      <c r="B26" s="2840">
        <f>'预评函-2（1）'!D12</f>
        <v>0</v>
      </c>
    </row>
    <row r="27" spans="1:2">
      <c r="A27" s="2853" t="s">
        <v>2690</v>
      </c>
      <c r="B27" s="2840">
        <f>'预评函-2（1）'!D13</f>
        <v>0</v>
      </c>
    </row>
    <row r="28" spans="1:2">
      <c r="A28" s="2853" t="s">
        <v>2691</v>
      </c>
      <c r="B28" s="2840">
        <f>'预评函-2（1）'!D14</f>
        <v>0</v>
      </c>
    </row>
    <row r="29" spans="1:2">
      <c r="A29" s="2853" t="s">
        <v>2692</v>
      </c>
      <c r="B29" s="2840">
        <f ca="1">'预评函-2（1）'!D15</f>
        <v>3201125</v>
      </c>
    </row>
    <row r="30" spans="1:2">
      <c r="A30" s="2853" t="s">
        <v>2693</v>
      </c>
      <c r="B30" s="2840" t="str">
        <f ca="1">'预评函-2（1）'!D16</f>
        <v>叁佰贰拾万壹仟壹佰贰拾伍元整</v>
      </c>
    </row>
    <row r="31" spans="1:2">
      <c r="A31" s="2853" t="s">
        <v>2694</v>
      </c>
      <c r="B31" s="2840" t="str">
        <f>'预评函-2（1）'!D18</f>
        <v>——</v>
      </c>
    </row>
    <row r="32" spans="1:2">
      <c r="A32" s="2853" t="s">
        <v>2695</v>
      </c>
      <c r="B32" s="2840" t="e">
        <f>'预评函-2（1）'!D19</f>
        <v>#VALUE!</v>
      </c>
    </row>
    <row r="33" spans="1:2">
      <c r="A33" s="2853" t="s">
        <v>2696</v>
      </c>
      <c r="B33" s="2840" t="str">
        <f>'预评函-2（1）'!D21</f>
        <v>——</v>
      </c>
    </row>
    <row r="34" spans="1:2">
      <c r="A34" s="2853" t="s">
        <v>2697</v>
      </c>
      <c r="B34" s="2840" t="str">
        <f ca="1">'预评函-2（1）'!D23</f>
        <v>——</v>
      </c>
    </row>
    <row r="35" spans="1:2">
      <c r="A35" s="2853" t="s">
        <v>2698</v>
      </c>
      <c r="B35" s="2840" t="e">
        <f>'预评函-2（1）'!D22</f>
        <v>#VALUE!</v>
      </c>
    </row>
    <row r="36" spans="1:2">
      <c r="A36" s="2853" t="s">
        <v>2699</v>
      </c>
      <c r="B36" s="2840">
        <f>'预评函-2（2）'!C4</f>
        <v>0</v>
      </c>
    </row>
    <row r="37" spans="1:2">
      <c r="A37" s="2853" t="s">
        <v>2700</v>
      </c>
      <c r="B37" s="2840">
        <f ca="1">'预评函-2（2）'!D4</f>
        <v>2996232</v>
      </c>
    </row>
    <row r="38" spans="1:2">
      <c r="A38" s="2853" t="s">
        <v>2701</v>
      </c>
      <c r="B38" s="2840">
        <f ca="1">'预评函-2（2）'!E4</f>
        <v>52732</v>
      </c>
    </row>
    <row r="39" spans="1:2">
      <c r="A39" s="2853" t="s">
        <v>2702</v>
      </c>
      <c r="B39" s="2840" t="str">
        <f ca="1">'预评函-2（2）'!D5</f>
        <v>贰佰玖拾玖万陆仟贰佰叁拾贰元整</v>
      </c>
    </row>
    <row r="40" spans="1:2">
      <c r="A40" s="2853" t="s">
        <v>2703</v>
      </c>
      <c r="B40" s="2840">
        <f ca="1">'预评函-2（2）'!F4</f>
        <v>204893</v>
      </c>
    </row>
    <row r="41" spans="1:2">
      <c r="A41" s="2853" t="s">
        <v>2704</v>
      </c>
      <c r="B41" s="2840">
        <f ca="1">'预评函-2（2）'!G4</f>
        <v>3606</v>
      </c>
    </row>
    <row r="42" spans="1:2" s="2850" customFormat="1" ht="15.75" thickBot="1">
      <c r="A42" s="2854" t="s">
        <v>2705</v>
      </c>
      <c r="B42" s="2842" t="str">
        <f ca="1">'预评函-2（2）'!F5</f>
        <v>贰拾万肆仟捌佰玖拾叁元整</v>
      </c>
    </row>
    <row r="43" spans="1:2" ht="15.75" thickTop="1">
      <c r="A43" s="2851" t="s">
        <v>2706</v>
      </c>
      <c r="B43" s="2843" t="str">
        <f>'预评函-3'!A13</f>
        <v>——</v>
      </c>
    </row>
    <row r="44" spans="1:2">
      <c r="A44" s="2853" t="s">
        <v>2707</v>
      </c>
      <c r="B44" s="2840" t="str">
        <f>'预评函-3'!A14</f>
        <v>——</v>
      </c>
    </row>
    <row r="45" spans="1:2">
      <c r="A45" s="2853" t="s">
        <v>2708</v>
      </c>
      <c r="B45" s="2840" t="str">
        <f>'预评函-3'!A15</f>
        <v>——</v>
      </c>
    </row>
    <row r="46" spans="1:2">
      <c r="A46" s="2853" t="s">
        <v>2709</v>
      </c>
      <c r="B46" s="2840" t="str">
        <f>'预评函-3'!A16</f>
        <v>——</v>
      </c>
    </row>
    <row r="47" spans="1:2">
      <c r="A47" s="2853" t="s">
        <v>2710</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2731</v>
      </c>
      <c r="B48" s="2840" t="str">
        <f>'预评函-3'!A18</f>
        <v>——</v>
      </c>
    </row>
    <row r="49" spans="1:2">
      <c r="A49" s="2853" t="s">
        <v>2711</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2712</v>
      </c>
      <c r="B50" s="2840" t="str">
        <f>'预评函-3'!A20</f>
        <v>6.其他需特殊说明事项：无（注意修改序号）</v>
      </c>
    </row>
    <row r="51" spans="1:2" s="2850" customFormat="1" thickBot="1">
      <c r="A51" s="2854" t="s">
        <v>2713</v>
      </c>
      <c r="B51" s="2847">
        <f>'预评函-3'!D29</f>
        <v>42551</v>
      </c>
    </row>
    <row r="52" spans="1:2" ht="15.75" thickTop="1">
      <c r="A52" s="2851" t="s">
        <v>2714</v>
      </c>
      <c r="B52" s="2846" t="str">
        <f>'预评函-3'!A4</f>
        <v>陈颖</v>
      </c>
    </row>
    <row r="53" spans="1:2">
      <c r="A53" s="2853" t="s">
        <v>2715</v>
      </c>
      <c r="B53" s="2840">
        <f ca="1">'预评函-3'!B4</f>
        <v>1120060040</v>
      </c>
    </row>
    <row r="54" spans="1:2">
      <c r="A54" s="2853" t="s">
        <v>2716</v>
      </c>
      <c r="B54" s="2844" t="str">
        <f>'预评函-3'!A5</f>
        <v>叶凌</v>
      </c>
    </row>
    <row r="55" spans="1:2" s="2850" customFormat="1" ht="15.75" thickBot="1">
      <c r="A55" s="2854" t="s">
        <v>2717</v>
      </c>
      <c r="B55" s="2842">
        <f ca="1">'预评函-3'!B5</f>
        <v>1119970111</v>
      </c>
    </row>
    <row r="56" spans="1:2" ht="15.75" thickTop="1">
      <c r="A56" s="2856" t="s">
        <v>2736</v>
      </c>
      <c r="B56" s="2840" t="str">
        <f>'预评函-2（1）'!B15</f>
        <v>3.房地产抵押价值</v>
      </c>
    </row>
    <row r="57" spans="1:2">
      <c r="A57" s="2856" t="s">
        <v>2737</v>
      </c>
      <c r="B57" s="2840" t="str">
        <f>'预评函-2（1）'!B18</f>
        <v>——</v>
      </c>
    </row>
    <row r="58" spans="1:2" s="2850" customFormat="1" ht="15.75" thickBot="1">
      <c r="A58" s="2857" t="s">
        <v>2738</v>
      </c>
      <c r="B58" s="2841" t="str">
        <f>'预评函-2（1）'!B21</f>
        <v>——</v>
      </c>
    </row>
    <row r="59" spans="1:2" ht="15.75" thickTop="1">
      <c r="A59" s="2858" t="s">
        <v>2741</v>
      </c>
      <c r="B59" s="2838" t="str">
        <f>'预评函-2（1）'!B45</f>
        <v>单位：元、元/平方米（单位：人民币）</v>
      </c>
    </row>
    <row r="60" spans="1:2">
      <c r="A60" s="2856" t="s">
        <v>2742</v>
      </c>
      <c r="B60" s="2840" t="str">
        <f>'预评函-2（2）'!D2</f>
        <v>出让国有建设用地使用权价值</v>
      </c>
    </row>
    <row r="61" spans="1:2" s="2852" customFormat="1">
      <c r="A61" s="2856" t="s">
        <v>2743</v>
      </c>
      <c r="B61" s="2840" t="str">
        <f>'预评函-2（2）'!A14</f>
        <v>单位：平方米、元、元/平方米（币种：人民币）</v>
      </c>
    </row>
    <row r="62" spans="1:2" ht="28.5">
      <c r="A62" s="2856" t="s">
        <v>2907</v>
      </c>
      <c r="B62" s="2840">
        <f ca="1">'预评函-2（1）'!D38</f>
        <v>56338</v>
      </c>
    </row>
    <row r="63" spans="1:2" s="2852" customFormat="1" ht="28.5">
      <c r="A63" s="2856" t="s">
        <v>2908</v>
      </c>
      <c r="B63" s="2840" t="str">
        <f>'预评函-2（1）'!D41</f>
        <v>——</v>
      </c>
    </row>
    <row r="64" spans="1:2">
      <c r="A64" s="2856" t="s">
        <v>2765</v>
      </c>
      <c r="B64" s="2840" t="str">
        <f>'预评函-2（2）'!A6</f>
        <v>估价师所知悉的法定优先受偿款</v>
      </c>
    </row>
    <row r="65" spans="1:2">
      <c r="A65" s="2856" t="s">
        <v>2766</v>
      </c>
      <c r="B65" s="2840" t="str">
        <f>'预评函-2（2）'!A8</f>
        <v>房地产抵押价值</v>
      </c>
    </row>
    <row r="66" spans="1:2">
      <c r="A66" s="2856" t="s">
        <v>2767</v>
      </c>
      <c r="B66" s="2840" t="str">
        <f>'预评函-2（2）'!A10</f>
        <v/>
      </c>
    </row>
    <row r="67" spans="1:2" s="2850" customFormat="1" ht="15.75" thickBot="1">
      <c r="A67" s="2857" t="s">
        <v>2768</v>
      </c>
      <c r="B67" s="2841" t="str">
        <f>'预评函-2（2）'!A12</f>
        <v/>
      </c>
    </row>
    <row r="68" spans="1:2" ht="15.75" thickTop="1">
      <c r="A68" s="2859" t="s">
        <v>2772</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1858</v>
      </c>
      <c r="B1" s="1825" t="str">
        <f>IF(B6="北京市","北京市",C6)&amp;IF(E12="房屋所有权证",B28,E28)&amp;D5&amp;"预评估"</f>
        <v>北京市房地产市场价值预评估</v>
      </c>
      <c r="C1" s="1826"/>
      <c r="D1" s="1827"/>
      <c r="E1" s="1828"/>
      <c r="F1" s="2821" t="s">
        <v>1906</v>
      </c>
      <c r="G1" s="2822"/>
      <c r="I1" s="1026" t="str">
        <f>IF(B6="北京市","北京市",C6)&amp;IF(E12="房屋所有权证",B28,E28)&amp;"房地产"</f>
        <v>北京市房地产</v>
      </c>
    </row>
    <row r="2" spans="1:15" ht="13.5" thickTop="1">
      <c r="A2" s="2823" t="s">
        <v>1984</v>
      </c>
      <c r="B2" s="1877">
        <v>42934</v>
      </c>
      <c r="C2" s="1829" t="s">
        <v>1985</v>
      </c>
      <c r="D2" s="1877">
        <f>B2</f>
        <v>42934</v>
      </c>
      <c r="E2" s="1830"/>
      <c r="F2" s="1830"/>
      <c r="G2" s="2824"/>
      <c r="H2" s="1723"/>
    </row>
    <row r="3" spans="1:15" ht="13.5" thickBot="1">
      <c r="A3" s="2825" t="s">
        <v>1997</v>
      </c>
      <c r="B3" s="1832" t="s">
        <v>2911</v>
      </c>
      <c r="C3" s="1833">
        <f ca="1">SUMIF(注册房地产估价师,B3,估价师及机构信息!B3:B24)</f>
        <v>1120060040</v>
      </c>
      <c r="D3" s="1832" t="s">
        <v>2912</v>
      </c>
      <c r="E3" s="1834">
        <f ca="1">SUMIF(注册房地产估价师,D3,估价师及机构信息!B3:B24)</f>
        <v>1119970111</v>
      </c>
      <c r="F3" s="1835"/>
      <c r="G3" s="2826"/>
      <c r="H3" s="1723"/>
    </row>
    <row r="4" spans="1:15" ht="13.5" customHeight="1" thickTop="1">
      <c r="A4" s="2827" t="s">
        <v>1888</v>
      </c>
      <c r="B4" s="1836"/>
      <c r="C4" s="1837" t="s">
        <v>1890</v>
      </c>
      <c r="D4" s="1838" t="s">
        <v>2913</v>
      </c>
      <c r="E4" s="1830"/>
      <c r="F4" s="1830"/>
      <c r="G4" s="2824"/>
    </row>
    <row r="5" spans="1:15">
      <c r="A5" s="2828" t="s">
        <v>1889</v>
      </c>
      <c r="B5" s="1717"/>
      <c r="C5" s="1660" t="s">
        <v>1891</v>
      </c>
      <c r="D5" s="1847" t="s">
        <v>2914</v>
      </c>
      <c r="E5" s="1860" t="s">
        <v>2008</v>
      </c>
      <c r="F5" s="1704"/>
      <c r="G5" s="1816"/>
      <c r="I5" s="1026" t="str">
        <f>IF(C16="否","截至估价时点，估价对象抵押权未见登记。","截至价值时点，估价对象已设定抵押。")</f>
        <v>截至价值时点，估价对象已设定抵押。</v>
      </c>
    </row>
    <row r="6" spans="1:15" ht="24">
      <c r="A6" s="2829" t="s">
        <v>1821</v>
      </c>
      <c r="B6" s="1091" t="s">
        <v>2915</v>
      </c>
      <c r="C6" s="1668" t="s">
        <v>2975</v>
      </c>
      <c r="D6" s="1669" t="s">
        <v>1893</v>
      </c>
      <c r="E6" s="1725"/>
      <c r="F6" s="1724"/>
      <c r="G6" s="1855"/>
      <c r="I6" s="1869" t="str">
        <f>IF(COUNTIF(B5,"*上海银行*"),"上海银行","")</f>
        <v/>
      </c>
    </row>
    <row r="7" spans="1:15" ht="13.5" thickBot="1">
      <c r="A7" s="2825" t="s">
        <v>1822</v>
      </c>
      <c r="B7" s="1839" t="s">
        <v>2916</v>
      </c>
      <c r="C7" s="1840" t="str">
        <f>IF(B7="自然人","姓名","名称")</f>
        <v>姓名</v>
      </c>
      <c r="D7" s="1841" t="s">
        <v>2976</v>
      </c>
      <c r="E7" s="1842"/>
      <c r="F7" s="1835"/>
      <c r="G7" s="2826"/>
    </row>
    <row r="8" spans="1:15" ht="26.25" thickTop="1">
      <c r="A8" s="3190" t="s">
        <v>1894</v>
      </c>
      <c r="B8" s="1796" t="s">
        <v>1895</v>
      </c>
      <c r="C8" s="3203"/>
      <c r="D8" s="3204"/>
      <c r="E8" s="1702" t="s">
        <v>1899</v>
      </c>
      <c r="F8" s="1696" t="s">
        <v>1892</v>
      </c>
      <c r="G8" s="978" t="str">
        <f>C6</f>
        <v>朝阳区甘露园南里15号院4门422</v>
      </c>
    </row>
    <row r="9" spans="1:15" ht="24">
      <c r="A9" s="3190"/>
      <c r="B9" s="1643" t="s">
        <v>1904</v>
      </c>
      <c r="C9" s="1717" t="s">
        <v>2917</v>
      </c>
      <c r="D9" s="1719" t="s">
        <v>2918</v>
      </c>
      <c r="E9" s="1697" t="s">
        <v>1793</v>
      </c>
      <c r="F9" s="1671" t="s">
        <v>1199</v>
      </c>
      <c r="G9" s="1698"/>
    </row>
    <row r="10" spans="1:15" ht="13.5" thickBot="1">
      <c r="A10" s="3190"/>
      <c r="B10" s="1643" t="s">
        <v>1819</v>
      </c>
      <c r="C10" s="3205"/>
      <c r="D10" s="3206"/>
      <c r="E10" s="1699" t="s">
        <v>1794</v>
      </c>
      <c r="F10" s="1700" t="s">
        <v>1213</v>
      </c>
      <c r="G10" s="1701"/>
    </row>
    <row r="11" spans="1:15" ht="13.5" thickBot="1">
      <c r="A11" s="3190"/>
      <c r="B11" s="1815" t="s">
        <v>1820</v>
      </c>
      <c r="C11" s="3207"/>
      <c r="D11" s="3208"/>
      <c r="E11" s="1725"/>
      <c r="F11" s="1724"/>
      <c r="G11" s="1855"/>
    </row>
    <row r="12" spans="1:15" ht="24.75" thickBot="1">
      <c r="A12" s="3194" t="s">
        <v>2294</v>
      </c>
      <c r="B12" s="1694" t="s">
        <v>2299</v>
      </c>
      <c r="C12" s="1705">
        <v>56.82</v>
      </c>
      <c r="D12" s="1694" t="s">
        <v>1887</v>
      </c>
      <c r="E12" s="1720" t="s">
        <v>2899</v>
      </c>
      <c r="F12" s="2661" t="s">
        <v>2900</v>
      </c>
      <c r="G12" s="1855"/>
    </row>
    <row r="13" spans="1:15" ht="21" customHeight="1" thickBot="1">
      <c r="A13" s="3195"/>
      <c r="B13" s="1695" t="s">
        <v>2300</v>
      </c>
      <c r="C13" s="1706"/>
      <c r="D13" s="1695" t="s">
        <v>1887</v>
      </c>
      <c r="E13" s="1707" t="s">
        <v>2899</v>
      </c>
      <c r="F13" s="1724"/>
      <c r="G13" s="1855"/>
      <c r="I13" s="3213" t="s">
        <v>2005</v>
      </c>
      <c r="J13" s="189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7"/>
      <c r="B14" s="2659" t="s">
        <v>1905</v>
      </c>
      <c r="C14" s="2660"/>
      <c r="D14" s="1721"/>
      <c r="E14" s="1721"/>
      <c r="F14" s="1724"/>
      <c r="G14" s="1855"/>
      <c r="I14" s="3213"/>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5" ht="13.5" thickBot="1">
      <c r="A15" s="1843"/>
      <c r="B15" s="1844" t="s">
        <v>1885</v>
      </c>
      <c r="C15" s="1845">
        <v>2.5</v>
      </c>
      <c r="D15" s="1846"/>
      <c r="E15" s="1846"/>
      <c r="F15" s="1835"/>
      <c r="G15" s="2826"/>
      <c r="I15" s="3213"/>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1979</v>
      </c>
      <c r="B16" s="1820" t="s">
        <v>2002</v>
      </c>
      <c r="C16" s="1821" t="s">
        <v>2919</v>
      </c>
      <c r="D16" s="1822" t="s">
        <v>2004</v>
      </c>
      <c r="E16" s="1823" t="s">
        <v>2919</v>
      </c>
      <c r="F16" s="1849" t="str">
        <f>IF(AND(C16="是",E16="否"),"是否提供他项权证或相关说明","")</f>
        <v/>
      </c>
      <c r="G16" s="1823"/>
      <c r="J16" s="1026"/>
      <c r="K16" s="1868"/>
      <c r="L16" s="1868"/>
      <c r="M16" s="1868"/>
      <c r="O16" s="1869"/>
    </row>
    <row r="17" spans="1:15" ht="13.5" customHeight="1">
      <c r="A17" s="1814" t="s">
        <v>1980</v>
      </c>
      <c r="B17" s="3209" t="s">
        <v>1999</v>
      </c>
      <c r="C17" s="3210"/>
      <c r="D17" s="3211" t="s">
        <v>2000</v>
      </c>
      <c r="E17" s="3212"/>
      <c r="F17" s="3098" t="s">
        <v>2001</v>
      </c>
      <c r="G17" s="3100"/>
      <c r="J17" s="1026"/>
    </row>
    <row r="18" spans="1:15" ht="24">
      <c r="A18" s="1814"/>
      <c r="B18" s="1878" t="s">
        <v>2902</v>
      </c>
      <c r="C18" s="1816" t="s">
        <v>1998</v>
      </c>
      <c r="D18" s="1818" t="s">
        <v>2006</v>
      </c>
      <c r="E18" s="1819" t="s">
        <v>1975</v>
      </c>
      <c r="F18" s="3099"/>
      <c r="G18" s="3101"/>
      <c r="H18" s="1723"/>
      <c r="J18" s="1026"/>
    </row>
    <row r="19" spans="1:15" ht="21.75" customHeight="1" thickBot="1">
      <c r="A19" s="1814"/>
      <c r="B19" s="1879"/>
      <c r="C19" s="1707"/>
      <c r="D19" s="1854"/>
      <c r="E19" s="1721"/>
      <c r="F19" s="1721"/>
      <c r="G19" s="3101"/>
    </row>
    <row r="20" spans="1:15">
      <c r="A20" s="3095" t="s">
        <v>2003</v>
      </c>
      <c r="B20" s="3094" t="s">
        <v>1971</v>
      </c>
      <c r="C20" s="1848"/>
      <c r="D20" s="1813" t="s">
        <v>1971</v>
      </c>
      <c r="E20" s="1848"/>
      <c r="F20" s="1721"/>
      <c r="G20" s="3101"/>
    </row>
    <row r="21" spans="1:15">
      <c r="A21" s="3096"/>
      <c r="B21" s="1787" t="s">
        <v>1972</v>
      </c>
      <c r="C21" s="3069"/>
      <c r="D21" s="1814" t="s">
        <v>1972</v>
      </c>
      <c r="E21" s="3091"/>
      <c r="F21" s="1724"/>
      <c r="G21" s="3102"/>
    </row>
    <row r="22" spans="1:15">
      <c r="A22" s="3096"/>
      <c r="B22" s="3083" t="s">
        <v>1973</v>
      </c>
      <c r="C22" s="3090"/>
      <c r="D22" s="3083" t="s">
        <v>1973</v>
      </c>
      <c r="E22" s="3091"/>
      <c r="F22" s="1724"/>
      <c r="G22" s="3102"/>
    </row>
    <row r="23" spans="1:15" s="3087" customFormat="1" ht="21" thickBot="1">
      <c r="A23" s="3097"/>
      <c r="B23" s="3089" t="s">
        <v>1974</v>
      </c>
      <c r="C23" s="3092"/>
      <c r="D23" s="3089" t="s">
        <v>1974</v>
      </c>
      <c r="E23" s="3093"/>
      <c r="F23" s="1724"/>
      <c r="G23" s="3102"/>
      <c r="H23" s="3084"/>
      <c r="I23" s="3070"/>
      <c r="J23" s="3085"/>
      <c r="K23" s="3086"/>
      <c r="L23" s="3086"/>
      <c r="M23" s="3086"/>
      <c r="O23" s="3088"/>
    </row>
    <row r="24" spans="1:15" ht="13.5" thickBot="1">
      <c r="A24" s="1852" t="s">
        <v>1864</v>
      </c>
      <c r="B24" s="1724"/>
      <c r="C24" s="1724"/>
      <c r="D24" s="1724"/>
      <c r="E24" s="1724"/>
      <c r="F24" s="1724"/>
      <c r="G24" s="3103"/>
      <c r="I24" s="1029"/>
      <c r="K24" s="1851"/>
    </row>
    <row r="25" spans="1:15" s="1870" customFormat="1" ht="13.5" thickBot="1">
      <c r="A25" s="1670"/>
      <c r="B25" s="1788" t="s">
        <v>1976</v>
      </c>
      <c r="C25" s="1670"/>
      <c r="D25" s="1703"/>
      <c r="E25" s="1710" t="s">
        <v>1896</v>
      </c>
      <c r="F25" s="1670"/>
      <c r="G25" s="1789" t="s">
        <v>1977</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1865</v>
      </c>
      <c r="B27" s="1682"/>
      <c r="C27" s="3197" t="s">
        <v>1897</v>
      </c>
      <c r="D27" s="3198"/>
      <c r="E27" s="1682"/>
      <c r="F27" s="1693" t="s">
        <v>1865</v>
      </c>
      <c r="G27" s="1682"/>
      <c r="I27" s="1029"/>
      <c r="K27" s="1851"/>
    </row>
    <row r="28" spans="1:15">
      <c r="A28" s="1687" t="s">
        <v>1824</v>
      </c>
      <c r="B28" s="1722"/>
      <c r="C28" s="3199" t="s">
        <v>1812</v>
      </c>
      <c r="D28" s="3200"/>
      <c r="E28" s="1722"/>
      <c r="F28" s="2819" t="s">
        <v>1825</v>
      </c>
      <c r="G28" s="1634"/>
      <c r="I28" s="1029"/>
      <c r="K28" s="1851"/>
    </row>
    <row r="29" spans="1:15">
      <c r="A29" s="1687" t="s">
        <v>1823</v>
      </c>
      <c r="B29" s="1634"/>
      <c r="C29" s="3199" t="s">
        <v>1810</v>
      </c>
      <c r="D29" s="3200"/>
      <c r="E29" s="1634"/>
      <c r="F29" s="2819" t="s">
        <v>1826</v>
      </c>
      <c r="G29" s="1634"/>
      <c r="I29" s="1029"/>
      <c r="K29" s="1851"/>
    </row>
    <row r="30" spans="1:15">
      <c r="A30" s="1686" t="s">
        <v>1838</v>
      </c>
      <c r="B30" s="1634"/>
      <c r="C30" s="3219" t="s">
        <v>1813</v>
      </c>
      <c r="D30" s="1716"/>
      <c r="E30" s="1726" t="str">
        <f>E31&amp;" "&amp;E32&amp;" "&amp;E33&amp;" "&amp;E34</f>
        <v xml:space="preserve">   </v>
      </c>
      <c r="F30" s="2819" t="s">
        <v>1828</v>
      </c>
      <c r="G30" s="1634"/>
    </row>
    <row r="31" spans="1:15">
      <c r="A31" s="1687" t="s">
        <v>1827</v>
      </c>
      <c r="B31" s="1634"/>
      <c r="C31" s="3220"/>
      <c r="D31" s="1692" t="s">
        <v>1839</v>
      </c>
      <c r="E31" s="1634"/>
      <c r="F31" s="2819" t="s">
        <v>1830</v>
      </c>
      <c r="G31" s="1634"/>
    </row>
    <row r="32" spans="1:15" ht="24.75" thickBot="1">
      <c r="A32" s="1688" t="s">
        <v>1829</v>
      </c>
      <c r="B32" s="1683"/>
      <c r="C32" s="3220"/>
      <c r="D32" s="1692" t="s">
        <v>1840</v>
      </c>
      <c r="E32" s="1634"/>
      <c r="F32" s="2819" t="s">
        <v>1831</v>
      </c>
      <c r="G32" s="1634"/>
    </row>
    <row r="33" spans="1:7">
      <c r="A33" s="1709" t="s">
        <v>1837</v>
      </c>
      <c r="B33" s="1682"/>
      <c r="C33" s="3220"/>
      <c r="D33" s="1692" t="s">
        <v>1841</v>
      </c>
      <c r="E33" s="1634"/>
      <c r="F33" s="2819" t="s">
        <v>1833</v>
      </c>
      <c r="G33" s="1634"/>
    </row>
    <row r="34" spans="1:7" ht="13.5" thickBot="1">
      <c r="A34" s="1687" t="s">
        <v>1866</v>
      </c>
      <c r="B34" s="1722"/>
      <c r="C34" s="3221"/>
      <c r="D34" s="1692" t="s">
        <v>1842</v>
      </c>
      <c r="E34" s="1634"/>
      <c r="F34" s="2820" t="s">
        <v>1835</v>
      </c>
      <c r="G34" s="1684"/>
    </row>
    <row r="35" spans="1:7">
      <c r="A35" s="1687" t="s">
        <v>1834</v>
      </c>
      <c r="B35" s="1634"/>
      <c r="C35" s="3199" t="s">
        <v>1814</v>
      </c>
      <c r="D35" s="3200"/>
      <c r="E35" s="1634"/>
      <c r="F35" s="1711" t="s">
        <v>1867</v>
      </c>
      <c r="G35" s="1682"/>
    </row>
    <row r="36" spans="1:7" ht="24.75" thickBot="1">
      <c r="A36" s="1687" t="s">
        <v>1868</v>
      </c>
      <c r="B36" s="1634"/>
      <c r="C36" s="3201" t="s">
        <v>1815</v>
      </c>
      <c r="D36" s="3202"/>
      <c r="E36" s="1683"/>
      <c r="F36" s="2818" t="s">
        <v>1869</v>
      </c>
      <c r="G36" s="1634"/>
    </row>
    <row r="37" spans="1:7" ht="13.5" thickBot="1">
      <c r="A37" s="1687" t="s">
        <v>1870</v>
      </c>
      <c r="B37" s="1634"/>
      <c r="C37" s="3191" t="s">
        <v>1816</v>
      </c>
      <c r="D37" s="2817" t="s">
        <v>1848</v>
      </c>
      <c r="E37" s="1682"/>
      <c r="F37" s="2820" t="s">
        <v>1871</v>
      </c>
      <c r="G37" s="1683"/>
    </row>
    <row r="38" spans="1:7">
      <c r="A38" s="1687" t="s">
        <v>1832</v>
      </c>
      <c r="B38" s="1634"/>
      <c r="C38" s="3192"/>
      <c r="D38" s="1692" t="s">
        <v>1849</v>
      </c>
      <c r="E38" s="1634"/>
      <c r="F38" s="1693" t="s">
        <v>1876</v>
      </c>
      <c r="G38" s="1682"/>
    </row>
    <row r="39" spans="1:7">
      <c r="A39" s="1687" t="s">
        <v>1873</v>
      </c>
      <c r="B39" s="1634"/>
      <c r="C39" s="3192" t="s">
        <v>1898</v>
      </c>
      <c r="D39" s="1692" t="s">
        <v>1846</v>
      </c>
      <c r="E39" s="1634"/>
      <c r="F39" s="2819" t="s">
        <v>1879</v>
      </c>
      <c r="G39" s="1634"/>
    </row>
    <row r="40" spans="1:7" ht="24.75" customHeight="1" thickBot="1">
      <c r="A40" s="1688" t="s">
        <v>1875</v>
      </c>
      <c r="B40" s="1683"/>
      <c r="C40" s="3193"/>
      <c r="D40" s="2816" t="s">
        <v>1847</v>
      </c>
      <c r="E40" s="1683"/>
      <c r="F40" s="2820" t="s">
        <v>1881</v>
      </c>
      <c r="G40" s="1683"/>
    </row>
    <row r="41" spans="1:7">
      <c r="A41" s="1691" t="s">
        <v>1878</v>
      </c>
      <c r="B41" s="1790"/>
      <c r="C41" s="3214" t="s">
        <v>1818</v>
      </c>
      <c r="D41" s="3215"/>
      <c r="E41" s="1790"/>
      <c r="F41" s="1693" t="s">
        <v>1872</v>
      </c>
      <c r="G41" s="1790"/>
    </row>
    <row r="42" spans="1:7">
      <c r="A42" s="1784" t="s">
        <v>1978</v>
      </c>
      <c r="B42" s="1791"/>
      <c r="C42" s="1778"/>
      <c r="D42" s="1782"/>
      <c r="E42" s="1791"/>
      <c r="F42" s="1783"/>
      <c r="G42" s="1791"/>
    </row>
    <row r="43" spans="1:7">
      <c r="A43" s="1785" t="s">
        <v>1971</v>
      </c>
      <c r="B43" s="1781"/>
      <c r="C43" s="1778"/>
      <c r="D43" s="1786" t="s">
        <v>1971</v>
      </c>
      <c r="E43" s="1781"/>
      <c r="F43" s="1785" t="s">
        <v>1971</v>
      </c>
      <c r="G43" s="1781"/>
    </row>
    <row r="44" spans="1:7">
      <c r="A44" s="1785" t="s">
        <v>1972</v>
      </c>
      <c r="B44" s="1781"/>
      <c r="C44" s="1778"/>
      <c r="D44" s="1787" t="s">
        <v>1972</v>
      </c>
      <c r="E44" s="1781"/>
      <c r="F44" s="1785" t="s">
        <v>1972</v>
      </c>
      <c r="G44" s="1781"/>
    </row>
    <row r="45" spans="1:7">
      <c r="A45" s="1785" t="s">
        <v>1973</v>
      </c>
      <c r="B45" s="1781"/>
      <c r="C45" s="1778"/>
      <c r="D45" s="1787" t="s">
        <v>1973</v>
      </c>
      <c r="E45" s="1781"/>
      <c r="F45" s="1785" t="s">
        <v>1973</v>
      </c>
      <c r="G45" s="1781"/>
    </row>
    <row r="46" spans="1:7">
      <c r="A46" s="1785" t="s">
        <v>1974</v>
      </c>
      <c r="B46" s="1781"/>
      <c r="C46" s="1778"/>
      <c r="D46" s="1787" t="s">
        <v>1974</v>
      </c>
      <c r="E46" s="1781"/>
      <c r="F46" s="1785" t="s">
        <v>1974</v>
      </c>
      <c r="G46" s="1781"/>
    </row>
    <row r="47" spans="1:7">
      <c r="A47" s="1780"/>
      <c r="B47" s="1781"/>
      <c r="C47" s="1778"/>
      <c r="D47" s="1782"/>
      <c r="E47" s="1781"/>
      <c r="F47" s="1783"/>
      <c r="G47" s="1781"/>
    </row>
    <row r="48" spans="1:7" ht="13.5" thickBot="1">
      <c r="A48" s="1688" t="s">
        <v>1880</v>
      </c>
      <c r="B48" s="1708"/>
      <c r="C48" s="3216" t="s">
        <v>1811</v>
      </c>
      <c r="D48" s="3217"/>
      <c r="E48" s="1777"/>
      <c r="F48" s="2820" t="s">
        <v>1874</v>
      </c>
      <c r="G48" s="1683"/>
    </row>
    <row r="49" spans="1:15">
      <c r="A49" s="1687" t="s">
        <v>1877</v>
      </c>
      <c r="B49" s="1776"/>
      <c r="C49" s="3191" t="s">
        <v>1843</v>
      </c>
      <c r="D49" s="3218"/>
      <c r="E49" s="1779"/>
      <c r="F49" s="1873"/>
      <c r="G49" s="1874"/>
    </row>
    <row r="50" spans="1:15" ht="13.5" thickBot="1">
      <c r="A50" s="1689" t="s">
        <v>1836</v>
      </c>
      <c r="B50" s="1776"/>
      <c r="C50" s="3193" t="s">
        <v>1817</v>
      </c>
      <c r="D50" s="3196"/>
      <c r="E50" s="1683"/>
      <c r="F50" s="1724"/>
      <c r="G50" s="1855"/>
    </row>
    <row r="51" spans="1:15">
      <c r="A51" s="1689" t="s">
        <v>1845</v>
      </c>
      <c r="B51" s="1634"/>
      <c r="C51" s="1724"/>
      <c r="D51" s="1724"/>
      <c r="E51" s="1724"/>
      <c r="F51" s="1724"/>
      <c r="G51" s="1855"/>
    </row>
    <row r="52" spans="1:15" ht="24.75" thickBot="1">
      <c r="A52" s="1690" t="s">
        <v>1844</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2" t="s">
        <v>2</v>
      </c>
      <c r="B1" s="3162" t="s">
        <v>22</v>
      </c>
      <c r="C1" s="3162" t="s">
        <v>23</v>
      </c>
      <c r="D1" s="3222" t="s">
        <v>207</v>
      </c>
      <c r="E1" s="3222" t="s">
        <v>208</v>
      </c>
      <c r="F1" s="3222"/>
      <c r="G1" s="3222"/>
      <c r="H1" s="3222"/>
      <c r="I1" s="3222"/>
      <c r="J1" s="3222"/>
      <c r="K1" s="3222"/>
      <c r="L1" s="3222"/>
      <c r="M1" s="3222"/>
    </row>
    <row r="2" spans="1:13" ht="27" customHeight="1">
      <c r="A2" s="3162"/>
      <c r="B2" s="3162"/>
      <c r="C2" s="3162"/>
      <c r="D2" s="3222"/>
      <c r="E2" s="3222" t="s">
        <v>191</v>
      </c>
      <c r="F2" s="3222" t="s">
        <v>192</v>
      </c>
      <c r="G2" s="3222"/>
      <c r="H2" s="3222"/>
      <c r="I2" s="3222"/>
      <c r="J2" s="3222" t="s">
        <v>193</v>
      </c>
      <c r="K2" s="3222"/>
      <c r="L2" s="3222"/>
      <c r="M2" s="3222"/>
    </row>
    <row r="3" spans="1:13" ht="28.5">
      <c r="A3" s="3162"/>
      <c r="B3" s="3162"/>
      <c r="C3" s="3162"/>
      <c r="D3" s="3222"/>
      <c r="E3" s="3222"/>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2" t="s">
        <v>209</v>
      </c>
      <c r="B9" s="3222"/>
      <c r="C9" s="3222"/>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K25" sqref="K25"/>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42934</v>
      </c>
      <c r="C2" s="2080"/>
      <c r="D2" s="3223" t="s">
        <v>2287</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2205</v>
      </c>
      <c r="B3" s="2018" t="s">
        <v>2920</v>
      </c>
      <c r="C3" s="2080"/>
      <c r="D3" s="3224"/>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2206</v>
      </c>
      <c r="B4" s="2018" t="s">
        <v>6</v>
      </c>
      <c r="C4" s="2080"/>
      <c r="D4" s="3224"/>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2291</v>
      </c>
      <c r="B5" s="2320">
        <f>项目基本情况!C12</f>
        <v>56.82</v>
      </c>
      <c r="C5" s="2080"/>
      <c r="D5" s="2044" t="s">
        <v>2288</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2290</v>
      </c>
      <c r="B6" s="2321">
        <f>项目基本情况!C13</f>
        <v>0</v>
      </c>
      <c r="C6" s="2080"/>
      <c r="D6" s="2044" t="s">
        <v>2289</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160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68510</v>
      </c>
      <c r="C12" s="2080"/>
      <c r="D12" s="27" t="s">
        <v>626</v>
      </c>
      <c r="E12" s="220">
        <v>200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f>成本法!C9</f>
        <v>9091</v>
      </c>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c r="F16" s="3046"/>
      <c r="G16" s="2080"/>
      <c r="H16" s="3225" t="s">
        <v>2922</v>
      </c>
      <c r="I16" s="3226"/>
      <c r="J16" s="3112"/>
      <c r="K16" s="3113"/>
      <c r="L16" s="3113"/>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24.75" thickBot="1">
      <c r="A17" s="1659" t="s">
        <v>610</v>
      </c>
      <c r="B17" s="1672">
        <v>0.08</v>
      </c>
      <c r="C17" s="2080"/>
      <c r="D17" s="1644" t="s">
        <v>611</v>
      </c>
      <c r="E17" s="1645">
        <f>1560+500</f>
        <v>2060</v>
      </c>
      <c r="F17" s="2155"/>
      <c r="G17" s="2080"/>
      <c r="H17" s="3114" t="s">
        <v>2923</v>
      </c>
      <c r="I17" s="3115">
        <v>0.02</v>
      </c>
      <c r="J17" s="3112"/>
      <c r="K17" s="3116"/>
      <c r="L17" s="3116"/>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24.75" thickBot="1">
      <c r="A18" s="2080"/>
      <c r="B18" s="2080"/>
      <c r="C18" s="2080"/>
      <c r="D18" s="1646" t="str">
        <f>IF(B25=0,"建安总额","在建建安")</f>
        <v>建安总额</v>
      </c>
      <c r="E18" s="1647">
        <f>ROUND(B5*E17*IF(B25=0,1,E20),0)</f>
        <v>117049</v>
      </c>
      <c r="F18" s="2322">
        <f>ROUND(E5*E17*IF(B25=0,1,E20),0)</f>
        <v>0</v>
      </c>
      <c r="G18" s="2080"/>
      <c r="H18" s="3114" t="s">
        <v>2924</v>
      </c>
      <c r="I18" s="3117" t="s">
        <v>2995</v>
      </c>
      <c r="J18" s="3112"/>
      <c r="K18" s="3116"/>
      <c r="L18" s="3118"/>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24.75" thickBot="1">
      <c r="A19" s="17" t="s">
        <v>21</v>
      </c>
      <c r="B19" s="2080"/>
      <c r="C19" s="2080"/>
      <c r="D19" s="1646" t="str">
        <f>IF(B25=0,"——","续建建安")</f>
        <v>——</v>
      </c>
      <c r="E19" s="1647" t="str">
        <f>IF(B25=0,"——",ROUND(B5*E17*(1-E20),0))</f>
        <v>——</v>
      </c>
      <c r="F19" s="2322" t="str">
        <f>IF(B25=0,"——",ROUND(E5*E17*(1-E20),0))</f>
        <v>——</v>
      </c>
      <c r="G19" s="2080"/>
      <c r="H19" s="3114" t="s">
        <v>2925</v>
      </c>
      <c r="I19" s="3117" t="s">
        <v>2996</v>
      </c>
      <c r="J19" s="3112"/>
      <c r="K19" s="3116"/>
      <c r="L19" s="3116"/>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f>ROUND(I20*I21+K27*I27,2)</f>
        <v>0.6</v>
      </c>
      <c r="F20" s="2155"/>
      <c r="G20" s="2080"/>
      <c r="H20" s="3114" t="s">
        <v>2926</v>
      </c>
      <c r="I20" s="3119">
        <f>ROUND(1-(1-I17)*I18/I19,2)</f>
        <v>0.55000000000000004</v>
      </c>
      <c r="J20" s="3112"/>
      <c r="K20" s="3116"/>
      <c r="L20" s="3116"/>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14.25">
      <c r="A21" s="22" t="s">
        <v>619</v>
      </c>
      <c r="B21" s="215">
        <v>1</v>
      </c>
      <c r="C21" s="2080"/>
      <c r="D21" s="27" t="s">
        <v>631</v>
      </c>
      <c r="E21" s="1000">
        <v>0.04</v>
      </c>
      <c r="F21" s="3047" t="s">
        <v>2872</v>
      </c>
      <c r="G21" s="2080"/>
      <c r="H21" s="3120" t="s">
        <v>2927</v>
      </c>
      <c r="I21" s="3121">
        <v>0.5</v>
      </c>
      <c r="J21" s="3112"/>
      <c r="K21" s="3116"/>
      <c r="L21" s="3116"/>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14.25">
      <c r="A22" s="2527" t="s">
        <v>2522</v>
      </c>
      <c r="B22" s="2528">
        <v>1</v>
      </c>
      <c r="C22" s="2080"/>
      <c r="D22" s="27" t="s">
        <v>632</v>
      </c>
      <c r="E22" s="223">
        <v>0.08</v>
      </c>
      <c r="F22" s="3047" t="s">
        <v>2873</v>
      </c>
      <c r="G22" s="2080"/>
      <c r="H22" s="3227" t="s">
        <v>2928</v>
      </c>
      <c r="I22" s="3227"/>
      <c r="J22" s="3227"/>
      <c r="K22" s="3227"/>
      <c r="L22" s="3227"/>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15" thickBot="1">
      <c r="A23" s="23" t="s">
        <v>620</v>
      </c>
      <c r="B23" s="216">
        <f>B20+B21</f>
        <v>1</v>
      </c>
      <c r="C23" s="2080"/>
      <c r="D23" s="27" t="s">
        <v>633</v>
      </c>
      <c r="E23" s="220">
        <v>200</v>
      </c>
      <c r="F23" s="3047" t="s">
        <v>2874</v>
      </c>
      <c r="G23" s="2080"/>
      <c r="H23" s="3122" t="s">
        <v>2929</v>
      </c>
      <c r="I23" s="3123" t="s">
        <v>2930</v>
      </c>
      <c r="J23" s="3123" t="s">
        <v>2931</v>
      </c>
      <c r="K23" s="3123" t="s">
        <v>2932</v>
      </c>
      <c r="L23" s="3123" t="s">
        <v>17</v>
      </c>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2520</v>
      </c>
      <c r="B24" s="2924">
        <f>B20+B22</f>
        <v>1</v>
      </c>
      <c r="C24" s="2080"/>
      <c r="D24" s="29" t="s">
        <v>634</v>
      </c>
      <c r="E24" s="3002">
        <v>1.4999999999999999E-2</v>
      </c>
      <c r="F24" s="3047" t="s">
        <v>2875</v>
      </c>
      <c r="G24" s="2080"/>
      <c r="H24" s="3122" t="s">
        <v>2933</v>
      </c>
      <c r="I24" s="3123">
        <v>100</v>
      </c>
      <c r="J24" s="3123" t="s">
        <v>2934</v>
      </c>
      <c r="K24" s="3123">
        <v>65</v>
      </c>
      <c r="L24" s="3124">
        <v>0.3</v>
      </c>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2521</v>
      </c>
      <c r="B25" s="2525">
        <f>B21-B22</f>
        <v>0</v>
      </c>
      <c r="C25" s="2076"/>
      <c r="D25" s="26" t="s">
        <v>635</v>
      </c>
      <c r="E25" s="1000">
        <v>0.02</v>
      </c>
      <c r="F25" s="3047" t="s">
        <v>2876</v>
      </c>
      <c r="H25" s="3122" t="s">
        <v>2935</v>
      </c>
      <c r="I25" s="3123">
        <v>100</v>
      </c>
      <c r="J25" s="3123" t="s">
        <v>2936</v>
      </c>
      <c r="K25" s="3123">
        <f>K24</f>
        <v>65</v>
      </c>
      <c r="L25" s="3124">
        <v>0.5</v>
      </c>
      <c r="AE25" s="2076"/>
      <c r="AF25" s="2076"/>
      <c r="AG25" s="2076"/>
      <c r="AH25" s="2076"/>
      <c r="AI25" s="2076"/>
      <c r="AJ25" s="2076"/>
      <c r="AK25" s="2076"/>
      <c r="AL25" s="2076"/>
      <c r="AM25" s="2076"/>
      <c r="AN25" s="2076"/>
      <c r="AO25" s="2076"/>
    </row>
    <row r="26" spans="1:41" ht="15" thickBot="1">
      <c r="A26" s="1905" t="s">
        <v>2017</v>
      </c>
      <c r="B26" s="1904">
        <v>1994</v>
      </c>
      <c r="C26" s="2080"/>
      <c r="D26" s="27" t="s">
        <v>636</v>
      </c>
      <c r="E26" s="223">
        <v>0.02</v>
      </c>
      <c r="F26" s="3047" t="s">
        <v>2876</v>
      </c>
      <c r="G26" s="2082"/>
      <c r="H26" s="3122" t="s">
        <v>2937</v>
      </c>
      <c r="I26" s="3123">
        <v>100</v>
      </c>
      <c r="J26" s="3123" t="s">
        <v>2938</v>
      </c>
      <c r="K26" s="3123">
        <f>K24</f>
        <v>65</v>
      </c>
      <c r="L26" s="3124">
        <f>1-L24-L25</f>
        <v>0.19999999999999996</v>
      </c>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4.3499999999999997E-2</v>
      </c>
      <c r="F27" s="3047" t="s">
        <v>2877</v>
      </c>
      <c r="G27" s="2082"/>
      <c r="H27" s="3125" t="s">
        <v>2939</v>
      </c>
      <c r="I27" s="3126">
        <f>1-I21</f>
        <v>0.5</v>
      </c>
      <c r="J27" s="3123" t="s">
        <v>2940</v>
      </c>
      <c r="K27" s="3127">
        <f>ROUND((K24*L24+K25*L25+K26*L26)/100,2)</f>
        <v>0.65</v>
      </c>
      <c r="L27" s="3128"/>
      <c r="N27" s="2080"/>
      <c r="AE27" s="2076"/>
      <c r="AF27" s="2076"/>
      <c r="AG27" s="2076"/>
      <c r="AH27" s="2076"/>
      <c r="AI27" s="2076"/>
      <c r="AJ27" s="2076"/>
      <c r="AK27" s="2076"/>
      <c r="AL27" s="2076"/>
      <c r="AM27" s="2076"/>
      <c r="AN27" s="2076"/>
      <c r="AO27" s="2076"/>
    </row>
    <row r="28" spans="1:41" ht="14.25" thickBot="1">
      <c r="A28" s="9" t="s">
        <v>1882</v>
      </c>
      <c r="B28" s="3009" t="s">
        <v>2921</v>
      </c>
      <c r="C28" s="2076"/>
      <c r="D28" s="1650" t="s">
        <v>612</v>
      </c>
      <c r="E28" s="1651">
        <v>0.25</v>
      </c>
      <c r="F28" s="3048"/>
      <c r="G28" s="2082"/>
      <c r="H28" s="2082"/>
      <c r="K28" s="2080"/>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4500</v>
      </c>
      <c r="C29" s="2076"/>
      <c r="D29" s="175" t="s">
        <v>638</v>
      </c>
      <c r="E29" s="1649">
        <f>E30+E31</f>
        <v>5.6000000000000001E-2</v>
      </c>
      <c r="F29" s="3044"/>
      <c r="G29" s="2082"/>
      <c r="H29" s="2082"/>
      <c r="K29" s="2080"/>
      <c r="N29" s="2080"/>
      <c r="AE29" s="2076"/>
      <c r="AF29" s="2076"/>
      <c r="AG29" s="2076"/>
      <c r="AH29" s="2076"/>
      <c r="AI29" s="2076"/>
      <c r="AJ29" s="2076"/>
      <c r="AK29" s="2076"/>
      <c r="AL29" s="2076"/>
      <c r="AM29" s="2076"/>
      <c r="AN29" s="2076"/>
      <c r="AO29" s="2076"/>
    </row>
    <row r="30" spans="1:41" ht="14.25">
      <c r="A30" s="1655" t="s">
        <v>2448</v>
      </c>
      <c r="B30" s="2489">
        <f ca="1">存贷款利率!I1</f>
        <v>1.4999999999999999E-2</v>
      </c>
      <c r="C30" s="2076"/>
      <c r="D30" s="1028" t="s">
        <v>639</v>
      </c>
      <c r="E30" s="224">
        <v>0.05</v>
      </c>
      <c r="F30" s="3064">
        <f>IF(B2&lt;DATE(2016,5,1),0,E30)</f>
        <v>0.05</v>
      </c>
      <c r="G30" s="2082"/>
      <c r="H30" s="2082"/>
      <c r="K30" s="2080"/>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2082"/>
      <c r="K31" s="2080"/>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-23</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1809</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2228</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1.4999999999999999E-2</v>
      </c>
      <c r="C44" s="2155" t="s">
        <v>2385</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1.5E-3</v>
      </c>
      <c r="C45" s="2155" t="s">
        <v>2386</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0.01</v>
      </c>
      <c r="C46" s="2155" t="s">
        <v>2387</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16:I16"/>
    <mergeCell ref="H22:L2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8" t="s">
        <v>665</v>
      </c>
      <c r="B1" s="3229"/>
      <c r="C1" s="3229"/>
      <c r="D1" s="3229"/>
      <c r="E1" s="3229"/>
      <c r="F1" s="3229"/>
      <c r="G1" s="3229"/>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051" t="s">
        <v>2978</v>
      </c>
      <c r="D3" s="2106"/>
      <c r="E3" s="888" t="s">
        <v>668</v>
      </c>
      <c r="F3" s="1035" t="s">
        <v>94</v>
      </c>
      <c r="G3" s="3055" t="s">
        <v>2886</v>
      </c>
      <c r="H3" s="2104"/>
      <c r="I3" s="2104"/>
      <c r="J3" s="2104"/>
      <c r="K3" s="2104"/>
      <c r="L3" s="2104"/>
      <c r="M3" s="2104"/>
      <c r="N3" s="2104"/>
      <c r="O3" s="2104"/>
      <c r="P3" s="2104"/>
      <c r="Q3" s="2104"/>
      <c r="R3" s="2104"/>
    </row>
    <row r="4" spans="1:29" ht="40.5">
      <c r="A4" s="888"/>
      <c r="B4" s="2068" t="s">
        <v>669</v>
      </c>
      <c r="C4" s="3052" t="s">
        <v>670</v>
      </c>
      <c r="D4" s="2106"/>
      <c r="E4" s="1036"/>
      <c r="F4" s="2073" t="s">
        <v>671</v>
      </c>
      <c r="G4" s="3053" t="s">
        <v>672</v>
      </c>
      <c r="H4" s="2104"/>
      <c r="I4" s="2104"/>
      <c r="J4" s="2104"/>
      <c r="K4" s="2104"/>
      <c r="L4" s="2104"/>
      <c r="M4" s="2104"/>
      <c r="N4" s="2104"/>
      <c r="O4" s="2104"/>
      <c r="P4" s="2104"/>
      <c r="Q4" s="2104"/>
      <c r="R4" s="2104"/>
    </row>
    <row r="5" spans="1:29" ht="40.5">
      <c r="A5" s="888"/>
      <c r="B5" s="2068" t="s">
        <v>673</v>
      </c>
      <c r="C5" s="3052" t="s">
        <v>674</v>
      </c>
      <c r="D5" s="2106"/>
      <c r="E5" s="1036"/>
      <c r="F5" s="2546" t="s">
        <v>2537</v>
      </c>
      <c r="G5" s="3053" t="s">
        <v>2539</v>
      </c>
      <c r="H5" s="2104"/>
      <c r="I5" s="2104"/>
      <c r="J5" s="2104"/>
      <c r="K5" s="2104"/>
      <c r="L5" s="2104"/>
      <c r="M5" s="2104"/>
      <c r="N5" s="2104"/>
      <c r="O5" s="2104"/>
      <c r="P5" s="2104"/>
      <c r="Q5" s="2104"/>
      <c r="R5" s="2104"/>
    </row>
    <row r="6" spans="1:29" ht="108">
      <c r="A6" s="888"/>
      <c r="B6" s="2068" t="s">
        <v>67</v>
      </c>
      <c r="C6" s="3053" t="s">
        <v>2979</v>
      </c>
      <c r="D6" s="2106"/>
      <c r="E6" s="1036"/>
      <c r="F6" s="2546" t="s">
        <v>2538</v>
      </c>
      <c r="G6" s="3053" t="s">
        <v>2540</v>
      </c>
      <c r="H6" s="2104"/>
      <c r="I6" s="2104"/>
      <c r="J6" s="2104"/>
      <c r="K6" s="2104"/>
      <c r="L6" s="2104"/>
      <c r="M6" s="2104"/>
      <c r="N6" s="2104"/>
      <c r="O6" s="2104"/>
      <c r="P6" s="2104"/>
      <c r="Q6" s="2104"/>
      <c r="R6" s="2104"/>
    </row>
    <row r="7" spans="1:29" ht="41.25" thickBot="1">
      <c r="A7" s="888"/>
      <c r="B7" s="2068" t="s">
        <v>2537</v>
      </c>
      <c r="C7" s="3053" t="s">
        <v>2942</v>
      </c>
      <c r="D7" s="2107"/>
      <c r="E7" s="1037"/>
      <c r="F7" s="1038" t="s">
        <v>651</v>
      </c>
      <c r="G7" s="3056" t="s">
        <v>2885</v>
      </c>
      <c r="H7" s="2104"/>
      <c r="I7" s="2104"/>
      <c r="J7" s="2104"/>
      <c r="K7" s="2104"/>
      <c r="L7" s="2104"/>
      <c r="M7" s="2104"/>
      <c r="N7" s="2104"/>
      <c r="O7" s="2104"/>
      <c r="P7" s="2104"/>
      <c r="Q7" s="2104"/>
      <c r="R7" s="2104"/>
    </row>
    <row r="8" spans="1:29">
      <c r="A8" s="888"/>
      <c r="B8" s="2546" t="s">
        <v>2538</v>
      </c>
      <c r="C8" s="3053" t="s">
        <v>2944</v>
      </c>
      <c r="D8" s="2107"/>
      <c r="E8" s="2107"/>
      <c r="F8" s="2108"/>
      <c r="G8" s="2108"/>
      <c r="H8" s="2104"/>
      <c r="I8" s="2104"/>
      <c r="J8" s="2104"/>
      <c r="K8" s="2104"/>
      <c r="L8" s="2104"/>
      <c r="M8" s="2104"/>
      <c r="N8" s="2104"/>
      <c r="O8" s="2104"/>
      <c r="P8" s="2104"/>
      <c r="Q8" s="2104"/>
      <c r="R8" s="2104"/>
    </row>
    <row r="9" spans="1:29" ht="54">
      <c r="A9" s="888"/>
      <c r="B9" s="2068" t="s">
        <v>68</v>
      </c>
      <c r="C9" s="3052" t="s">
        <v>2980</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054" t="s">
        <v>2981</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估价对象周边有朝阳园、丽景馨居、青年汇佳园、爱这城等居住小区，社区发展完善程度较好，综合评价居住社区成熟度较好</v>
      </c>
      <c r="D15" s="2106"/>
      <c r="E15" s="2554" t="s">
        <v>657</v>
      </c>
      <c r="F15" s="6" t="s">
        <v>658</v>
      </c>
      <c r="G15" s="881" t="str">
        <f>G3</f>
        <v>估价对象位于XX开发区，园区建设成熟度XX，产业集聚程度XX</v>
      </c>
    </row>
    <row r="16" spans="1:29" ht="40.5">
      <c r="A16" s="2557"/>
      <c r="B16" s="1045" t="s">
        <v>659</v>
      </c>
      <c r="C16" s="1046" t="str">
        <f>C4</f>
        <v>估价对象位于XX商圈，周边商业氛围成熟，人流量大，商业繁华度好</v>
      </c>
      <c r="D16" s="2106"/>
      <c r="E16" s="2555"/>
      <c r="F16" s="2067" t="s">
        <v>660</v>
      </c>
      <c r="G16" s="883" t="str">
        <f>G4</f>
        <v>估价对象周边道路状况、公共交通通达情况、停车便捷程度，综合评价交通便捷度较好</v>
      </c>
    </row>
    <row r="17" spans="1:18" ht="40.5">
      <c r="A17" s="2557"/>
      <c r="B17" s="1045" t="s">
        <v>661</v>
      </c>
      <c r="C17" s="1046" t="str">
        <f>C5</f>
        <v>估价对象位于XX商圈，周边办公楼项目较多，入驻率高，办公集聚程度较好</v>
      </c>
      <c r="D17" s="2107"/>
      <c r="E17" s="2555"/>
      <c r="F17" s="2067" t="s">
        <v>662</v>
      </c>
      <c r="G17" s="3057"/>
    </row>
    <row r="18" spans="1:18" ht="108">
      <c r="A18" s="2557"/>
      <c r="B18" s="2067" t="s">
        <v>67</v>
      </c>
      <c r="C18" s="883" t="str">
        <f>C6</f>
        <v>以估价对象为圆心，半径1公里内有75、95、112、115、411路等10余条公共线路及地铁6号线（青年路站）、八通线（四惠东站）、小区内有地下车库，综合评价交通便捷度较好</v>
      </c>
      <c r="D18" s="2107"/>
      <c r="E18" s="2555"/>
      <c r="F18" s="2067" t="s">
        <v>651</v>
      </c>
      <c r="G18" s="883" t="str">
        <f>G7</f>
        <v>该园区内是否有污染型企业，绿化情况，卫生条件，整体环境状况判断</v>
      </c>
    </row>
    <row r="19" spans="1:18" ht="27">
      <c r="A19" s="2557"/>
      <c r="B19" s="2067" t="s">
        <v>86</v>
      </c>
      <c r="C19" s="3057"/>
      <c r="D19" s="2106"/>
      <c r="E19" s="2555"/>
      <c r="F19" s="2546" t="s">
        <v>2537</v>
      </c>
      <c r="G19" s="883" t="str">
        <f>G5</f>
        <v>估价对象所在区域公共配套设施齐备情况</v>
      </c>
    </row>
    <row r="20" spans="1:18" ht="54">
      <c r="A20" s="2557"/>
      <c r="B20" s="2067" t="s">
        <v>85</v>
      </c>
      <c r="C20" s="1046" t="str">
        <f>C9</f>
        <v>区域自然环境：兴隆公园、通惠河；人文环境：中国紫檀博物馆；综合评价环境状况较好</v>
      </c>
      <c r="D20" s="2107"/>
      <c r="E20" s="2555"/>
      <c r="F20" s="2546" t="s">
        <v>2538</v>
      </c>
      <c r="G20" s="883" t="str">
        <f>G6</f>
        <v>估价对象所在区域基础设施水平</v>
      </c>
    </row>
    <row r="21" spans="1:18" ht="27">
      <c r="A21" s="2557"/>
      <c r="B21" s="2546" t="s">
        <v>2537</v>
      </c>
      <c r="C21" s="883" t="str">
        <f>C7</f>
        <v>较好——有餐饮、医院、超市、学校等</v>
      </c>
      <c r="D21" s="2106"/>
      <c r="E21" s="2555"/>
      <c r="F21" s="2067" t="s">
        <v>84</v>
      </c>
      <c r="G21" s="179"/>
    </row>
    <row r="22" spans="1:18">
      <c r="A22" s="2557"/>
      <c r="B22" s="2546" t="s">
        <v>2538</v>
      </c>
      <c r="C22" s="883" t="str">
        <f>C8</f>
        <v>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城市主干道——朝阳路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8" sqref="B28"/>
    </sheetView>
  </sheetViews>
  <sheetFormatPr defaultColWidth="14.625" defaultRowHeight="13.5"/>
  <cols>
    <col min="1" max="1" width="24.375" customWidth="1"/>
  </cols>
  <sheetData>
    <row r="1" spans="1:9" ht="16.5">
      <c r="A1" s="3019" t="s">
        <v>2825</v>
      </c>
      <c r="B1" s="3019">
        <f>SUM(B14:B23)</f>
        <v>56.82</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42934</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320.11250000000001</v>
      </c>
      <c r="C5" s="3019">
        <f ca="1">ROUND(B5*10000/$B$1,0)</f>
        <v>56338</v>
      </c>
      <c r="D5" s="3019" t="e">
        <f ca="1">ROUND(B5*10000/$B$2,0)</f>
        <v>#DIV/0!</v>
      </c>
      <c r="E5" s="3020"/>
      <c r="F5" s="3024"/>
      <c r="G5" s="3024"/>
    </row>
    <row r="6" spans="1:9" ht="16.5">
      <c r="A6" s="3019" t="s">
        <v>2833</v>
      </c>
      <c r="B6" s="3019">
        <f ca="1">SUM(G14:G23)</f>
        <v>320.11250000000001</v>
      </c>
      <c r="C6" s="3019">
        <f t="shared" ref="C6:C8" ca="1" si="0">ROUND(B6*10000/$B$1,0)</f>
        <v>56338</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2910</v>
      </c>
      <c r="B14" s="3023">
        <f>项目基本情况!C12</f>
        <v>56.82</v>
      </c>
      <c r="C14" s="3023">
        <f>项目基本情况!C13</f>
        <v>0</v>
      </c>
      <c r="D14" s="3023">
        <f ca="1">IF('数据-取费表'!B3="万元",IF(A14="估价对象1（结果表）",结果表!H121,'结果表 (1修多)'!H124),IF(A14="估价对象1（结果表）",结果表!H121,'结果表 (1修多)'!H124)/10000)</f>
        <v>320.11250000000001</v>
      </c>
      <c r="E14" s="3023">
        <f ca="1">ROUND(D14*10000/B14,0)</f>
        <v>56338</v>
      </c>
      <c r="F14" s="3023" t="e">
        <f ca="1">ROUND(D14*10000/C14,0)</f>
        <v>#DIV/0!</v>
      </c>
      <c r="G14" s="3023">
        <f ca="1">IF('数据-取费表'!B3="万元",IF(A14="估价对象1（结果表）",结果表!D125,'结果表 (1修多)'!D128),IF(A14="估价对象1（结果表）",结果表!D125,'结果表 (1修多)'!D128)/10000)</f>
        <v>320.11250000000001</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c r="C15" s="3027"/>
      <c r="D15" s="3027"/>
      <c r="E15" s="3023" t="e">
        <f t="shared" ref="E15:E23" si="2">ROUND(D15*10000/B15,0)</f>
        <v>#DIV/0!</v>
      </c>
      <c r="F15" s="3023" t="e">
        <f t="shared" ref="F15:F23"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topLeftCell="A7" zoomScaleNormal="100" zoomScaleSheetLayoutView="100" zoomScalePageLayoutView="80" workbookViewId="0">
      <selection activeCell="F28" sqref="F28"/>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09" t="str">
        <f>项目基本情况!B1</f>
        <v>北京市房地产市场价值预评估</v>
      </c>
      <c r="B2" s="3309"/>
      <c r="C2" s="3309"/>
      <c r="D2" s="3309"/>
      <c r="E2" s="3309"/>
      <c r="F2" s="3309"/>
      <c r="G2" s="3309"/>
      <c r="H2" s="3309"/>
      <c r="I2" s="3309"/>
    </row>
    <row r="3" spans="1:12" ht="12">
      <c r="A3" s="3317" t="s">
        <v>8</v>
      </c>
      <c r="B3" s="3318"/>
      <c r="C3" s="3318"/>
      <c r="D3" s="3318"/>
      <c r="E3" s="3318"/>
      <c r="F3" s="3318"/>
      <c r="G3" s="3318"/>
      <c r="H3" s="3318"/>
      <c r="I3" s="3318"/>
    </row>
    <row r="4" spans="1:12" ht="13.5">
      <c r="A4" s="237" t="s">
        <v>9</v>
      </c>
      <c r="B4" s="1810" t="s">
        <v>10</v>
      </c>
      <c r="C4" s="238" t="s">
        <v>2965</v>
      </c>
      <c r="D4" s="238" t="s">
        <v>3007</v>
      </c>
      <c r="E4" s="3322" t="s">
        <v>676</v>
      </c>
      <c r="F4" s="3323"/>
      <c r="G4" s="3323"/>
      <c r="H4" s="3323"/>
      <c r="I4" s="3324"/>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10" t="s">
        <v>11</v>
      </c>
      <c r="B5" s="3311">
        <v>25</v>
      </c>
      <c r="C5" s="3319">
        <v>8</v>
      </c>
      <c r="D5" s="3316">
        <v>2</v>
      </c>
      <c r="E5" s="272" t="s">
        <v>719</v>
      </c>
      <c r="F5" s="239"/>
      <c r="G5" s="239"/>
      <c r="H5" s="239"/>
      <c r="I5" s="240"/>
    </row>
    <row r="6" spans="1:12" ht="12.75">
      <c r="A6" s="3310"/>
      <c r="B6" s="3311"/>
      <c r="C6" s="3320"/>
      <c r="D6" s="3316"/>
      <c r="E6" s="272" t="s">
        <v>720</v>
      </c>
      <c r="F6" s="239"/>
      <c r="G6" s="239"/>
      <c r="H6" s="239"/>
      <c r="I6" s="240"/>
    </row>
    <row r="7" spans="1:12" ht="12.75">
      <c r="A7" s="3310"/>
      <c r="B7" s="3311"/>
      <c r="C7" s="3321"/>
      <c r="D7" s="3316"/>
      <c r="E7" s="272" t="s">
        <v>721</v>
      </c>
      <c r="F7" s="239"/>
      <c r="G7" s="239"/>
      <c r="H7" s="239"/>
      <c r="I7" s="240"/>
    </row>
    <row r="8" spans="1:12" ht="12.75">
      <c r="A8" s="3310" t="s">
        <v>12</v>
      </c>
      <c r="B8" s="3311">
        <v>15</v>
      </c>
      <c r="C8" s="3319"/>
      <c r="D8" s="3316"/>
      <c r="E8" s="272" t="s">
        <v>722</v>
      </c>
      <c r="F8" s="239"/>
      <c r="G8" s="239"/>
      <c r="H8" s="239"/>
      <c r="I8" s="240"/>
    </row>
    <row r="9" spans="1:12" ht="12.75">
      <c r="A9" s="3310"/>
      <c r="B9" s="3311"/>
      <c r="C9" s="3321"/>
      <c r="D9" s="3316"/>
      <c r="E9" s="272" t="s">
        <v>723</v>
      </c>
      <c r="F9" s="239"/>
      <c r="G9" s="239"/>
      <c r="H9" s="239"/>
      <c r="I9" s="240"/>
    </row>
    <row r="10" spans="1:12" ht="12.75">
      <c r="A10" s="3310" t="s">
        <v>13</v>
      </c>
      <c r="B10" s="3311">
        <v>15</v>
      </c>
      <c r="C10" s="3319"/>
      <c r="D10" s="3316"/>
      <c r="E10" s="272" t="s">
        <v>724</v>
      </c>
      <c r="F10" s="239"/>
      <c r="G10" s="239"/>
      <c r="H10" s="239"/>
      <c r="I10" s="240"/>
    </row>
    <row r="11" spans="1:12" ht="12.75">
      <c r="A11" s="3310"/>
      <c r="B11" s="3311"/>
      <c r="C11" s="3321"/>
      <c r="D11" s="3316"/>
      <c r="E11" s="272" t="s">
        <v>725</v>
      </c>
      <c r="F11" s="239"/>
      <c r="G11" s="239"/>
      <c r="H11" s="239"/>
      <c r="I11" s="240"/>
    </row>
    <row r="12" spans="1:12" ht="12.75">
      <c r="A12" s="3310" t="s">
        <v>14</v>
      </c>
      <c r="B12" s="3311">
        <v>15</v>
      </c>
      <c r="C12" s="3319"/>
      <c r="D12" s="3316"/>
      <c r="E12" s="272" t="s">
        <v>726</v>
      </c>
      <c r="F12" s="239"/>
      <c r="G12" s="239"/>
      <c r="H12" s="239"/>
      <c r="I12" s="240"/>
    </row>
    <row r="13" spans="1:12" ht="12.75">
      <c r="A13" s="3310"/>
      <c r="B13" s="3311"/>
      <c r="C13" s="3321"/>
      <c r="D13" s="3316"/>
      <c r="E13" s="272" t="s">
        <v>727</v>
      </c>
      <c r="F13" s="239"/>
      <c r="G13" s="239"/>
      <c r="H13" s="239"/>
      <c r="I13" s="240"/>
    </row>
    <row r="14" spans="1:12" ht="12.75">
      <c r="A14" s="3310" t="s">
        <v>15</v>
      </c>
      <c r="B14" s="3311">
        <v>30</v>
      </c>
      <c r="C14" s="3319"/>
      <c r="D14" s="3316"/>
      <c r="E14" s="272" t="s">
        <v>728</v>
      </c>
      <c r="F14" s="239"/>
      <c r="G14" s="239"/>
      <c r="H14" s="239"/>
      <c r="I14" s="240"/>
    </row>
    <row r="15" spans="1:12" ht="12.75">
      <c r="A15" s="3310"/>
      <c r="B15" s="3311"/>
      <c r="C15" s="3320"/>
      <c r="D15" s="3316"/>
      <c r="E15" s="272" t="s">
        <v>729</v>
      </c>
      <c r="F15" s="239"/>
      <c r="G15" s="239"/>
      <c r="H15" s="239"/>
      <c r="I15" s="240"/>
    </row>
    <row r="16" spans="1:12" ht="12.75">
      <c r="A16" s="3310"/>
      <c r="B16" s="3311"/>
      <c r="C16" s="3321"/>
      <c r="D16" s="3316"/>
      <c r="E16" s="272" t="s">
        <v>730</v>
      </c>
      <c r="F16" s="239"/>
      <c r="G16" s="239"/>
      <c r="H16" s="239"/>
      <c r="I16" s="240"/>
    </row>
    <row r="17" spans="1:35" ht="14.25">
      <c r="A17" s="241" t="s">
        <v>16</v>
      </c>
      <c r="B17" s="10"/>
      <c r="C17" s="273">
        <f>SUM(C5:C16)</f>
        <v>8</v>
      </c>
      <c r="D17" s="273">
        <f>SUM(D5:D16)</f>
        <v>2</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3524715</v>
      </c>
      <c r="D19" s="276">
        <f ca="1">SUMIF(INDIRECT("'"&amp;D4&amp;"'"&amp;"!A:A"),结果表!B19,INDIRECT("'"&amp;D4&amp;"'"&amp;"!B:B"))</f>
        <v>1906704</v>
      </c>
      <c r="E19" s="243" t="s">
        <v>186</v>
      </c>
      <c r="F19" s="244" t="s">
        <v>18</v>
      </c>
      <c r="G19" s="277">
        <f ca="1">ROUND(C19*$C$18+D19*$D$18,0)</f>
        <v>3201113</v>
      </c>
      <c r="H19" s="2019" t="str">
        <f>'数据-取费表'!B3</f>
        <v>元</v>
      </c>
      <c r="I19" s="1059"/>
    </row>
    <row r="20" spans="1:35" ht="14.25">
      <c r="A20" s="245"/>
      <c r="B20" s="246" t="s">
        <v>19</v>
      </c>
      <c r="C20" s="278">
        <f ca="1">SUMIF(INDIRECT("'"&amp;C4&amp;"'"&amp;"!A:A"),结果表!B20,INDIRECT("'"&amp;C4&amp;"'"&amp;"!B:B"))</f>
        <v>62033</v>
      </c>
      <c r="D20" s="279">
        <f ca="1">SUMIF(INDIRECT("'"&amp;D4&amp;"'"&amp;"!A:A"),结果表!B20,INDIRECT("'"&amp;D4&amp;"'"&amp;"!B:B"))</f>
        <v>33557</v>
      </c>
      <c r="E20" s="245"/>
      <c r="F20" s="246" t="s">
        <v>19</v>
      </c>
      <c r="G20" s="280">
        <f ca="1">ROUND(C20*$C$18+D20*$D$18,0)</f>
        <v>56338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0.8485905520731063</v>
      </c>
      <c r="E22" s="1059"/>
      <c r="F22" s="1059"/>
      <c r="G22" s="1059"/>
      <c r="H22" s="1059"/>
      <c r="I22" s="1059"/>
    </row>
    <row r="23" spans="1:35" ht="12.75" thickBot="1">
      <c r="A23" s="1059"/>
      <c r="B23" s="1059"/>
      <c r="C23" s="1059"/>
      <c r="D23" s="1059"/>
      <c r="E23" s="1059"/>
      <c r="F23" s="1059"/>
      <c r="G23" s="1059"/>
      <c r="H23" s="1059"/>
      <c r="I23" s="1059"/>
    </row>
    <row r="24" spans="1:35" ht="21.75" customHeight="1">
      <c r="A24" s="3325" t="s">
        <v>184</v>
      </c>
      <c r="B24" s="244" t="s">
        <v>18</v>
      </c>
      <c r="C24" s="277">
        <f>D30</f>
        <v>0</v>
      </c>
      <c r="D24" s="251"/>
      <c r="E24" s="1059"/>
      <c r="F24" s="1059"/>
      <c r="G24" s="1059"/>
      <c r="H24" s="1059"/>
      <c r="I24" s="1059"/>
    </row>
    <row r="25" spans="1:35" ht="21.75" customHeight="1">
      <c r="A25" s="332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3008</v>
      </c>
      <c r="B27" s="283"/>
      <c r="C27" s="283">
        <v>15.6</v>
      </c>
      <c r="D27" s="284"/>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6" t="s">
        <v>182</v>
      </c>
      <c r="B32" s="2021" t="str">
        <f>'数据-取费表'!B4</f>
        <v>楼面单价</v>
      </c>
      <c r="C32" s="1977">
        <f ca="1">IF(B32="总价",G19-C24,G20-C25)</f>
        <v>56338</v>
      </c>
      <c r="D32" s="1059" t="str">
        <f>IF(B32="楼面单价","元/平方米",H19)</f>
        <v>元/平方米</v>
      </c>
      <c r="E32" s="1059"/>
      <c r="F32" s="1059"/>
      <c r="G32" s="1059"/>
      <c r="H32" s="1059"/>
      <c r="I32" s="1059"/>
    </row>
    <row r="33" spans="1:16" ht="13.5">
      <c r="A33" s="1973" t="s">
        <v>677</v>
      </c>
      <c r="B33" s="1974"/>
      <c r="C33" s="1975"/>
      <c r="D33" s="1890"/>
      <c r="E33" s="1888" t="s">
        <v>2010</v>
      </c>
      <c r="F33" s="1885" t="str">
        <f>IF(B32="楼面单价","取值（单价）","取值（总价）")</f>
        <v>取值（单价）</v>
      </c>
      <c r="G33" s="1059"/>
      <c r="H33" s="1059"/>
      <c r="I33" s="1059"/>
    </row>
    <row r="34" spans="1:16" ht="15">
      <c r="A34" s="259"/>
      <c r="B34" s="260" t="s">
        <v>680</v>
      </c>
      <c r="C34" s="289">
        <f ca="1">IF(D33="自定义",F34,C32-C35)</f>
        <v>52732</v>
      </c>
      <c r="D34" s="1889">
        <f ca="1">IF(D33="自定义",ROUND(C34/C32,3),1-D35)</f>
        <v>0.93599999999999994</v>
      </c>
      <c r="E34" s="1886" t="s">
        <v>2011</v>
      </c>
      <c r="F34" s="3015">
        <v>2000</v>
      </c>
      <c r="G34" s="1059"/>
      <c r="H34" s="1059"/>
      <c r="I34" s="1059"/>
    </row>
    <row r="35" spans="1:16" ht="15.75" thickBot="1">
      <c r="A35" s="262"/>
      <c r="B35" s="263" t="s">
        <v>682</v>
      </c>
      <c r="C35" s="290">
        <f ca="1">IF(D33="自定义",F35,ROUND(C32*D35,0))</f>
        <v>3606</v>
      </c>
      <c r="D35" s="1884">
        <f ca="1">IF(D33="自定义",ROUND(C35/C32,3),IF(D33="成本法成本比率",成本法!C56,IF(D33="收益法收益比率",收益法!J38,收益法!J41)))</f>
        <v>6.4000000000000001E-2</v>
      </c>
      <c r="E35" s="1887" t="s">
        <v>2012</v>
      </c>
      <c r="F35" s="296">
        <v>4460</v>
      </c>
      <c r="G35" s="1059"/>
      <c r="H35" s="1059"/>
      <c r="I35" s="1059"/>
    </row>
    <row r="36" spans="1:16" ht="15.75" thickBot="1">
      <c r="A36" s="3332" t="s">
        <v>678</v>
      </c>
      <c r="B36" s="258" t="s">
        <v>679</v>
      </c>
      <c r="C36" s="286">
        <v>0</v>
      </c>
      <c r="D36" s="1891"/>
      <c r="E36" s="1795"/>
      <c r="F36" s="1795"/>
      <c r="G36" s="1059"/>
      <c r="H36" s="1059"/>
      <c r="I36" s="1059"/>
    </row>
    <row r="37" spans="1:16" ht="15.75" thickBot="1">
      <c r="A37" s="3333"/>
      <c r="B37" s="5" t="s">
        <v>681</v>
      </c>
      <c r="C37" s="288">
        <v>0</v>
      </c>
      <c r="D37" s="8"/>
      <c r="E37" s="8"/>
      <c r="F37" s="1795"/>
      <c r="G37" s="8"/>
      <c r="H37" s="8"/>
      <c r="I37" s="8"/>
    </row>
    <row r="38" spans="1:16" ht="15.75" thickBot="1">
      <c r="A38" s="3334"/>
      <c r="B38" s="261" t="s">
        <v>683</v>
      </c>
      <c r="C38" s="1001">
        <v>0</v>
      </c>
      <c r="D38" s="1062" t="s">
        <v>684</v>
      </c>
      <c r="E38" s="8"/>
      <c r="F38" s="1795"/>
      <c r="G38" s="8"/>
      <c r="H38" s="8"/>
      <c r="I38" s="8"/>
    </row>
    <row r="39" spans="1:16" ht="13.5">
      <c r="A39" s="245" t="s">
        <v>685</v>
      </c>
      <c r="B39" s="264" t="s">
        <v>686</v>
      </c>
      <c r="C39" s="265" t="s">
        <v>687</v>
      </c>
      <c r="D39" s="265" t="s">
        <v>688</v>
      </c>
      <c r="E39" s="266" t="s">
        <v>689</v>
      </c>
      <c r="F39" s="1795"/>
      <c r="G39" s="8"/>
      <c r="H39" s="8"/>
      <c r="I39" s="8"/>
    </row>
    <row r="40" spans="1:16" ht="13.5">
      <c r="A40" s="1063" t="s">
        <v>690</v>
      </c>
      <c r="B40" s="291"/>
      <c r="C40" s="292"/>
      <c r="D40" s="292"/>
      <c r="E40" s="293"/>
      <c r="F40" s="1795"/>
      <c r="G40" s="8"/>
      <c r="H40" s="8"/>
      <c r="I40" s="8"/>
    </row>
    <row r="41" spans="1:16" ht="13.5">
      <c r="A41" s="1063" t="s">
        <v>691</v>
      </c>
      <c r="B41" s="291"/>
      <c r="C41" s="292"/>
      <c r="D41" s="292"/>
      <c r="E41" s="293"/>
      <c r="F41" s="1795"/>
      <c r="G41" s="8"/>
      <c r="H41" s="8"/>
      <c r="I41" s="8"/>
    </row>
    <row r="42" spans="1:16" ht="14.25" thickBot="1">
      <c r="A42" s="1064"/>
      <c r="B42" s="294"/>
      <c r="C42" s="295"/>
      <c r="D42" s="295"/>
      <c r="E42" s="296"/>
      <c r="F42" s="1795"/>
      <c r="G42" s="8"/>
      <c r="H42" s="8"/>
      <c r="I42" s="8"/>
    </row>
    <row r="43" spans="1:16" ht="12">
      <c r="A43" s="168"/>
      <c r="B43" s="168"/>
      <c r="C43" s="168"/>
      <c r="D43" s="168"/>
      <c r="E43" s="168"/>
      <c r="F43" s="1065"/>
      <c r="G43" s="1065"/>
      <c r="H43" s="1065"/>
      <c r="I43" s="1066"/>
    </row>
    <row r="44" spans="1:16" ht="18.75">
      <c r="A44" s="1067" t="s">
        <v>692</v>
      </c>
      <c r="B44" s="1068"/>
      <c r="C44" s="1068"/>
      <c r="D44" s="1069"/>
      <c r="E44" s="1069"/>
      <c r="F44" s="1070"/>
      <c r="G44" s="1070"/>
      <c r="H44" s="1070"/>
      <c r="I44" s="1070"/>
      <c r="J44" s="1227" t="s">
        <v>215</v>
      </c>
      <c r="K44" s="1228"/>
      <c r="L44" s="1228"/>
      <c r="M44" s="1228"/>
      <c r="N44" s="1228"/>
      <c r="O44" s="1228"/>
      <c r="P44" s="1226"/>
    </row>
    <row r="45" spans="1:16" ht="14.25" customHeight="1" thickBot="1">
      <c r="A45" s="3338" t="s">
        <v>711</v>
      </c>
      <c r="B45" s="3339"/>
      <c r="C45" s="3340"/>
      <c r="D45" s="297">
        <f ca="1">ROUND(I102*F45,0)</f>
        <v>3201125</v>
      </c>
      <c r="E45" s="298" t="s">
        <v>712</v>
      </c>
      <c r="F45" s="299">
        <v>1</v>
      </c>
      <c r="G45" s="300" t="s">
        <v>713</v>
      </c>
      <c r="H45" s="1059"/>
      <c r="I45" s="1059"/>
      <c r="J45" s="3242" t="s">
        <v>216</v>
      </c>
      <c r="K45" s="3242"/>
      <c r="L45" s="3242"/>
      <c r="M45" s="3242"/>
      <c r="N45" s="3242"/>
      <c r="O45" s="3242"/>
      <c r="P45" s="1226"/>
    </row>
    <row r="46" spans="1:16" ht="14.25" customHeight="1">
      <c r="A46" s="3327" t="s">
        <v>300</v>
      </c>
      <c r="B46" s="3328"/>
      <c r="C46" s="3328"/>
      <c r="D46" s="3328"/>
      <c r="E46" s="3328"/>
      <c r="F46" s="3328"/>
      <c r="G46" s="3329"/>
      <c r="H46" s="1071"/>
      <c r="I46" s="1025"/>
      <c r="J46" s="3032">
        <v>1</v>
      </c>
      <c r="K46" s="3242" t="s">
        <v>217</v>
      </c>
      <c r="L46" s="3242"/>
      <c r="M46" s="3243" t="str">
        <f>项目基本情况!B1</f>
        <v>北京市房地产市场价值预评估</v>
      </c>
      <c r="N46" s="3243"/>
      <c r="O46" s="3243"/>
      <c r="P46" s="1226"/>
    </row>
    <row r="47" spans="1:16" ht="12" customHeight="1">
      <c r="A47" s="302" t="s">
        <v>301</v>
      </c>
      <c r="B47" s="303"/>
      <c r="C47" s="304"/>
      <c r="D47" s="305" t="s">
        <v>302</v>
      </c>
      <c r="E47" s="197" t="s">
        <v>303</v>
      </c>
      <c r="F47" s="306" t="s">
        <v>714</v>
      </c>
      <c r="G47" s="307" t="s">
        <v>715</v>
      </c>
      <c r="H47" s="1071"/>
      <c r="I47" s="1025"/>
      <c r="J47" s="3032">
        <v>2</v>
      </c>
      <c r="K47" s="3242" t="s">
        <v>218</v>
      </c>
      <c r="L47" s="3242"/>
      <c r="M47" s="3244">
        <f>'数据-取费表'!B2</f>
        <v>42934</v>
      </c>
      <c r="N47" s="3244"/>
      <c r="O47" s="3244"/>
      <c r="P47" s="1226"/>
    </row>
    <row r="48" spans="1:16" ht="25.5">
      <c r="A48" s="3335" t="s">
        <v>304</v>
      </c>
      <c r="B48" s="3336"/>
      <c r="C48" s="3336"/>
      <c r="D48" s="272">
        <f ca="1">IF(H48="情况1",0,IF(H48="情况2",D52,IF(H48="情况3",D53,IF(H48="情况4",D54))))</f>
        <v>170727</v>
      </c>
      <c r="E48" s="1807" t="str">
        <f>IF(H48="情况4","(销售额-原购置价)×税（费）率","销售额×税（费）率")</f>
        <v>销售额×税（费）率</v>
      </c>
      <c r="F48" s="308">
        <f>IF(H48="情况1","免征",'数据-取费表'!E29)</f>
        <v>5.6000000000000001E-2</v>
      </c>
      <c r="G48" s="267" t="s">
        <v>693</v>
      </c>
      <c r="H48" s="1220" t="s">
        <v>1046</v>
      </c>
      <c r="I48" s="1071"/>
      <c r="J48" s="3032">
        <v>3</v>
      </c>
      <c r="K48" s="3242" t="s">
        <v>694</v>
      </c>
      <c r="L48" s="3242"/>
      <c r="M48" s="3245">
        <f ca="1">I102</f>
        <v>3201125</v>
      </c>
      <c r="N48" s="3245"/>
      <c r="O48" s="3245"/>
      <c r="P48" s="1226"/>
    </row>
    <row r="49" spans="1:16" ht="25.5" customHeight="1">
      <c r="A49" s="309" t="s">
        <v>716</v>
      </c>
      <c r="B49" s="3313" t="s">
        <v>717</v>
      </c>
      <c r="C49" s="3313"/>
      <c r="D49" s="310">
        <v>0</v>
      </c>
      <c r="E49" s="196" t="s">
        <v>718</v>
      </c>
      <c r="F49" s="201" t="s">
        <v>178</v>
      </c>
      <c r="G49" s="3233"/>
      <c r="H49" s="1059"/>
      <c r="I49" s="1072"/>
      <c r="J49" s="3032">
        <v>4</v>
      </c>
      <c r="K49" s="3242" t="str">
        <f>IF(项目基本情况!F5="房地产抵押价值","房地产抵押价值","抵押担保权已注销时的房地产抵押价值")</f>
        <v>抵押担保权已注销时的房地产抵押价值</v>
      </c>
      <c r="L49" s="3242"/>
      <c r="M49" s="3245" t="str">
        <f>IF(项目基本情况!E8="房地产抵押价值",I110,I112)</f>
        <v>——</v>
      </c>
      <c r="N49" s="3245"/>
      <c r="O49" s="3245"/>
      <c r="P49" s="1226"/>
    </row>
    <row r="50" spans="1:16" ht="25.5" customHeight="1">
      <c r="A50" s="311"/>
      <c r="B50" s="3313" t="s">
        <v>307</v>
      </c>
      <c r="C50" s="3313"/>
      <c r="D50" s="312"/>
      <c r="E50" s="204"/>
      <c r="F50" s="313"/>
      <c r="G50" s="3234"/>
      <c r="H50" s="1059"/>
      <c r="I50" s="1072"/>
      <c r="J50" s="3242" t="s">
        <v>219</v>
      </c>
      <c r="K50" s="3242"/>
      <c r="L50" s="3242"/>
      <c r="M50" s="3242"/>
      <c r="N50" s="3242"/>
      <c r="O50" s="3242"/>
      <c r="P50" s="1226"/>
    </row>
    <row r="51" spans="1:16" ht="12" customHeight="1">
      <c r="A51" s="314"/>
      <c r="B51" s="3313" t="s">
        <v>308</v>
      </c>
      <c r="C51" s="3313"/>
      <c r="D51" s="315"/>
      <c r="E51" s="203"/>
      <c r="F51" s="313"/>
      <c r="G51" s="3235"/>
      <c r="H51" s="1059"/>
      <c r="I51" s="1072"/>
      <c r="J51" s="3030" t="s">
        <v>220</v>
      </c>
      <c r="K51" s="3242" t="s">
        <v>221</v>
      </c>
      <c r="L51" s="3242"/>
      <c r="M51" s="3030" t="s">
        <v>222</v>
      </c>
      <c r="N51" s="3030" t="s">
        <v>223</v>
      </c>
      <c r="O51" s="3030" t="s">
        <v>224</v>
      </c>
      <c r="P51" s="1226"/>
    </row>
    <row r="52" spans="1:16" ht="24" customHeight="1">
      <c r="A52" s="316" t="s">
        <v>309</v>
      </c>
      <c r="B52" s="3313" t="s">
        <v>310</v>
      </c>
      <c r="C52" s="3313"/>
      <c r="D52" s="315">
        <f ca="1">ROUND(D45*'数据-取费表'!E29/(1+'数据-取费表'!F30),0)</f>
        <v>170727</v>
      </c>
      <c r="E52" s="193" t="s">
        <v>311</v>
      </c>
      <c r="F52" s="317">
        <f>'数据-取费表'!E29</f>
        <v>5.6000000000000001E-2</v>
      </c>
      <c r="G52" s="268"/>
      <c r="H52" s="1059"/>
      <c r="I52" s="1072"/>
      <c r="J52" s="3032">
        <v>1</v>
      </c>
      <c r="K52" s="3232" t="s">
        <v>695</v>
      </c>
      <c r="L52" s="3232"/>
      <c r="M52" s="1229">
        <f ca="1">D48</f>
        <v>170727</v>
      </c>
      <c r="N52" s="3031" t="str">
        <f>E48</f>
        <v>销售额×税（费）率</v>
      </c>
      <c r="O52" s="1230">
        <f>F48</f>
        <v>5.6000000000000001E-2</v>
      </c>
      <c r="P52" s="1226"/>
    </row>
    <row r="53" spans="1:16" ht="12" customHeight="1">
      <c r="A53" s="316" t="s">
        <v>312</v>
      </c>
      <c r="B53" s="3312" t="s">
        <v>313</v>
      </c>
      <c r="C53" s="3315"/>
      <c r="D53" s="315">
        <f ca="1">ROUND(D45*'数据-取费表'!E29/(1+'数据-取费表'!F30),0)</f>
        <v>170727</v>
      </c>
      <c r="E53" s="193" t="s">
        <v>311</v>
      </c>
      <c r="F53" s="317">
        <f>'数据-取费表'!E29</f>
        <v>5.6000000000000001E-2</v>
      </c>
      <c r="G53" s="268"/>
      <c r="H53" s="1059"/>
      <c r="I53" s="1072"/>
      <c r="J53" s="3032">
        <v>2</v>
      </c>
      <c r="K53" s="3232" t="s">
        <v>696</v>
      </c>
      <c r="L53" s="3232"/>
      <c r="M53" s="1229">
        <f t="shared" ref="M53:O54" ca="1" si="1">D55</f>
        <v>1601</v>
      </c>
      <c r="N53" s="3031" t="str">
        <f t="shared" si="1"/>
        <v>销售额×税（费）率</v>
      </c>
      <c r="O53" s="1230">
        <f t="shared" si="1"/>
        <v>5.0000000000000001E-4</v>
      </c>
      <c r="P53" s="1226"/>
    </row>
    <row r="54" spans="1:16" ht="12" customHeight="1">
      <c r="A54" s="316" t="s">
        <v>314</v>
      </c>
      <c r="B54" s="3312" t="s">
        <v>315</v>
      </c>
      <c r="C54" s="3315"/>
      <c r="D54" s="315">
        <f ca="1">C68</f>
        <v>170727</v>
      </c>
      <c r="E54" s="203" t="s">
        <v>316</v>
      </c>
      <c r="F54" s="317">
        <f>'数据-取费表'!E29</f>
        <v>5.6000000000000001E-2</v>
      </c>
      <c r="G54" s="268"/>
      <c r="H54" s="1073"/>
      <c r="I54" s="1072"/>
      <c r="J54" s="3032">
        <v>3</v>
      </c>
      <c r="K54" s="3232" t="s">
        <v>697</v>
      </c>
      <c r="L54" s="3232"/>
      <c r="M54" s="1229">
        <f t="shared" ca="1" si="1"/>
        <v>1811837</v>
      </c>
      <c r="N54" s="3031" t="str">
        <f t="shared" si="1"/>
        <v>增值额×税（费）率</v>
      </c>
      <c r="O54" s="1231" t="str">
        <f t="shared" si="1"/>
        <v>——</v>
      </c>
      <c r="P54" s="1226"/>
    </row>
    <row r="55" spans="1:16" ht="24" customHeight="1">
      <c r="A55" s="3341" t="s">
        <v>317</v>
      </c>
      <c r="B55" s="3336"/>
      <c r="C55" s="3336"/>
      <c r="D55" s="318">
        <f ca="1">IF(H55="个人住宅",0,ROUND(D45*I55,0))</f>
        <v>1601</v>
      </c>
      <c r="E55" s="193" t="s">
        <v>318</v>
      </c>
      <c r="F55" s="317">
        <f>IF(H55="正常",I55,"免征")</f>
        <v>5.0000000000000001E-4</v>
      </c>
      <c r="G55" s="268"/>
      <c r="H55" s="1220" t="s">
        <v>157</v>
      </c>
      <c r="I55" s="319">
        <f>'数据-取费表'!E37</f>
        <v>5.0000000000000001E-4</v>
      </c>
      <c r="J55" s="3032">
        <f>IF(H59="非个人房产","",4)</f>
        <v>4</v>
      </c>
      <c r="K55" s="3232" t="str">
        <f>IF(H59="非个人房产","——","个人所得税")</f>
        <v>个人所得税</v>
      </c>
      <c r="L55" s="3232"/>
      <c r="M55" s="1232">
        <f ca="1">D59</f>
        <v>32011</v>
      </c>
      <c r="N55" s="1233" t="str">
        <f>E59</f>
        <v>销售额×税（费）率</v>
      </c>
      <c r="O55" s="1234">
        <f>F59</f>
        <v>0.01</v>
      </c>
      <c r="P55" s="1226"/>
    </row>
    <row r="56" spans="1:16" ht="24.75">
      <c r="A56" s="3341" t="s">
        <v>319</v>
      </c>
      <c r="B56" s="3336"/>
      <c r="C56" s="3336"/>
      <c r="D56" s="318">
        <f ca="1">IF(H56="个人住宅",D57,D58)</f>
        <v>1811837</v>
      </c>
      <c r="E56" s="193" t="s">
        <v>320</v>
      </c>
      <c r="F56" s="317" t="str">
        <f>IF(H56="正常",F58,"免征")</f>
        <v>——</v>
      </c>
      <c r="G56" s="1074" t="s">
        <v>698</v>
      </c>
      <c r="H56" s="1219" t="s">
        <v>157</v>
      </c>
      <c r="I56" s="167"/>
      <c r="J56" s="3032" t="str">
        <f>IF(项目基本情况!I6="上海银行",IF(J55="",4,J55+1),"")</f>
        <v/>
      </c>
      <c r="K56" s="3251" t="str">
        <f>IF(项目基本情况!I6="上海银行","其他处置费用","")</f>
        <v/>
      </c>
      <c r="L56" s="3252"/>
      <c r="M56" s="1229" t="str">
        <f>IF(项目基本情况!I6="上海银行",M69,"")</f>
        <v/>
      </c>
      <c r="N56" s="3230" t="str">
        <f>IF(项目基本情况!I6="上海银行","包含处置中涉及的律师、诉讼、拍卖、评估等费用","")</f>
        <v/>
      </c>
      <c r="O56" s="3231"/>
      <c r="P56" s="1226"/>
    </row>
    <row r="57" spans="1:16" ht="12.75">
      <c r="A57" s="316" t="s">
        <v>305</v>
      </c>
      <c r="B57" s="3330" t="s">
        <v>321</v>
      </c>
      <c r="C57" s="3337"/>
      <c r="D57" s="320">
        <v>0</v>
      </c>
      <c r="E57" s="196" t="s">
        <v>306</v>
      </c>
      <c r="F57" s="287"/>
      <c r="G57" s="268"/>
      <c r="H57" s="167"/>
      <c r="I57" s="167"/>
      <c r="J57" s="3250">
        <f>IF(AND(J55="",J56=""),4,IF(项目基本情况!I6="上海银行",J56+1,J55+1))</f>
        <v>5</v>
      </c>
      <c r="K57" s="3232" t="s">
        <v>699</v>
      </c>
      <c r="L57" s="1235" t="s">
        <v>225</v>
      </c>
      <c r="M57" s="1236"/>
      <c r="N57" s="1237">
        <f ca="1">SUMIF(M52:M56,"&lt;9e307")</f>
        <v>2016176</v>
      </c>
      <c r="O57" s="1238"/>
      <c r="P57" s="3033" t="e">
        <f ca="1">N57/M49</f>
        <v>#VALUE!</v>
      </c>
    </row>
    <row r="58" spans="1:16" ht="24.75">
      <c r="A58" s="316" t="s">
        <v>309</v>
      </c>
      <c r="B58" s="3330" t="s">
        <v>322</v>
      </c>
      <c r="C58" s="3331"/>
      <c r="D58" s="318">
        <f ca="1">IF(H58="转让取得",C81,C97)</f>
        <v>1811837</v>
      </c>
      <c r="E58" s="193" t="s">
        <v>320</v>
      </c>
      <c r="F58" s="197" t="s">
        <v>178</v>
      </c>
      <c r="G58" s="268"/>
      <c r="H58" s="1219" t="s">
        <v>1045</v>
      </c>
      <c r="I58" s="167"/>
      <c r="J58" s="3250"/>
      <c r="K58" s="3232"/>
      <c r="L58" s="1235" t="s">
        <v>226</v>
      </c>
      <c r="M58" s="1239"/>
      <c r="N58" s="1240" t="str">
        <f ca="1">IF(H19="元",NUMBERSTRING(INT(N57),2)&amp;"元整",NUMBERSTRING(INT(N57*10000),2)&amp;"元整")</f>
        <v>贰佰零壹万陆仟壹佰柒拾陆元整</v>
      </c>
      <c r="O58" s="1241"/>
      <c r="P58" s="1226"/>
    </row>
    <row r="59" spans="1:16" ht="26.25" thickBot="1">
      <c r="A59" s="3342" t="s">
        <v>323</v>
      </c>
      <c r="B59" s="3343"/>
      <c r="C59" s="3343"/>
      <c r="D59" s="321">
        <f ca="1">IF(H59="非个人房产","——",IF(H59="个人住宅",0,ROUND(D45*I59,0)))</f>
        <v>32011</v>
      </c>
      <c r="E59" s="322" t="str">
        <f>IF(H59="非个人房产","——","销售额×税（费）率")</f>
        <v>销售额×税（费）率</v>
      </c>
      <c r="F59" s="323">
        <f>IF(H59="非个人房产","——",IF(H59="个人住宅","免征",I59))</f>
        <v>0.01</v>
      </c>
      <c r="G59" s="1075" t="s">
        <v>175</v>
      </c>
      <c r="H59" s="1219" t="s">
        <v>2862</v>
      </c>
      <c r="I59" s="324">
        <v>0.01</v>
      </c>
      <c r="J59" s="3289">
        <f>J57+1</f>
        <v>6</v>
      </c>
      <c r="K59" s="3232" t="s">
        <v>179</v>
      </c>
      <c r="L59" s="3031" t="s">
        <v>225</v>
      </c>
      <c r="M59" s="1242"/>
      <c r="N59" s="1243" t="e">
        <f ca="1">M49-N57</f>
        <v>#VALUE!</v>
      </c>
      <c r="O59" s="1244"/>
      <c r="P59" s="1226"/>
    </row>
    <row r="60" spans="1:16" ht="12" customHeight="1">
      <c r="A60" s="1716"/>
      <c r="B60" s="1059"/>
      <c r="C60" s="1059"/>
      <c r="D60" s="1059"/>
      <c r="E60" s="167"/>
      <c r="F60" s="167"/>
      <c r="G60" s="167"/>
      <c r="H60" s="168"/>
      <c r="I60" s="1059"/>
      <c r="J60" s="3290"/>
      <c r="K60" s="3232"/>
      <c r="L60" s="1235" t="s">
        <v>226</v>
      </c>
      <c r="M60" s="1239"/>
      <c r="N60" s="1240" t="e">
        <f ca="1">IF(H19="元",NUMBERSTRING(INT(N59),2)&amp;"元整",NUMBERSTRING(INT(N59*10000),2)&amp;"元整")</f>
        <v>#VALUE!</v>
      </c>
      <c r="O60" s="1241"/>
      <c r="P60" s="1226"/>
    </row>
    <row r="61" spans="1:16" ht="13.5" thickBot="1">
      <c r="A61" s="3344" t="s">
        <v>324</v>
      </c>
      <c r="B61" s="3344"/>
      <c r="C61" s="3344"/>
      <c r="D61" s="3344"/>
      <c r="E61" s="3344"/>
      <c r="F61" s="167"/>
      <c r="G61" s="167"/>
      <c r="H61" s="168"/>
      <c r="I61" s="1059"/>
      <c r="J61" s="3032">
        <f>J59+1</f>
        <v>7</v>
      </c>
      <c r="K61" s="3232" t="s">
        <v>227</v>
      </c>
      <c r="L61" s="3232"/>
      <c r="M61" s="1245"/>
      <c r="N61" s="1246" t="e">
        <f ca="1">IF(H19="元",ROUND(N59/项目基本情况!C12,0),ROUND(N59*10000/项目基本情况!C12,0))</f>
        <v>#VALUE!</v>
      </c>
      <c r="O61" s="1247"/>
      <c r="P61" s="1226"/>
    </row>
    <row r="62" spans="1:16" ht="12.75">
      <c r="A62" s="3273" t="s">
        <v>325</v>
      </c>
      <c r="B62" s="3274"/>
      <c r="C62" s="1808"/>
      <c r="D62" s="1808"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3048690</v>
      </c>
      <c r="D63" s="329"/>
      <c r="E63" s="330"/>
      <c r="F63" s="167"/>
      <c r="G63" s="167"/>
      <c r="H63" s="168"/>
      <c r="I63" s="1059"/>
      <c r="J63" s="3253" t="s">
        <v>2853</v>
      </c>
      <c r="K63" s="3037" t="s">
        <v>2854</v>
      </c>
      <c r="L63" s="3038"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3201125</v>
      </c>
      <c r="D64" s="334" t="s">
        <v>169</v>
      </c>
      <c r="E64" s="335"/>
      <c r="F64" s="167"/>
      <c r="G64" s="167"/>
      <c r="H64" s="168"/>
      <c r="I64" s="1059"/>
      <c r="J64" s="3253"/>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2856</v>
      </c>
      <c r="O64" s="1226"/>
      <c r="P64" s="1226"/>
    </row>
    <row r="65" spans="1:35" ht="12.75">
      <c r="A65" s="331" t="s">
        <v>229</v>
      </c>
      <c r="B65" s="332" t="s">
        <v>328</v>
      </c>
      <c r="C65" s="336"/>
      <c r="D65" s="334"/>
      <c r="E65" s="335"/>
      <c r="F65" s="167"/>
      <c r="G65" s="167"/>
      <c r="H65" s="168"/>
      <c r="I65" s="1059"/>
      <c r="J65" s="3253"/>
      <c r="K65" s="3037" t="s">
        <v>2857</v>
      </c>
      <c r="L65" s="3038" t="e">
        <f>IF(M49&gt;1000,M49*0.1%,IF(AND(M49&gt;500,M49&lt;=1000),M49*0.5%,IF(AND(M49&gt;50,M49&lt;=500),M49*1%,IF(AND(M49&gt;1,M49&lt;=50),M49*1.5%))))</f>
        <v>#VALUE!</v>
      </c>
      <c r="M65" s="197" t="e">
        <f t="shared" si="2"/>
        <v>#VALUE!</v>
      </c>
      <c r="N65" s="3039" t="s">
        <v>2856</v>
      </c>
      <c r="O65" s="1226"/>
      <c r="P65" s="1226"/>
    </row>
    <row r="66" spans="1:35" ht="12.75">
      <c r="A66" s="337" t="s">
        <v>177</v>
      </c>
      <c r="B66" s="338" t="s">
        <v>329</v>
      </c>
      <c r="C66" s="339"/>
      <c r="D66" s="340" t="s">
        <v>169</v>
      </c>
      <c r="E66" s="3065" t="s">
        <v>2897</v>
      </c>
      <c r="F66" s="167"/>
      <c r="G66" s="167"/>
      <c r="H66" s="168"/>
      <c r="I66" s="1059"/>
      <c r="J66" s="3253"/>
      <c r="K66" s="3037" t="s">
        <v>2858</v>
      </c>
      <c r="L66" s="3038" t="e">
        <f>M49*0.5%</f>
        <v>#VALUE!</v>
      </c>
      <c r="M66" s="197" t="e">
        <f>IF(L66&gt;0.5,0.5,ROUND(L66,0))</f>
        <v>#VALUE!</v>
      </c>
      <c r="N66" s="3039" t="s">
        <v>2859</v>
      </c>
      <c r="O66" s="1226"/>
      <c r="P66" s="1226"/>
    </row>
    <row r="67" spans="1:35" ht="12.75">
      <c r="A67" s="337" t="s">
        <v>170</v>
      </c>
      <c r="B67" s="338" t="s">
        <v>330</v>
      </c>
      <c r="C67" s="341">
        <f ca="1">C63-C66</f>
        <v>3048690</v>
      </c>
      <c r="D67" s="334" t="s">
        <v>169</v>
      </c>
      <c r="E67" s="335"/>
      <c r="F67" s="167"/>
      <c r="G67" s="167"/>
      <c r="H67" s="168"/>
      <c r="I67" s="1059"/>
      <c r="J67" s="3253"/>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170727</v>
      </c>
      <c r="D68" s="345">
        <f>'数据-取费表'!E29</f>
        <v>5.6000000000000001E-2</v>
      </c>
      <c r="E68" s="346"/>
      <c r="F68" s="167"/>
      <c r="G68" s="167"/>
      <c r="H68" s="168"/>
      <c r="I68" s="1059"/>
      <c r="J68" s="3253"/>
      <c r="K68" s="3037" t="s">
        <v>2861</v>
      </c>
      <c r="L68" s="3038"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7"/>
      <c r="F69" s="167"/>
      <c r="G69" s="167"/>
      <c r="H69" s="168"/>
      <c r="I69" s="1059"/>
      <c r="J69" s="3253"/>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75" t="s">
        <v>332</v>
      </c>
      <c r="B70" s="3276"/>
      <c r="C70" s="3276"/>
      <c r="D70" s="3276"/>
      <c r="E70" s="3276"/>
      <c r="F70" s="3276"/>
      <c r="G70" s="3276"/>
      <c r="H70" s="3276"/>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c r="A71" s="3273" t="s">
        <v>325</v>
      </c>
      <c r="B71" s="3274"/>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50">
        <v>1</v>
      </c>
      <c r="B72" s="338" t="s">
        <v>335</v>
      </c>
      <c r="C72" s="341">
        <f ca="1">ROUND(D45/(1+'数据-取费表'!F30),0)</f>
        <v>3048690</v>
      </c>
      <c r="D72" s="334" t="s">
        <v>169</v>
      </c>
      <c r="E72" s="2434" t="s">
        <v>2427</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2">
        <v>2</v>
      </c>
      <c r="B73" s="306" t="s">
        <v>336</v>
      </c>
      <c r="C73" s="341">
        <f ca="1">C74+C78</f>
        <v>18292</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1043</v>
      </c>
      <c r="G75" s="355" t="s">
        <v>708</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12" t="s">
        <v>341</v>
      </c>
      <c r="F76" s="3313"/>
      <c r="G76" s="3313"/>
      <c r="H76" s="3314"/>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709</v>
      </c>
      <c r="F77" s="360"/>
      <c r="G77" s="1216" t="s">
        <v>2425</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18292</v>
      </c>
      <c r="D78" s="362">
        <f>'数据-取费表'!E31</f>
        <v>6.000000000000001E-3</v>
      </c>
      <c r="E78" s="3263" t="s">
        <v>2426</v>
      </c>
      <c r="F78" s="3240"/>
      <c r="G78" s="3240"/>
      <c r="H78" s="3262"/>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c r="A79" s="363" t="s">
        <v>170</v>
      </c>
      <c r="B79" s="338" t="s">
        <v>344</v>
      </c>
      <c r="C79" s="341">
        <f ca="1">C72-C73</f>
        <v>3030398</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c r="A80" s="363" t="s">
        <v>171</v>
      </c>
      <c r="B80" s="338" t="s">
        <v>345</v>
      </c>
      <c r="C80" s="364">
        <f ca="1">IF(C79&lt;=0,0,C79/C73)</f>
        <v>165.66794226984473</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1811837</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thickBot="1">
      <c r="A83" s="3275" t="s">
        <v>347</v>
      </c>
      <c r="B83" s="3276"/>
      <c r="C83" s="3276"/>
      <c r="D83" s="3276"/>
      <c r="E83" s="3276"/>
      <c r="F83" s="3276"/>
      <c r="G83" s="3276"/>
      <c r="H83" s="3276"/>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c r="A84" s="3273" t="s">
        <v>325</v>
      </c>
      <c r="B84" s="3274"/>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c r="A85" s="350">
        <v>1</v>
      </c>
      <c r="B85" s="338" t="s">
        <v>335</v>
      </c>
      <c r="C85" s="341">
        <f ca="1">ROUND(D45/(1+'数据-取费表'!F30),0)</f>
        <v>3048690</v>
      </c>
      <c r="D85" s="334" t="s">
        <v>169</v>
      </c>
      <c r="E85" s="2433" t="s">
        <v>2424</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18292</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239" t="s">
        <v>710</v>
      </c>
      <c r="F91" s="3240"/>
      <c r="G91" s="3240"/>
      <c r="H91" s="1218" t="s">
        <v>2204</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239" t="s">
        <v>356</v>
      </c>
      <c r="F92" s="3240"/>
      <c r="G92" s="3240"/>
      <c r="H92" s="3262"/>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18292</v>
      </c>
      <c r="D93" s="362">
        <f>'数据-取费表'!E31</f>
        <v>6.000000000000001E-3</v>
      </c>
      <c r="E93" s="3263" t="s">
        <v>2426</v>
      </c>
      <c r="F93" s="3240"/>
      <c r="G93" s="3240"/>
      <c r="H93" s="3262"/>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239" t="s">
        <v>358</v>
      </c>
      <c r="F94" s="3240"/>
      <c r="G94" s="3240"/>
      <c r="H94" s="3262"/>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c r="A95" s="363" t="s">
        <v>170</v>
      </c>
      <c r="B95" s="338" t="s">
        <v>344</v>
      </c>
      <c r="C95" s="341">
        <f ca="1">ROUND(C85-C86,0)</f>
        <v>3030398</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c r="A96" s="363" t="s">
        <v>171</v>
      </c>
      <c r="B96" s="338" t="s">
        <v>345</v>
      </c>
      <c r="C96" s="364">
        <f ca="1">IF(C95&lt;=0,0,C95/C86)</f>
        <v>165.66794226984473</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1811837</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259" t="s">
        <v>241</v>
      </c>
      <c r="B99" s="3260"/>
      <c r="C99" s="3260"/>
      <c r="D99" s="3261"/>
      <c r="E99" s="1059"/>
      <c r="F99" s="3270" t="s">
        <v>2770</v>
      </c>
      <c r="G99" s="3271"/>
      <c r="H99" s="3271"/>
      <c r="I99" s="3272"/>
    </row>
    <row r="100" spans="1:35" ht="14.25">
      <c r="A100" s="3277" t="s">
        <v>212</v>
      </c>
      <c r="B100" s="3278"/>
      <c r="C100" s="1084" t="str">
        <f>C4</f>
        <v>比较法-住宅</v>
      </c>
      <c r="D100" s="1085" t="str">
        <f>D4</f>
        <v>收益法</v>
      </c>
      <c r="E100" s="1059"/>
      <c r="F100" s="3279" t="s">
        <v>1856</v>
      </c>
      <c r="G100" s="3281"/>
      <c r="H100" s="3279" t="s">
        <v>2009</v>
      </c>
      <c r="I100" s="3280"/>
    </row>
    <row r="101" spans="1:35" ht="15.75">
      <c r="A101" s="3299" t="s">
        <v>213</v>
      </c>
      <c r="B101" s="1679" t="str">
        <f>IF(H19="元","总价（元）","总价（万元）")</f>
        <v>总价（元）</v>
      </c>
      <c r="C101" s="1051">
        <f ca="1">C19</f>
        <v>3524715</v>
      </c>
      <c r="D101" s="1052">
        <f ca="1">D19</f>
        <v>1906704</v>
      </c>
      <c r="E101" s="1059"/>
      <c r="F101" s="3279" t="str">
        <f>项目基本情况!I1</f>
        <v>北京市房地产</v>
      </c>
      <c r="G101" s="3281"/>
      <c r="H101" s="3348">
        <f>项目基本情况!C12</f>
        <v>56.82</v>
      </c>
      <c r="I101" s="3349"/>
    </row>
    <row r="102" spans="1:35" ht="15.75">
      <c r="A102" s="3299"/>
      <c r="B102" s="1679" t="s">
        <v>1857</v>
      </c>
      <c r="C102" s="1053">
        <f ca="1">C20</f>
        <v>62033</v>
      </c>
      <c r="D102" s="1054">
        <f ca="1">D20</f>
        <v>33557</v>
      </c>
      <c r="E102" s="1059"/>
      <c r="F102" s="3365" t="s">
        <v>1862</v>
      </c>
      <c r="G102" s="3366"/>
      <c r="H102" s="1881" t="str">
        <f>C106</f>
        <v>总价（元）</v>
      </c>
      <c r="I102" s="3071">
        <f ca="1">H121</f>
        <v>3201125</v>
      </c>
    </row>
    <row r="103" spans="1:35" ht="15">
      <c r="A103" s="3299" t="s">
        <v>214</v>
      </c>
      <c r="B103" s="1680" t="str">
        <f>B101</f>
        <v>总价（元）</v>
      </c>
      <c r="C103" s="1055">
        <f ca="1">H121</f>
        <v>3201125</v>
      </c>
      <c r="D103" s="1056"/>
      <c r="E103" s="1059"/>
      <c r="F103" s="3365"/>
      <c r="G103" s="3366"/>
      <c r="H103" s="1881" t="s">
        <v>1854</v>
      </c>
      <c r="I103" s="1767">
        <f ca="1">I121</f>
        <v>56338</v>
      </c>
    </row>
    <row r="104" spans="1:35" ht="15.75" thickBot="1">
      <c r="A104" s="3300"/>
      <c r="B104" s="1681" t="s">
        <v>1855</v>
      </c>
      <c r="C104" s="1057">
        <f ca="1">I121</f>
        <v>56338</v>
      </c>
      <c r="D104" s="1058"/>
      <c r="E104" s="1059"/>
      <c r="F104" s="3266"/>
      <c r="G104" s="3267"/>
      <c r="H104" s="3301"/>
      <c r="I104" s="3302"/>
    </row>
    <row r="105" spans="1:35" ht="15.75">
      <c r="A105" s="3259" t="s">
        <v>2769</v>
      </c>
      <c r="B105" s="3260"/>
      <c r="C105" s="3260"/>
      <c r="D105" s="3261"/>
      <c r="E105" s="1059"/>
      <c r="F105" s="3305" t="s">
        <v>1963</v>
      </c>
      <c r="G105" s="3306"/>
      <c r="H105" s="1882" t="str">
        <f>C108</f>
        <v>总额（元）</v>
      </c>
      <c r="I105" s="3071">
        <f>SUMIF(I106:I108,"&lt;9E307")</f>
        <v>0</v>
      </c>
    </row>
    <row r="106" spans="1:35" ht="15">
      <c r="A106" s="3307" t="s">
        <v>2428</v>
      </c>
      <c r="B106" s="3308"/>
      <c r="C106" s="1881" t="str">
        <f>B101</f>
        <v>总价（元）</v>
      </c>
      <c r="D106" s="1768">
        <f ca="1">H121</f>
        <v>3201125</v>
      </c>
      <c r="E106" s="1059"/>
      <c r="F106" s="3268" t="s">
        <v>1859</v>
      </c>
      <c r="G106" s="3269"/>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07"/>
      <c r="B107" s="3308"/>
      <c r="C107" s="1881" t="s">
        <v>1967</v>
      </c>
      <c r="D107" s="1769">
        <f ca="1">I121</f>
        <v>56338</v>
      </c>
      <c r="E107" s="1059"/>
      <c r="F107" s="3268" t="s">
        <v>1860</v>
      </c>
      <c r="G107" s="3269"/>
      <c r="H107" s="1882" t="str">
        <f>C110</f>
        <v>总额（元）</v>
      </c>
      <c r="I107" s="1767">
        <f>C37</f>
        <v>0</v>
      </c>
      <c r="K107" s="2127"/>
    </row>
    <row r="108" spans="1:35" ht="15">
      <c r="A108" s="3361" t="s">
        <v>1963</v>
      </c>
      <c r="B108" s="3362"/>
      <c r="C108" s="1882" t="str">
        <f>IF(H19="元","总额（元）","总额（万元）")</f>
        <v>总额（元）</v>
      </c>
      <c r="D108" s="1768">
        <f>IF(D36="正常操作",I106+I107+I108,I107+I108)</f>
        <v>0</v>
      </c>
      <c r="E108" s="1059"/>
      <c r="F108" s="3268" t="s">
        <v>1861</v>
      </c>
      <c r="G108" s="3269"/>
      <c r="H108" s="1882" t="str">
        <f>C111</f>
        <v>总额（元）</v>
      </c>
      <c r="I108" s="1767">
        <f>C38</f>
        <v>0</v>
      </c>
    </row>
    <row r="109" spans="1:35" ht="14.25">
      <c r="A109" s="3268" t="s">
        <v>1859</v>
      </c>
      <c r="B109" s="3269"/>
      <c r="C109" s="1882" t="str">
        <f>C108</f>
        <v>总额（元）</v>
      </c>
      <c r="D109" s="855">
        <f>IF(D36="同一抵押权人同一抵押物续贷",C36&amp;"（未扣减，详见特别提示）",C36)</f>
        <v>0</v>
      </c>
      <c r="E109" s="1059"/>
      <c r="F109" s="3266"/>
      <c r="G109" s="3267"/>
      <c r="H109" s="3303"/>
      <c r="I109" s="3304"/>
    </row>
    <row r="110" spans="1:35" ht="28.5" customHeight="1">
      <c r="A110" s="3268" t="s">
        <v>1860</v>
      </c>
      <c r="B110" s="3269"/>
      <c r="C110" s="1882" t="str">
        <f>C108</f>
        <v>总额（元）</v>
      </c>
      <c r="D110" s="855">
        <f>C37</f>
        <v>0</v>
      </c>
      <c r="E110" s="1059"/>
      <c r="F110" s="3246" t="str">
        <f>IF(项目基本情况!F5="已注销","——","3.房地产抵押价值")</f>
        <v>3.房地产抵押价值</v>
      </c>
      <c r="G110" s="3247"/>
      <c r="H110" s="3077" t="str">
        <f>C112</f>
        <v>总价（元）</v>
      </c>
      <c r="I110" s="3078">
        <f ca="1">IF(F110="——","——",I102-I105)</f>
        <v>3201125</v>
      </c>
    </row>
    <row r="111" spans="1:35" ht="14.25">
      <c r="A111" s="3268" t="s">
        <v>1861</v>
      </c>
      <c r="B111" s="3269"/>
      <c r="C111" s="1882" t="str">
        <f>C108</f>
        <v>总额（元）</v>
      </c>
      <c r="D111" s="855">
        <f>C38</f>
        <v>0</v>
      </c>
      <c r="E111" s="1059"/>
      <c r="F111" s="3248"/>
      <c r="G111" s="3249"/>
      <c r="H111" s="1881" t="s">
        <v>1854</v>
      </c>
      <c r="I111" s="3079">
        <f ca="1">D113</f>
        <v>56338</v>
      </c>
    </row>
    <row r="112" spans="1:35" ht="26.25" customHeight="1">
      <c r="A112" s="3307" t="str">
        <f>IF(项目基本情况!F5="已注销","——","3.房地产抵押价值")</f>
        <v>3.房地产抵押价值</v>
      </c>
      <c r="B112" s="3308"/>
      <c r="C112" s="1881" t="str">
        <f>B101</f>
        <v>总价（元）</v>
      </c>
      <c r="D112" s="1768">
        <f ca="1">IF(A112="——","——",D106-D108)</f>
        <v>3201125</v>
      </c>
      <c r="E112" s="1059"/>
      <c r="F112" s="3246" t="str">
        <f>IF(项目基本情况!F5="已注销及未注销","4.抵押担保权已注销时的房地产抵押价值",IF(项目基本情况!F5="已注销","3.抵押担保权已注销时的房地产抵押价值","——"))</f>
        <v>——</v>
      </c>
      <c r="G112" s="3247"/>
      <c r="H112" s="3077" t="str">
        <f>C114</f>
        <v>总价（元）</v>
      </c>
      <c r="I112" s="3078" t="str">
        <f>IF(F112="——","——",I102-I107-I108)</f>
        <v>——</v>
      </c>
    </row>
    <row r="113" spans="1:15" ht="14.25">
      <c r="A113" s="3307"/>
      <c r="B113" s="3308"/>
      <c r="C113" s="1881" t="s">
        <v>1854</v>
      </c>
      <c r="D113" s="1769">
        <f ca="1">ROUND(IF(D112=D106,D107,IF(H19="元",D112/项目基本情况!C12,D112*10000/项目基本情况!C12)),0)</f>
        <v>56338</v>
      </c>
      <c r="E113" s="1059"/>
      <c r="F113" s="3248"/>
      <c r="G113" s="3249"/>
      <c r="H113" s="1881" t="s">
        <v>1854</v>
      </c>
      <c r="I113" s="3080" t="str">
        <f>D115</f>
        <v>——</v>
      </c>
    </row>
    <row r="114" spans="1:15" ht="15.75">
      <c r="A114" s="3307" t="str">
        <f>IF(项目基本情况!F5="已注销及未注销","4.抵押担保权已注销时的房地产抵押价值",IF(项目基本情况!F5="已注销","3.抵押担保权已注销时的房地产抵押价值","——"))</f>
        <v>——</v>
      </c>
      <c r="B114" s="3308"/>
      <c r="C114" s="1881" t="str">
        <f>B101</f>
        <v>总价（元）</v>
      </c>
      <c r="D114" s="1768" t="str">
        <f>IF(A114="——","——",D106-D110-D111)</f>
        <v>——</v>
      </c>
      <c r="E114" s="1059"/>
      <c r="F114" s="3246" t="str">
        <f>IF(项目基本情况!G5="抵押净值",IF(OR(项目基本情况!F5="已注销",项目基本情况!F5="房地产抵押价值"),"4.抵押净值","5.抵押净值"),"——")</f>
        <v>——</v>
      </c>
      <c r="G114" s="3247"/>
      <c r="H114" s="1881" t="str">
        <f>C116</f>
        <v>总价（元）</v>
      </c>
      <c r="I114" s="3071" t="str">
        <f>IF(F114="——","——",N59)</f>
        <v>——</v>
      </c>
    </row>
    <row r="115" spans="1:15" ht="15.75" thickBot="1">
      <c r="A115" s="3307"/>
      <c r="B115" s="3308"/>
      <c r="C115" s="1881" t="s">
        <v>1854</v>
      </c>
      <c r="D115" s="1769" t="str">
        <f>IF(A114="——","——",ROUND(IF(D114=D106,D107,IF(H19="元",D114/项目基本情况!C12,D114*10000/项目基本情况!C12)),0))</f>
        <v>——</v>
      </c>
      <c r="E115" s="1059"/>
      <c r="F115" s="3350"/>
      <c r="G115" s="3351"/>
      <c r="H115" s="1883" t="s">
        <v>1854</v>
      </c>
      <c r="I115" s="3081" t="str">
        <f ca="1">D117</f>
        <v>——</v>
      </c>
    </row>
    <row r="116" spans="1:15" ht="15">
      <c r="A116" s="3307" t="str">
        <f>IF(项目基本情况!G5="抵押净值",IF(OR(项目基本情况!F5="已注销",项目基本情况!F5="房地产抵押价值"),"4.抵押净值","5.抵押净值"),"——")</f>
        <v>——</v>
      </c>
      <c r="B116" s="3308"/>
      <c r="C116" s="1881" t="str">
        <f>B101</f>
        <v>总价（元）</v>
      </c>
      <c r="D116" s="1768" t="str">
        <f>IF(A116="——","——",N59)</f>
        <v>——</v>
      </c>
      <c r="E116" s="1059"/>
      <c r="F116" s="3241"/>
      <c r="G116" s="3241"/>
      <c r="H116" s="3286"/>
      <c r="I116" s="3286"/>
      <c r="N116" s="1892"/>
      <c r="O116" s="1892"/>
    </row>
    <row r="117" spans="1:15" ht="15" thickBot="1">
      <c r="A117" s="3359"/>
      <c r="B117" s="3360"/>
      <c r="C117" s="1883" t="s">
        <v>1854</v>
      </c>
      <c r="D117" s="1770" t="str">
        <f ca="1">IF(D116=D112,D113,IF(A116="——","——",N61))</f>
        <v>——</v>
      </c>
      <c r="E117" s="1059"/>
      <c r="F117" s="3346" t="str">
        <f>IF(B32="总价","（以上估价结果中单价为总价除以建筑面积得出）","（以上估价结果中总价为楼面单价乘以建筑面积得出）")</f>
        <v>（以上估价结果中总价为楼面单价乘以建筑面积得出）</v>
      </c>
      <c r="G117" s="3346"/>
      <c r="H117" s="3346"/>
      <c r="I117" s="3346"/>
      <c r="N117" s="1892"/>
      <c r="O117" s="1892"/>
    </row>
    <row r="118" spans="1:15" ht="13.5">
      <c r="A118" s="3287" t="s">
        <v>2898</v>
      </c>
      <c r="B118" s="3288"/>
      <c r="C118" s="3288"/>
      <c r="D118" s="3288"/>
      <c r="E118" s="3288"/>
      <c r="F118" s="3288"/>
      <c r="G118" s="3288"/>
      <c r="H118" s="3288"/>
      <c r="I118" s="3288"/>
    </row>
    <row r="119" spans="1:15" ht="13.5">
      <c r="A119" s="3258" t="s">
        <v>3</v>
      </c>
      <c r="B119" s="3256" t="s">
        <v>1883</v>
      </c>
      <c r="C119" s="3256" t="s">
        <v>700</v>
      </c>
      <c r="D119" s="3264" t="s">
        <v>211</v>
      </c>
      <c r="E119" s="3265"/>
      <c r="F119" s="3254" t="s">
        <v>1884</v>
      </c>
      <c r="G119" s="3254"/>
      <c r="H119" s="3254" t="s">
        <v>4</v>
      </c>
      <c r="I119" s="3255"/>
    </row>
    <row r="120" spans="1:15" ht="13.5">
      <c r="A120" s="3258"/>
      <c r="B120" s="3257"/>
      <c r="C120" s="3257"/>
      <c r="D120" s="1800" t="s">
        <v>5</v>
      </c>
      <c r="E120" s="1800" t="s">
        <v>701</v>
      </c>
      <c r="F120" s="1800" t="s">
        <v>5</v>
      </c>
      <c r="G120" s="1800" t="s">
        <v>6</v>
      </c>
      <c r="H120" s="1800" t="s">
        <v>5</v>
      </c>
      <c r="I120" s="1811" t="s">
        <v>6</v>
      </c>
    </row>
    <row r="121" spans="1:15" ht="14.25">
      <c r="A121" s="1799" t="str">
        <f>项目基本情况!I1</f>
        <v>北京市房地产</v>
      </c>
      <c r="B121" s="1806">
        <f>项目基本情况!C12</f>
        <v>56.82</v>
      </c>
      <c r="C121" s="1806">
        <f>项目基本情况!C13</f>
        <v>0</v>
      </c>
      <c r="D121" s="1806">
        <f ca="1">ROUND(IF(B32="总价",C34,IF('数据-取费表'!B3="万元",E121*B121/10000,E121*B121)),0)</f>
        <v>2996232</v>
      </c>
      <c r="E121" s="1806">
        <f ca="1">ROUND(IF(B32="楼面单价",C34,IF(H19="元",D121/B121,D121*10000/B121)),0)</f>
        <v>52732</v>
      </c>
      <c r="F121" s="1806">
        <f ca="1">ROUND(IF(B32="总价",C35,IF('数据-取费表'!B3="万元",G121*B121/10000,G121*B121)),0)</f>
        <v>204893</v>
      </c>
      <c r="G121" s="1806">
        <f ca="1">ROUND(IF(B32="楼面单价",C35,IF(H19="元",F121/B121,F121*10000/B121)),0)</f>
        <v>3606</v>
      </c>
      <c r="H121" s="1806">
        <f ca="1">ROUND(IF(B32="总价",C32,IF('数据-取费表'!B3="万元",I121*B121/10000,I121*B121)),0)</f>
        <v>3201125</v>
      </c>
      <c r="I121" s="855">
        <f ca="1">ROUND(IF(B32="楼面单价",C32,IF(H19="元",H121/B121,H121*10000/B121)),0)</f>
        <v>56338</v>
      </c>
    </row>
    <row r="122" spans="1:15" ht="13.5">
      <c r="A122" s="3258" t="s">
        <v>7</v>
      </c>
      <c r="B122" s="3254"/>
      <c r="C122" s="3254"/>
      <c r="D122" s="3291" t="str">
        <f ca="1">IF(H19="元",NUMBERSTRING(INT(D121),2)&amp;"元整",NUMBERSTRING(INT(D121*10000),2)&amp;"元整")</f>
        <v>贰佰玖拾玖万陆仟贰佰叁拾贰元整</v>
      </c>
      <c r="E122" s="3292"/>
      <c r="F122" s="3291" t="str">
        <f ca="1">IF(H19="元",NUMBERSTRING(INT(F121),2)&amp;"元整",NUMBERSTRING(INT(F121*10000),2)&amp;"元整")</f>
        <v>贰拾万肆仟捌佰玖拾叁元整</v>
      </c>
      <c r="G122" s="3292"/>
      <c r="H122" s="3291" t="str">
        <f ca="1">IF(H19="元",NUMBERSTRING(INT(H121),2)&amp;"元整",NUMBERSTRING(INT(H121*10000),2)&amp;"元整")</f>
        <v>叁佰贰拾万壹仟壹佰贰拾伍元整</v>
      </c>
      <c r="I122" s="3367"/>
    </row>
    <row r="123" spans="1:15" ht="15">
      <c r="A123" s="3293" t="str">
        <f>MID(A108,3,LEN(A108)-2)</f>
        <v>估价师所知悉的法定优先受偿款</v>
      </c>
      <c r="B123" s="3294"/>
      <c r="C123" s="3295"/>
      <c r="D123" s="3352">
        <f>I105</f>
        <v>0</v>
      </c>
      <c r="E123" s="3353"/>
      <c r="F123" s="3353"/>
      <c r="G123" s="3353"/>
      <c r="H123" s="3353"/>
      <c r="I123" s="3354"/>
    </row>
    <row r="124" spans="1:15" ht="13.5">
      <c r="A124" s="3296" t="s">
        <v>7</v>
      </c>
      <c r="B124" s="3297"/>
      <c r="C124" s="3298"/>
      <c r="D124" s="3355">
        <f>H109</f>
        <v>0</v>
      </c>
      <c r="E124" s="3356"/>
      <c r="F124" s="3356"/>
      <c r="G124" s="3356"/>
      <c r="H124" s="3356"/>
      <c r="I124" s="3357"/>
    </row>
    <row r="125" spans="1:15" ht="15">
      <c r="A125" s="3282" t="str">
        <f>MID(A112,3,LEN(A112)-2)</f>
        <v>房地产抵押价值</v>
      </c>
      <c r="B125" s="3283"/>
      <c r="C125" s="3283"/>
      <c r="D125" s="3352">
        <f ca="1">I110</f>
        <v>3201125</v>
      </c>
      <c r="E125" s="3353"/>
      <c r="F125" s="3353"/>
      <c r="G125" s="3353"/>
      <c r="H125" s="3353"/>
      <c r="I125" s="3354"/>
    </row>
    <row r="126" spans="1:15" ht="13.5">
      <c r="A126" s="3258" t="s">
        <v>7</v>
      </c>
      <c r="B126" s="3254"/>
      <c r="C126" s="3254"/>
      <c r="D126" s="3355">
        <f ca="1">I111</f>
        <v>56338</v>
      </c>
      <c r="E126" s="3356"/>
      <c r="F126" s="3356"/>
      <c r="G126" s="3356"/>
      <c r="H126" s="3356"/>
      <c r="I126" s="3357"/>
    </row>
    <row r="127" spans="1:15" ht="15.75" thickBot="1">
      <c r="A127" s="3282" t="str">
        <f>MID(A114,3,LEN(A114)-2)</f>
        <v/>
      </c>
      <c r="B127" s="3283"/>
      <c r="C127" s="3283"/>
      <c r="D127" s="3236" t="str">
        <f>I112</f>
        <v>——</v>
      </c>
      <c r="E127" s="3237"/>
      <c r="F127" s="3237"/>
      <c r="G127" s="3237"/>
      <c r="H127" s="3237"/>
      <c r="I127" s="3238"/>
    </row>
    <row r="128" spans="1:15" ht="15" thickTop="1" thickBot="1">
      <c r="A128" s="3258" t="s">
        <v>7</v>
      </c>
      <c r="B128" s="3254"/>
      <c r="C128" s="3347"/>
      <c r="D128" s="3285" t="str">
        <f>I113</f>
        <v>——</v>
      </c>
      <c r="E128" s="3285"/>
      <c r="F128" s="3285"/>
      <c r="G128" s="3285"/>
      <c r="H128" s="3285"/>
      <c r="I128" s="3285"/>
    </row>
    <row r="129" spans="1:9" ht="16.5" thickTop="1" thickBot="1">
      <c r="A129" s="3282" t="str">
        <f>MID(F114,3,LEN(F114)-2)</f>
        <v/>
      </c>
      <c r="B129" s="3283"/>
      <c r="C129" s="3284"/>
      <c r="D129" s="3358" t="str">
        <f>I114</f>
        <v>——</v>
      </c>
      <c r="E129" s="3358"/>
      <c r="F129" s="3358"/>
      <c r="G129" s="3358"/>
      <c r="H129" s="3358"/>
      <c r="I129" s="3358"/>
    </row>
    <row r="130" spans="1:9" ht="15" thickTop="1" thickBot="1">
      <c r="A130" s="3363" t="s">
        <v>7</v>
      </c>
      <c r="B130" s="3364"/>
      <c r="C130" s="3364"/>
      <c r="D130" s="3368">
        <f>H116</f>
        <v>0</v>
      </c>
      <c r="E130" s="3369"/>
      <c r="F130" s="3369"/>
      <c r="G130" s="3369"/>
      <c r="H130" s="3369"/>
      <c r="I130" s="3370"/>
    </row>
    <row r="131" spans="1:9" ht="12">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thickBot="1">
      <c r="A132" s="3345" t="str">
        <f>IF(B32="总价","（以上估价结果中楼面单价为总价除以建筑面积得出）","（以上估价结果中总价为楼面单价乘以建筑面积得出）")</f>
        <v>（以上估价结果中总价为楼面单价乘以建筑面积得出）</v>
      </c>
      <c r="B132" s="3345"/>
      <c r="C132" s="3345"/>
      <c r="D132" s="3345"/>
      <c r="E132" s="3345"/>
      <c r="F132" s="3345"/>
      <c r="G132" s="3345"/>
      <c r="H132" s="3345"/>
      <c r="I132" s="3345"/>
    </row>
    <row r="133" spans="1:9" ht="21.75" customHeight="1">
      <c r="A133" s="1893" t="s">
        <v>702</v>
      </c>
      <c r="B133" s="1894"/>
      <c r="C133" s="1895"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703</v>
      </c>
      <c r="G139" s="1261"/>
      <c r="H139" s="1261"/>
      <c r="I139" s="1262" t="s">
        <v>704</v>
      </c>
    </row>
    <row r="140" spans="1:9" ht="21.75" customHeight="1">
      <c r="A140" s="1259"/>
      <c r="B140" s="1263" t="s">
        <v>705</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706</v>
      </c>
    </row>
    <row r="143" spans="1:9" ht="21.75" customHeight="1">
      <c r="A143" s="1259"/>
      <c r="B143" s="1263" t="s">
        <v>707</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706</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33"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675</v>
      </c>
      <c r="B1" s="1059"/>
      <c r="C1" s="1059"/>
      <c r="D1" s="1059"/>
      <c r="E1" s="1059"/>
      <c r="F1" s="1059"/>
      <c r="G1" s="1059"/>
      <c r="H1" s="1059"/>
      <c r="I1" s="1059"/>
    </row>
    <row r="2" spans="1:12" ht="21.75" customHeight="1">
      <c r="A2" s="3372" t="s">
        <v>2218</v>
      </c>
      <c r="B2" s="3372"/>
      <c r="C2" s="3372"/>
      <c r="D2" s="3372"/>
      <c r="E2" s="3372"/>
      <c r="F2" s="3372"/>
      <c r="G2" s="3372"/>
      <c r="H2" s="3372"/>
      <c r="I2" s="3372"/>
    </row>
    <row r="3" spans="1:12" ht="12">
      <c r="A3" s="3317" t="s">
        <v>8</v>
      </c>
      <c r="B3" s="3318"/>
      <c r="C3" s="3318"/>
      <c r="D3" s="3318"/>
      <c r="E3" s="3318"/>
      <c r="F3" s="3318"/>
      <c r="G3" s="3318"/>
      <c r="H3" s="3318"/>
      <c r="I3" s="3318"/>
    </row>
    <row r="4" spans="1:12" ht="13.5">
      <c r="A4" s="237" t="s">
        <v>9</v>
      </c>
      <c r="B4" s="2041" t="s">
        <v>10</v>
      </c>
      <c r="C4" s="238"/>
      <c r="D4" s="238"/>
      <c r="E4" s="3322" t="s">
        <v>676</v>
      </c>
      <c r="F4" s="3323"/>
      <c r="G4" s="3323"/>
      <c r="H4" s="3323"/>
      <c r="I4" s="3324"/>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0" t="s">
        <v>11</v>
      </c>
      <c r="B5" s="3311">
        <v>25</v>
      </c>
      <c r="C5" s="3319"/>
      <c r="D5" s="3316"/>
      <c r="E5" s="272" t="s">
        <v>719</v>
      </c>
      <c r="F5" s="239"/>
      <c r="G5" s="239"/>
      <c r="H5" s="239"/>
      <c r="I5" s="240"/>
    </row>
    <row r="6" spans="1:12" ht="12.75">
      <c r="A6" s="3310"/>
      <c r="B6" s="3311"/>
      <c r="C6" s="3320"/>
      <c r="D6" s="3316"/>
      <c r="E6" s="272" t="s">
        <v>720</v>
      </c>
      <c r="F6" s="239"/>
      <c r="G6" s="239"/>
      <c r="H6" s="239"/>
      <c r="I6" s="240"/>
    </row>
    <row r="7" spans="1:12" ht="12.75">
      <c r="A7" s="3310"/>
      <c r="B7" s="3311"/>
      <c r="C7" s="3321"/>
      <c r="D7" s="3316"/>
      <c r="E7" s="272" t="s">
        <v>721</v>
      </c>
      <c r="F7" s="239"/>
      <c r="G7" s="239"/>
      <c r="H7" s="239"/>
      <c r="I7" s="240"/>
    </row>
    <row r="8" spans="1:12" ht="12.75">
      <c r="A8" s="3310" t="s">
        <v>12</v>
      </c>
      <c r="B8" s="3311">
        <v>15</v>
      </c>
      <c r="C8" s="3319"/>
      <c r="D8" s="3316"/>
      <c r="E8" s="272" t="s">
        <v>722</v>
      </c>
      <c r="F8" s="239"/>
      <c r="G8" s="239"/>
      <c r="H8" s="239"/>
      <c r="I8" s="240"/>
    </row>
    <row r="9" spans="1:12" ht="12.75">
      <c r="A9" s="3310"/>
      <c r="B9" s="3311"/>
      <c r="C9" s="3321"/>
      <c r="D9" s="3316"/>
      <c r="E9" s="272" t="s">
        <v>723</v>
      </c>
      <c r="F9" s="239"/>
      <c r="G9" s="239"/>
      <c r="H9" s="239"/>
      <c r="I9" s="240"/>
    </row>
    <row r="10" spans="1:12" ht="12.75">
      <c r="A10" s="3310" t="s">
        <v>13</v>
      </c>
      <c r="B10" s="3311">
        <v>15</v>
      </c>
      <c r="C10" s="3319"/>
      <c r="D10" s="3316"/>
      <c r="E10" s="272" t="s">
        <v>724</v>
      </c>
      <c r="F10" s="239"/>
      <c r="G10" s="239"/>
      <c r="H10" s="239"/>
      <c r="I10" s="240"/>
    </row>
    <row r="11" spans="1:12" ht="12.75">
      <c r="A11" s="3310"/>
      <c r="B11" s="3311"/>
      <c r="C11" s="3321"/>
      <c r="D11" s="3316"/>
      <c r="E11" s="272" t="s">
        <v>725</v>
      </c>
      <c r="F11" s="239"/>
      <c r="G11" s="239"/>
      <c r="H11" s="239"/>
      <c r="I11" s="240"/>
    </row>
    <row r="12" spans="1:12" ht="12.75">
      <c r="A12" s="3310" t="s">
        <v>14</v>
      </c>
      <c r="B12" s="3311">
        <v>15</v>
      </c>
      <c r="C12" s="3319"/>
      <c r="D12" s="3316"/>
      <c r="E12" s="272" t="s">
        <v>726</v>
      </c>
      <c r="F12" s="239"/>
      <c r="G12" s="239"/>
      <c r="H12" s="239"/>
      <c r="I12" s="240"/>
    </row>
    <row r="13" spans="1:12" ht="12.75">
      <c r="A13" s="3310"/>
      <c r="B13" s="3311"/>
      <c r="C13" s="3321"/>
      <c r="D13" s="3316"/>
      <c r="E13" s="272" t="s">
        <v>727</v>
      </c>
      <c r="F13" s="239"/>
      <c r="G13" s="239"/>
      <c r="H13" s="239"/>
      <c r="I13" s="240"/>
    </row>
    <row r="14" spans="1:12" ht="12.75">
      <c r="A14" s="3310" t="s">
        <v>15</v>
      </c>
      <c r="B14" s="3311">
        <v>30</v>
      </c>
      <c r="C14" s="3319"/>
      <c r="D14" s="3316"/>
      <c r="E14" s="272" t="s">
        <v>728</v>
      </c>
      <c r="F14" s="239"/>
      <c r="G14" s="239"/>
      <c r="H14" s="239"/>
      <c r="I14" s="240"/>
    </row>
    <row r="15" spans="1:12" ht="12.75">
      <c r="A15" s="3310"/>
      <c r="B15" s="3311"/>
      <c r="C15" s="3320"/>
      <c r="D15" s="3316"/>
      <c r="E15" s="272" t="s">
        <v>729</v>
      </c>
      <c r="F15" s="239"/>
      <c r="G15" s="239"/>
      <c r="H15" s="239"/>
      <c r="I15" s="240"/>
    </row>
    <row r="16" spans="1:12" ht="12.75">
      <c r="A16" s="3310"/>
      <c r="B16" s="3311"/>
      <c r="C16" s="3321"/>
      <c r="D16" s="3316"/>
      <c r="E16" s="272" t="s">
        <v>730</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5" t="s">
        <v>184</v>
      </c>
      <c r="B24" s="244" t="s">
        <v>18</v>
      </c>
      <c r="C24" s="277">
        <f>D30</f>
        <v>0</v>
      </c>
      <c r="D24" s="251"/>
      <c r="E24" s="1059"/>
      <c r="F24" s="1059"/>
      <c r="G24" s="1059"/>
      <c r="H24" s="1059"/>
      <c r="I24" s="1059"/>
    </row>
    <row r="25" spans="1:35" ht="21.75" customHeight="1">
      <c r="A25" s="332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2771</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82" t="s">
        <v>2220</v>
      </c>
      <c r="B31" s="3382"/>
      <c r="C31" s="3382"/>
      <c r="D31" s="3382"/>
      <c r="E31" s="3382"/>
      <c r="F31" s="3382"/>
      <c r="G31" s="3382"/>
      <c r="H31" s="3382"/>
      <c r="I31" s="3382"/>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2276</v>
      </c>
      <c r="C32" s="2297">
        <f>典型户型修正!R27</f>
        <v>0</v>
      </c>
      <c r="D32" s="1059" t="s">
        <v>2277</v>
      </c>
      <c r="E32" s="1059"/>
      <c r="F32" s="1059"/>
      <c r="G32" s="1059"/>
      <c r="H32" s="1059"/>
      <c r="I32" s="1059"/>
    </row>
    <row r="33" spans="1:16" ht="14.25">
      <c r="A33" s="2298" t="s">
        <v>2278</v>
      </c>
      <c r="B33" s="2294" t="s">
        <v>2279</v>
      </c>
      <c r="C33" s="2299">
        <f>典型户型修正!B2</f>
        <v>0</v>
      </c>
      <c r="D33" s="2293" t="str">
        <f>IF('数据-取费表'!B3="万元","万元","元")</f>
        <v>元</v>
      </c>
      <c r="E33" s="1059"/>
      <c r="F33" s="1059"/>
      <c r="G33" s="1059"/>
      <c r="H33" s="1059"/>
      <c r="I33" s="1059"/>
    </row>
    <row r="34" spans="1:16" ht="15" thickBot="1">
      <c r="A34" s="2300"/>
      <c r="B34" s="2301" t="s">
        <v>2280</v>
      </c>
      <c r="C34" s="1211" t="e">
        <f>典型户型修正!B3</f>
        <v>#DIV/0!</v>
      </c>
      <c r="D34" s="1059" t="s">
        <v>2277</v>
      </c>
      <c r="E34" s="1059"/>
      <c r="F34" s="1059"/>
      <c r="G34" s="1059"/>
      <c r="H34" s="1059"/>
      <c r="I34" s="1059"/>
    </row>
    <row r="35" spans="1:16" ht="15">
      <c r="A35" s="2312"/>
      <c r="B35" s="2313" t="s">
        <v>680</v>
      </c>
      <c r="C35" s="2314">
        <f>IF('数据-取费表'!B3="万元",典型户型修正!V25,典型户型修正!U25)</f>
        <v>0</v>
      </c>
      <c r="D35" s="1059" t="str">
        <f>D33</f>
        <v>元</v>
      </c>
      <c r="E35" s="1059"/>
      <c r="F35" s="1059"/>
      <c r="G35" s="1059"/>
      <c r="H35" s="1059"/>
      <c r="I35" s="1059"/>
    </row>
    <row r="36" spans="1:16" ht="15.75" thickBot="1">
      <c r="A36" s="262"/>
      <c r="B36" s="2315" t="s">
        <v>682</v>
      </c>
      <c r="C36" s="2316">
        <f>IF('数据-取费表'!B3="万元",典型户型修正!Y25,典型户型修正!X25)</f>
        <v>0</v>
      </c>
      <c r="D36" s="1059" t="str">
        <f>D33</f>
        <v>元</v>
      </c>
      <c r="E36" s="1059"/>
      <c r="F36" s="1059"/>
      <c r="G36" s="1059"/>
      <c r="H36" s="1059"/>
      <c r="I36" s="1059"/>
    </row>
    <row r="37" spans="1:16" ht="15.75" thickBot="1">
      <c r="A37" s="3332" t="s">
        <v>678</v>
      </c>
      <c r="B37" s="258" t="s">
        <v>679</v>
      </c>
      <c r="C37" s="286"/>
      <c r="D37" s="1891"/>
      <c r="E37" s="1795"/>
      <c r="F37" s="1795"/>
      <c r="G37" s="1059"/>
      <c r="H37" s="1059"/>
      <c r="I37" s="1059"/>
    </row>
    <row r="38" spans="1:16" ht="15.75" thickBot="1">
      <c r="A38" s="3333"/>
      <c r="B38" s="5" t="s">
        <v>681</v>
      </c>
      <c r="C38" s="288"/>
      <c r="D38" s="8"/>
      <c r="E38" s="8"/>
      <c r="F38" s="1795"/>
      <c r="G38" s="8"/>
      <c r="H38" s="8"/>
      <c r="I38" s="8"/>
    </row>
    <row r="39" spans="1:16" ht="15.75" thickBot="1">
      <c r="A39" s="3334"/>
      <c r="B39" s="261" t="s">
        <v>683</v>
      </c>
      <c r="C39" s="1001"/>
      <c r="D39" s="1062" t="s">
        <v>684</v>
      </c>
      <c r="E39" s="8"/>
      <c r="F39" s="1795"/>
      <c r="G39" s="8"/>
      <c r="H39" s="8"/>
      <c r="I39" s="8"/>
    </row>
    <row r="40" spans="1:16" ht="13.5">
      <c r="A40" s="245" t="s">
        <v>685</v>
      </c>
      <c r="B40" s="264" t="s">
        <v>121</v>
      </c>
      <c r="C40" s="265" t="s">
        <v>122</v>
      </c>
      <c r="D40" s="265" t="s">
        <v>688</v>
      </c>
      <c r="E40" s="266" t="s">
        <v>123</v>
      </c>
      <c r="F40" s="1795"/>
      <c r="G40" s="8"/>
      <c r="H40" s="8"/>
      <c r="I40" s="8"/>
    </row>
    <row r="41" spans="1:16" ht="13.5">
      <c r="A41" s="1063" t="s">
        <v>690</v>
      </c>
      <c r="B41" s="291"/>
      <c r="C41" s="292"/>
      <c r="D41" s="292"/>
      <c r="E41" s="293"/>
      <c r="F41" s="1795"/>
      <c r="G41" s="8"/>
      <c r="H41" s="8"/>
      <c r="I41" s="8"/>
    </row>
    <row r="42" spans="1:16" ht="13.5">
      <c r="A42" s="1063" t="s">
        <v>691</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692</v>
      </c>
      <c r="B45" s="1068"/>
      <c r="C45" s="1068"/>
      <c r="D45" s="1069"/>
      <c r="E45" s="1069"/>
      <c r="F45" s="1070"/>
      <c r="G45" s="1070"/>
      <c r="H45" s="1070"/>
      <c r="I45" s="1070"/>
      <c r="J45" s="1227" t="s">
        <v>215</v>
      </c>
      <c r="K45" s="1228"/>
      <c r="L45" s="1228"/>
      <c r="M45" s="1228"/>
      <c r="N45" s="1228"/>
      <c r="O45" s="1228"/>
      <c r="P45" s="1226"/>
    </row>
    <row r="46" spans="1:16" ht="14.25" customHeight="1" thickBot="1">
      <c r="A46" s="3338" t="s">
        <v>711</v>
      </c>
      <c r="B46" s="3339"/>
      <c r="C46" s="3340"/>
      <c r="D46" s="297">
        <f>ROUND(I103*F46,0)</f>
        <v>0</v>
      </c>
      <c r="E46" s="298" t="s">
        <v>712</v>
      </c>
      <c r="F46" s="299">
        <v>1</v>
      </c>
      <c r="G46" s="300" t="s">
        <v>713</v>
      </c>
      <c r="H46" s="1059"/>
      <c r="I46" s="1059"/>
      <c r="J46" s="3242" t="s">
        <v>216</v>
      </c>
      <c r="K46" s="3242"/>
      <c r="L46" s="3242"/>
      <c r="M46" s="3242"/>
      <c r="N46" s="3242"/>
      <c r="O46" s="3242"/>
      <c r="P46" s="1226"/>
    </row>
    <row r="47" spans="1:16" ht="14.25" customHeight="1">
      <c r="A47" s="3327" t="s">
        <v>300</v>
      </c>
      <c r="B47" s="3328"/>
      <c r="C47" s="3328"/>
      <c r="D47" s="3328"/>
      <c r="E47" s="3328"/>
      <c r="F47" s="3328"/>
      <c r="G47" s="3329"/>
      <c r="H47" s="1071"/>
      <c r="I47" s="1025"/>
      <c r="J47" s="3032">
        <v>1</v>
      </c>
      <c r="K47" s="3242" t="s">
        <v>217</v>
      </c>
      <c r="L47" s="3242"/>
      <c r="M47" s="3371"/>
      <c r="N47" s="3371"/>
      <c r="O47" s="3371"/>
      <c r="P47" s="1226"/>
    </row>
    <row r="48" spans="1:16" ht="12" customHeight="1">
      <c r="A48" s="302" t="s">
        <v>301</v>
      </c>
      <c r="B48" s="303"/>
      <c r="C48" s="304"/>
      <c r="D48" s="305" t="s">
        <v>302</v>
      </c>
      <c r="E48" s="197" t="s">
        <v>303</v>
      </c>
      <c r="F48" s="306" t="s">
        <v>714</v>
      </c>
      <c r="G48" s="307" t="s">
        <v>715</v>
      </c>
      <c r="H48" s="1071"/>
      <c r="I48" s="1025"/>
      <c r="J48" s="3032">
        <v>2</v>
      </c>
      <c r="K48" s="3242" t="s">
        <v>218</v>
      </c>
      <c r="L48" s="3242"/>
      <c r="M48" s="3244">
        <f>'数据-取费表'!B2</f>
        <v>42934</v>
      </c>
      <c r="N48" s="3244"/>
      <c r="O48" s="3244"/>
      <c r="P48" s="1226"/>
    </row>
    <row r="49" spans="1:16" ht="25.5">
      <c r="A49" s="3335" t="s">
        <v>304</v>
      </c>
      <c r="B49" s="3336"/>
      <c r="C49" s="3336"/>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1046</v>
      </c>
      <c r="I49" s="1071"/>
      <c r="J49" s="3032">
        <v>3</v>
      </c>
      <c r="K49" s="3242" t="s">
        <v>694</v>
      </c>
      <c r="L49" s="3242"/>
      <c r="M49" s="3245">
        <f>I103</f>
        <v>0</v>
      </c>
      <c r="N49" s="3245"/>
      <c r="O49" s="3245"/>
      <c r="P49" s="1226"/>
    </row>
    <row r="50" spans="1:16" ht="25.5" customHeight="1">
      <c r="A50" s="309" t="s">
        <v>305</v>
      </c>
      <c r="B50" s="3313" t="s">
        <v>717</v>
      </c>
      <c r="C50" s="3313"/>
      <c r="D50" s="310">
        <v>0</v>
      </c>
      <c r="E50" s="196" t="s">
        <v>306</v>
      </c>
      <c r="F50" s="201" t="s">
        <v>178</v>
      </c>
      <c r="G50" s="3233"/>
      <c r="H50" s="1059"/>
      <c r="I50" s="1072"/>
      <c r="J50" s="3032">
        <v>4</v>
      </c>
      <c r="K50" s="3242" t="str">
        <f>IF(项目基本情况!F5="房地产抵押价值","房地产抵押价值","抵押担保权已注销时的房地产抵押价值")</f>
        <v>抵押担保权已注销时的房地产抵押价值</v>
      </c>
      <c r="L50" s="3242"/>
      <c r="M50" s="3245" t="str">
        <f>IF(项目基本情况!E8="房地产抵押价值",I111,I113)</f>
        <v>——</v>
      </c>
      <c r="N50" s="3245"/>
      <c r="O50" s="3245"/>
      <c r="P50" s="1226"/>
    </row>
    <row r="51" spans="1:16" ht="25.5" customHeight="1">
      <c r="A51" s="311"/>
      <c r="B51" s="3313" t="s">
        <v>307</v>
      </c>
      <c r="C51" s="3313"/>
      <c r="D51" s="312"/>
      <c r="E51" s="204"/>
      <c r="F51" s="313"/>
      <c r="G51" s="3234"/>
      <c r="H51" s="1059"/>
      <c r="I51" s="1072"/>
      <c r="J51" s="3242" t="s">
        <v>219</v>
      </c>
      <c r="K51" s="3242"/>
      <c r="L51" s="3242"/>
      <c r="M51" s="3242"/>
      <c r="N51" s="3242"/>
      <c r="O51" s="3242"/>
      <c r="P51" s="1226"/>
    </row>
    <row r="52" spans="1:16" ht="12" customHeight="1">
      <c r="A52" s="314"/>
      <c r="B52" s="3313" t="s">
        <v>308</v>
      </c>
      <c r="C52" s="3313"/>
      <c r="D52" s="315"/>
      <c r="E52" s="203"/>
      <c r="F52" s="313"/>
      <c r="G52" s="3235"/>
      <c r="H52" s="1059"/>
      <c r="I52" s="1072"/>
      <c r="J52" s="3030" t="s">
        <v>220</v>
      </c>
      <c r="K52" s="3242" t="s">
        <v>221</v>
      </c>
      <c r="L52" s="3242"/>
      <c r="M52" s="3030" t="s">
        <v>222</v>
      </c>
      <c r="N52" s="3030" t="s">
        <v>223</v>
      </c>
      <c r="O52" s="3030" t="s">
        <v>224</v>
      </c>
      <c r="P52" s="1226"/>
    </row>
    <row r="53" spans="1:16" ht="24" customHeight="1">
      <c r="A53" s="316" t="s">
        <v>309</v>
      </c>
      <c r="B53" s="3313" t="s">
        <v>310</v>
      </c>
      <c r="C53" s="3313"/>
      <c r="D53" s="315">
        <f>ROUND(D46*'数据-取费表'!E29/(1+'数据-取费表'!F30),0)</f>
        <v>0</v>
      </c>
      <c r="E53" s="193" t="s">
        <v>311</v>
      </c>
      <c r="F53" s="317">
        <f>'数据-取费表'!E29</f>
        <v>5.6000000000000001E-2</v>
      </c>
      <c r="G53" s="268"/>
      <c r="H53" s="1059"/>
      <c r="I53" s="1072"/>
      <c r="J53" s="3032">
        <v>1</v>
      </c>
      <c r="K53" s="3232" t="s">
        <v>695</v>
      </c>
      <c r="L53" s="3232"/>
      <c r="M53" s="1229">
        <f>D49</f>
        <v>0</v>
      </c>
      <c r="N53" s="3031" t="str">
        <f>E49</f>
        <v>销售额×税（费）率</v>
      </c>
      <c r="O53" s="1230">
        <f>F49</f>
        <v>5.6000000000000001E-2</v>
      </c>
      <c r="P53" s="1226"/>
    </row>
    <row r="54" spans="1:16" ht="12" customHeight="1">
      <c r="A54" s="316" t="s">
        <v>312</v>
      </c>
      <c r="B54" s="3312" t="s">
        <v>313</v>
      </c>
      <c r="C54" s="3315"/>
      <c r="D54" s="315">
        <f>ROUND(D46*'数据-取费表'!E29/(1+'数据-取费表'!F30),0)</f>
        <v>0</v>
      </c>
      <c r="E54" s="193" t="s">
        <v>311</v>
      </c>
      <c r="F54" s="317">
        <f>'数据-取费表'!E29</f>
        <v>5.6000000000000001E-2</v>
      </c>
      <c r="G54" s="268"/>
      <c r="H54" s="1059"/>
      <c r="I54" s="1072"/>
      <c r="J54" s="3032">
        <v>2</v>
      </c>
      <c r="K54" s="3232" t="s">
        <v>696</v>
      </c>
      <c r="L54" s="3232"/>
      <c r="M54" s="1229">
        <f t="shared" ref="M54:O55" si="1">D56</f>
        <v>0</v>
      </c>
      <c r="N54" s="3031" t="str">
        <f t="shared" si="1"/>
        <v>销售额×税（费）率</v>
      </c>
      <c r="O54" s="1230">
        <f t="shared" si="1"/>
        <v>5.0000000000000001E-4</v>
      </c>
      <c r="P54" s="1226"/>
    </row>
    <row r="55" spans="1:16" ht="12" customHeight="1">
      <c r="A55" s="316" t="s">
        <v>314</v>
      </c>
      <c r="B55" s="3312" t="s">
        <v>315</v>
      </c>
      <c r="C55" s="3315"/>
      <c r="D55" s="315">
        <f>C69</f>
        <v>0</v>
      </c>
      <c r="E55" s="203" t="s">
        <v>316</v>
      </c>
      <c r="F55" s="317">
        <f>'数据-取费表'!E29</f>
        <v>5.6000000000000001E-2</v>
      </c>
      <c r="G55" s="268"/>
      <c r="H55" s="1073"/>
      <c r="I55" s="1072"/>
      <c r="J55" s="3032">
        <v>3</v>
      </c>
      <c r="K55" s="3232" t="s">
        <v>697</v>
      </c>
      <c r="L55" s="3232"/>
      <c r="M55" s="1229">
        <f t="shared" si="1"/>
        <v>0</v>
      </c>
      <c r="N55" s="3031" t="str">
        <f t="shared" si="1"/>
        <v>增值额×税（费）率</v>
      </c>
      <c r="O55" s="1231" t="str">
        <f t="shared" si="1"/>
        <v>——</v>
      </c>
      <c r="P55" s="1226"/>
    </row>
    <row r="56" spans="1:16" ht="24" customHeight="1">
      <c r="A56" s="3341" t="s">
        <v>317</v>
      </c>
      <c r="B56" s="3336"/>
      <c r="C56" s="3336"/>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32" t="str">
        <f>IF(H60="非个人房产","——","个人所得税")</f>
        <v>——</v>
      </c>
      <c r="L56" s="3232"/>
      <c r="M56" s="1232" t="str">
        <f>D60</f>
        <v>——</v>
      </c>
      <c r="N56" s="1233" t="str">
        <f>E60</f>
        <v>——</v>
      </c>
      <c r="O56" s="1234" t="str">
        <f>F60</f>
        <v>——</v>
      </c>
      <c r="P56" s="1226"/>
    </row>
    <row r="57" spans="1:16" ht="24.75">
      <c r="A57" s="3341" t="s">
        <v>319</v>
      </c>
      <c r="B57" s="3336"/>
      <c r="C57" s="3336"/>
      <c r="D57" s="318">
        <f>IF(H57="个人住宅",D58,D59)</f>
        <v>0</v>
      </c>
      <c r="E57" s="193" t="s">
        <v>320</v>
      </c>
      <c r="F57" s="317" t="str">
        <f>IF(H57="正常",F59,"免征")</f>
        <v>——</v>
      </c>
      <c r="G57" s="1074" t="s">
        <v>175</v>
      </c>
      <c r="H57" s="1219" t="s">
        <v>157</v>
      </c>
      <c r="I57" s="167"/>
      <c r="J57" s="3032" t="str">
        <f>IF(项目基本情况!I6="上海银行",IF(J56="",4,J56+1),"")</f>
        <v/>
      </c>
      <c r="K57" s="3251" t="str">
        <f>IF(项目基本情况!I6="上海银行","其他处置费用","")</f>
        <v/>
      </c>
      <c r="L57" s="3252"/>
      <c r="M57" s="1229" t="str">
        <f>IF(项目基本情况!I6="上海银行",M70,"")</f>
        <v/>
      </c>
      <c r="N57" s="3230" t="str">
        <f>IF(项目基本情况!I6="上海银行","包含处置中涉及的律师、诉讼、拍卖、评估等费用","")</f>
        <v/>
      </c>
      <c r="O57" s="3231"/>
      <c r="P57" s="1226"/>
    </row>
    <row r="58" spans="1:16" ht="12.75">
      <c r="A58" s="316" t="s">
        <v>305</v>
      </c>
      <c r="B58" s="3330" t="s">
        <v>321</v>
      </c>
      <c r="C58" s="3337"/>
      <c r="D58" s="320">
        <v>0</v>
      </c>
      <c r="E58" s="196" t="s">
        <v>306</v>
      </c>
      <c r="F58" s="287"/>
      <c r="G58" s="268"/>
      <c r="H58" s="167"/>
      <c r="I58" s="167"/>
      <c r="J58" s="3250">
        <f>IF(AND(J56="",J57=""),4,IF(项目基本情况!I6="上海银行",J57+1,J56+1))</f>
        <v>4</v>
      </c>
      <c r="K58" s="3232" t="s">
        <v>183</v>
      </c>
      <c r="L58" s="1235" t="s">
        <v>225</v>
      </c>
      <c r="M58" s="1236"/>
      <c r="N58" s="1237">
        <f>SUMIF(M53:M57,"&lt;9e307")</f>
        <v>0</v>
      </c>
      <c r="O58" s="1238"/>
      <c r="P58" s="3033" t="e">
        <f>N58/M50</f>
        <v>#VALUE!</v>
      </c>
    </row>
    <row r="59" spans="1:16" ht="24.75">
      <c r="A59" s="316" t="s">
        <v>309</v>
      </c>
      <c r="B59" s="3330" t="s">
        <v>322</v>
      </c>
      <c r="C59" s="3331"/>
      <c r="D59" s="318">
        <f>IF(H59="转让取得",C82,C98)</f>
        <v>0</v>
      </c>
      <c r="E59" s="193" t="s">
        <v>320</v>
      </c>
      <c r="F59" s="197" t="s">
        <v>178</v>
      </c>
      <c r="G59" s="268"/>
      <c r="H59" s="1219" t="s">
        <v>1045</v>
      </c>
      <c r="I59" s="167"/>
      <c r="J59" s="3250"/>
      <c r="K59" s="3232"/>
      <c r="L59" s="1235" t="s">
        <v>226</v>
      </c>
      <c r="M59" s="1239"/>
      <c r="N59" s="1240" t="str">
        <f>IF(H19="元",NUMBERSTRING(INT(N58),2)&amp;"元整",NUMBERSTRING(INT(N58*10000),2)&amp;"元整")</f>
        <v>零元整</v>
      </c>
      <c r="O59" s="1241"/>
      <c r="P59" s="1226"/>
    </row>
    <row r="60" spans="1:16" ht="24.75" thickBot="1">
      <c r="A60" s="3342" t="s">
        <v>323</v>
      </c>
      <c r="B60" s="3343"/>
      <c r="C60" s="3343"/>
      <c r="D60" s="321" t="str">
        <f>IF(H60="非个人房产","——",IF(H60="个人住宅",0,ROUND(D46*I60,0)))</f>
        <v>——</v>
      </c>
      <c r="E60" s="322" t="str">
        <f>IF(H60="非个人房产","——","销售额×税（费）率")</f>
        <v>——</v>
      </c>
      <c r="F60" s="323" t="str">
        <f>IF(H60="非个人房产","——",IF(H60="个人住宅","免征",I60))</f>
        <v>——</v>
      </c>
      <c r="G60" s="1075" t="s">
        <v>175</v>
      </c>
      <c r="H60" s="1219" t="s">
        <v>1044</v>
      </c>
      <c r="I60" s="324">
        <v>0.01</v>
      </c>
      <c r="J60" s="3289">
        <f>J58+1</f>
        <v>5</v>
      </c>
      <c r="K60" s="3232" t="s">
        <v>179</v>
      </c>
      <c r="L60" s="3031" t="s">
        <v>225</v>
      </c>
      <c r="M60" s="1242"/>
      <c r="N60" s="1243" t="e">
        <f>M50-N58</f>
        <v>#VALUE!</v>
      </c>
      <c r="O60" s="1244"/>
      <c r="P60" s="1226"/>
    </row>
    <row r="61" spans="1:16" ht="12" customHeight="1">
      <c r="A61" s="1716"/>
      <c r="B61" s="1059"/>
      <c r="C61" s="1059"/>
      <c r="D61" s="1059"/>
      <c r="E61" s="167"/>
      <c r="F61" s="167"/>
      <c r="G61" s="167"/>
      <c r="H61" s="168"/>
      <c r="I61" s="1059"/>
      <c r="J61" s="3290"/>
      <c r="K61" s="3232"/>
      <c r="L61" s="1235" t="s">
        <v>226</v>
      </c>
      <c r="M61" s="1239"/>
      <c r="N61" s="1240" t="e">
        <f>IF(H19="元",NUMBERSTRING(INT(N60),2)&amp;"元整",NUMBERSTRING(INT(N60*10000),2)&amp;"元整")</f>
        <v>#VALUE!</v>
      </c>
      <c r="O61" s="1241"/>
      <c r="P61" s="1226"/>
    </row>
    <row r="62" spans="1:16" ht="13.5" thickBot="1">
      <c r="A62" s="3344" t="s">
        <v>324</v>
      </c>
      <c r="B62" s="3344"/>
      <c r="C62" s="3344"/>
      <c r="D62" s="3344"/>
      <c r="E62" s="3344"/>
      <c r="F62" s="167"/>
      <c r="G62" s="167"/>
      <c r="H62" s="168"/>
      <c r="I62" s="1059"/>
      <c r="J62" s="3032">
        <f>J60+1</f>
        <v>6</v>
      </c>
      <c r="K62" s="3232" t="s">
        <v>227</v>
      </c>
      <c r="L62" s="3232"/>
      <c r="M62" s="1245"/>
      <c r="N62" s="1246" t="e">
        <f>IF(H19="元",ROUND(N60/项目基本情况!C12,0),ROUND(N60*10000/项目基本情况!C12,0))</f>
        <v>#VALUE!</v>
      </c>
      <c r="O62" s="1247"/>
      <c r="P62" s="1226"/>
    </row>
    <row r="63" spans="1:16" ht="12.75">
      <c r="A63" s="3273" t="s">
        <v>325</v>
      </c>
      <c r="B63" s="3274"/>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53"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53"/>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53"/>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5" t="s">
        <v>2897</v>
      </c>
      <c r="F67" s="167"/>
      <c r="G67" s="167"/>
      <c r="H67" s="168"/>
      <c r="I67" s="1059"/>
      <c r="J67" s="3253"/>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53"/>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53"/>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53"/>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5" t="s">
        <v>332</v>
      </c>
      <c r="B71" s="3276"/>
      <c r="C71" s="3276"/>
      <c r="D71" s="3276"/>
      <c r="E71" s="3276"/>
      <c r="F71" s="3276"/>
      <c r="G71" s="3276"/>
      <c r="H71" s="3276"/>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73" t="s">
        <v>325</v>
      </c>
      <c r="B72" s="3274"/>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1043</v>
      </c>
      <c r="G76" s="355" t="s">
        <v>708</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12" t="s">
        <v>341</v>
      </c>
      <c r="F77" s="3313"/>
      <c r="G77" s="3313"/>
      <c r="H77" s="3314"/>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709</v>
      </c>
      <c r="F78" s="360"/>
      <c r="G78" s="1216" t="s">
        <v>2425</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3" t="s">
        <v>2426</v>
      </c>
      <c r="F79" s="3240"/>
      <c r="G79" s="3240"/>
      <c r="H79" s="3262"/>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75" t="s">
        <v>347</v>
      </c>
      <c r="B84" s="3276"/>
      <c r="C84" s="3276"/>
      <c r="D84" s="3276"/>
      <c r="E84" s="3276"/>
      <c r="F84" s="3276"/>
      <c r="G84" s="3276"/>
      <c r="H84" s="3276"/>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73" t="s">
        <v>325</v>
      </c>
      <c r="B85" s="3274"/>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9" t="s">
        <v>710</v>
      </c>
      <c r="F92" s="3240"/>
      <c r="G92" s="3240"/>
      <c r="H92" s="1218" t="s">
        <v>2204</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9" t="s">
        <v>356</v>
      </c>
      <c r="F93" s="3240"/>
      <c r="G93" s="3240"/>
      <c r="H93" s="3262"/>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3" t="s">
        <v>2426</v>
      </c>
      <c r="F94" s="3240"/>
      <c r="G94" s="3240"/>
      <c r="H94" s="3262"/>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9" t="s">
        <v>358</v>
      </c>
      <c r="F95" s="3240"/>
      <c r="G95" s="3240"/>
      <c r="H95" s="326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9" t="s">
        <v>241</v>
      </c>
      <c r="B100" s="3260"/>
      <c r="C100" s="3260"/>
      <c r="D100" s="3261"/>
      <c r="E100" s="1059"/>
      <c r="F100" s="3270" t="s">
        <v>2770</v>
      </c>
      <c r="G100" s="3271"/>
      <c r="H100" s="3271"/>
      <c r="I100" s="3272"/>
    </row>
    <row r="101" spans="1:35" ht="14.25">
      <c r="A101" s="3277" t="s">
        <v>212</v>
      </c>
      <c r="B101" s="3278"/>
      <c r="C101" s="1084">
        <f>C4</f>
        <v>0</v>
      </c>
      <c r="D101" s="1085">
        <f>D4</f>
        <v>0</v>
      </c>
      <c r="E101" s="1059"/>
      <c r="F101" s="3279" t="s">
        <v>1856</v>
      </c>
      <c r="G101" s="3281"/>
      <c r="H101" s="3373" t="s">
        <v>1968</v>
      </c>
      <c r="I101" s="3280"/>
    </row>
    <row r="102" spans="1:35" ht="15.75">
      <c r="A102" s="3374" t="s">
        <v>2221</v>
      </c>
      <c r="B102" s="1679" t="str">
        <f>IF(H19="元","总价（元）","总价（万元）")</f>
        <v>总价（元）</v>
      </c>
      <c r="C102" s="1051" t="e">
        <f ca="1">C19</f>
        <v>#REF!</v>
      </c>
      <c r="D102" s="1052" t="e">
        <f ca="1">D19</f>
        <v>#REF!</v>
      </c>
      <c r="E102" s="1059"/>
      <c r="F102" s="3375"/>
      <c r="G102" s="3376"/>
      <c r="H102" s="3348">
        <f>典型户型修正!B25</f>
        <v>0</v>
      </c>
      <c r="I102" s="3349"/>
    </row>
    <row r="103" spans="1:35" ht="15.75">
      <c r="A103" s="3374"/>
      <c r="B103" s="1679" t="s">
        <v>1854</v>
      </c>
      <c r="C103" s="1053" t="e">
        <f ca="1">C20</f>
        <v>#REF!</v>
      </c>
      <c r="D103" s="1054" t="e">
        <f ca="1">D20</f>
        <v>#REF!</v>
      </c>
      <c r="E103" s="1059"/>
      <c r="F103" s="3365" t="s">
        <v>1862</v>
      </c>
      <c r="G103" s="3366"/>
      <c r="H103" s="1881" t="str">
        <f>C109</f>
        <v>总价（元）</v>
      </c>
      <c r="I103" s="3071">
        <f>H124</f>
        <v>0</v>
      </c>
    </row>
    <row r="104" spans="1:35" ht="15">
      <c r="A104" s="3374" t="s">
        <v>2222</v>
      </c>
      <c r="B104" s="1680" t="str">
        <f>B102</f>
        <v>总价（元）</v>
      </c>
      <c r="C104" s="2048" t="e">
        <f ca="1">ROUND(IF('数据-取费表'!B4="总价",G19,IF(H19="元",G20*'数据-取费表'!E5,G20*'数据-取费表'!E5/10000)),0)</f>
        <v>#REF!</v>
      </c>
      <c r="D104" s="1056"/>
      <c r="E104" s="1059"/>
      <c r="F104" s="3365"/>
      <c r="G104" s="3366"/>
      <c r="H104" s="1881" t="s">
        <v>1854</v>
      </c>
      <c r="I104" s="1767" t="e">
        <f>I124</f>
        <v>#DIV/0!</v>
      </c>
    </row>
    <row r="105" spans="1:35" ht="15">
      <c r="A105" s="3374"/>
      <c r="B105" s="1679" t="s">
        <v>1854</v>
      </c>
      <c r="C105" s="2051" t="e">
        <f ca="1">ROUND(IF('数据-取费表'!B4="楼面单价",G20,IF(H19="元",G19/'数据-取费表'!E5,G19*10000/'数据-取费表'!E5)),0)</f>
        <v>#REF!</v>
      </c>
      <c r="D105" s="1056"/>
      <c r="E105" s="1059"/>
      <c r="F105" s="3266"/>
      <c r="G105" s="3267"/>
      <c r="H105" s="3301"/>
      <c r="I105" s="3302"/>
    </row>
    <row r="106" spans="1:35" ht="15.75">
      <c r="A106" s="3381" t="s">
        <v>2219</v>
      </c>
      <c r="B106" s="2046" t="str">
        <f>B102</f>
        <v>总价（元）</v>
      </c>
      <c r="C106" s="1055">
        <f>H124</f>
        <v>0</v>
      </c>
      <c r="D106" s="2047"/>
      <c r="E106" s="1059"/>
      <c r="F106" s="3305" t="s">
        <v>1963</v>
      </c>
      <c r="G106" s="3306"/>
      <c r="H106" s="1882" t="str">
        <f>C111</f>
        <v>总额（元）</v>
      </c>
      <c r="I106" s="3071">
        <f>SUMIF(I107:I109,"&lt;9E307")</f>
        <v>0</v>
      </c>
    </row>
    <row r="107" spans="1:35" ht="15.75" thickBot="1">
      <c r="A107" s="3300"/>
      <c r="B107" s="1681" t="s">
        <v>1854</v>
      </c>
      <c r="C107" s="1057" t="e">
        <f>I124</f>
        <v>#DIV/0!</v>
      </c>
      <c r="D107" s="1058"/>
      <c r="E107" s="1059"/>
      <c r="F107" s="3268" t="s">
        <v>1859</v>
      </c>
      <c r="G107" s="3269"/>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7" t="s">
        <v>2769</v>
      </c>
      <c r="B108" s="3378"/>
      <c r="C108" s="3378"/>
      <c r="D108" s="3379"/>
      <c r="E108" s="1059"/>
      <c r="F108" s="3268" t="s">
        <v>1860</v>
      </c>
      <c r="G108" s="3269"/>
      <c r="H108" s="1882" t="str">
        <f>C113</f>
        <v>总额（元）</v>
      </c>
      <c r="I108" s="1767">
        <f>C38</f>
        <v>0</v>
      </c>
      <c r="K108" s="2127"/>
    </row>
    <row r="109" spans="1:35" ht="15">
      <c r="A109" s="3307" t="s">
        <v>1863</v>
      </c>
      <c r="B109" s="3308"/>
      <c r="C109" s="1881" t="str">
        <f>B102</f>
        <v>总价（元）</v>
      </c>
      <c r="D109" s="1768">
        <f>H124</f>
        <v>0</v>
      </c>
      <c r="E109" s="1059"/>
      <c r="F109" s="3268" t="s">
        <v>1861</v>
      </c>
      <c r="G109" s="3269"/>
      <c r="H109" s="1882" t="str">
        <f>C114</f>
        <v>总额（元）</v>
      </c>
      <c r="I109" s="1767">
        <f>C39</f>
        <v>0</v>
      </c>
    </row>
    <row r="110" spans="1:35" ht="14.25">
      <c r="A110" s="3307"/>
      <c r="B110" s="3308"/>
      <c r="C110" s="1881" t="s">
        <v>1854</v>
      </c>
      <c r="D110" s="1769" t="e">
        <f>I124</f>
        <v>#DIV/0!</v>
      </c>
      <c r="E110" s="1059"/>
      <c r="F110" s="3266"/>
      <c r="G110" s="3267"/>
      <c r="H110" s="3303"/>
      <c r="I110" s="3304"/>
    </row>
    <row r="111" spans="1:35" ht="28.5" customHeight="1">
      <c r="A111" s="3361" t="s">
        <v>1963</v>
      </c>
      <c r="B111" s="3362"/>
      <c r="C111" s="1882" t="str">
        <f>IF(H19="元","总额（元）","总额（万元）")</f>
        <v>总额（元）</v>
      </c>
      <c r="D111" s="1768">
        <f>IF(D37="正常操作",I107+I108+I109,I108+I109)</f>
        <v>0</v>
      </c>
      <c r="E111" s="1059"/>
      <c r="F111" s="3246" t="str">
        <f>IF(项目基本情况!F5="已注销","——","3.房地产抵押价值")</f>
        <v>3.房地产抵押价值</v>
      </c>
      <c r="G111" s="3247"/>
      <c r="H111" s="3082" t="str">
        <f>C115</f>
        <v>总价（元）</v>
      </c>
      <c r="I111" s="3071">
        <f>IF(F111="——","——",I103-I106)</f>
        <v>0</v>
      </c>
    </row>
    <row r="112" spans="1:35" ht="14.25">
      <c r="A112" s="3268" t="s">
        <v>1859</v>
      </c>
      <c r="B112" s="3269"/>
      <c r="C112" s="1882" t="str">
        <f>C111</f>
        <v>总额（元）</v>
      </c>
      <c r="D112" s="855">
        <f>IF(D37="同一抵押权人同一抵押物续贷",C37&amp;"（未扣减，详见特别提示）",C37)</f>
        <v>0</v>
      </c>
      <c r="E112" s="1059"/>
      <c r="F112" s="3248"/>
      <c r="G112" s="3249"/>
      <c r="H112" s="1881" t="s">
        <v>1854</v>
      </c>
      <c r="I112" s="3079" t="e">
        <f>D116</f>
        <v>#DIV/0!</v>
      </c>
    </row>
    <row r="113" spans="1:26" ht="15.75">
      <c r="A113" s="3268" t="s">
        <v>1860</v>
      </c>
      <c r="B113" s="3269"/>
      <c r="C113" s="1882" t="str">
        <f>C111</f>
        <v>总额（元）</v>
      </c>
      <c r="D113" s="855">
        <f>C38</f>
        <v>0</v>
      </c>
      <c r="E113" s="1059"/>
      <c r="F113" s="3246" t="str">
        <f>IF(项目基本情况!F5="已注销及未注销","4.抵押担保权已注销时的房地产抵押价值",IF(项目基本情况!F5="已注销","3.抵押担保权已注销时的房地产抵押价值","——"))</f>
        <v>——</v>
      </c>
      <c r="G113" s="3247"/>
      <c r="H113" s="3082" t="str">
        <f>C117</f>
        <v>总价（元）</v>
      </c>
      <c r="I113" s="3071" t="str">
        <f>IF(F113="——","——",I103-I108-I109)</f>
        <v>——</v>
      </c>
    </row>
    <row r="114" spans="1:26" ht="14.25">
      <c r="A114" s="3268" t="s">
        <v>1861</v>
      </c>
      <c r="B114" s="3269"/>
      <c r="C114" s="1882" t="str">
        <f>C111</f>
        <v>总额（元）</v>
      </c>
      <c r="D114" s="855">
        <f>C39</f>
        <v>0</v>
      </c>
      <c r="E114" s="1059"/>
      <c r="F114" s="3248"/>
      <c r="G114" s="3249"/>
      <c r="H114" s="1881" t="s">
        <v>1854</v>
      </c>
      <c r="I114" s="3072" t="str">
        <f>D118</f>
        <v>——</v>
      </c>
    </row>
    <row r="115" spans="1:26" ht="15.75">
      <c r="A115" s="3307" t="str">
        <f>IF(项目基本情况!F5="已注销","——","3.房地产抵押价值")</f>
        <v>3.房地产抵押价值</v>
      </c>
      <c r="B115" s="3308"/>
      <c r="C115" s="1881" t="str">
        <f>B102</f>
        <v>总价（元）</v>
      </c>
      <c r="D115" s="1768">
        <f>IF(A115="——","——",D109-D111)</f>
        <v>0</v>
      </c>
      <c r="E115" s="1059"/>
      <c r="F115" s="3246" t="str">
        <f>IF(项目基本情况!G5="抵押净值",IF(OR(项目基本情况!F5="已注销",项目基本情况!F5="房地产抵押价值"),"4.抵押净值","5.抵押净值"),"——")</f>
        <v>——</v>
      </c>
      <c r="G115" s="3247"/>
      <c r="H115" s="1881" t="str">
        <f>C119</f>
        <v>总价（元）</v>
      </c>
      <c r="I115" s="3071" t="str">
        <f>IF(F115="——","——",N60)</f>
        <v>——</v>
      </c>
    </row>
    <row r="116" spans="1:26" ht="15.75" thickBot="1">
      <c r="A116" s="3307"/>
      <c r="B116" s="3308"/>
      <c r="C116" s="1881" t="s">
        <v>1854</v>
      </c>
      <c r="D116" s="1769" t="e">
        <f>ROUND(IF(D115=D109,D110,IF(H19="元",D115/B124,D115*10000/B124)),0)</f>
        <v>#DIV/0!</v>
      </c>
      <c r="E116" s="1059"/>
      <c r="F116" s="3350"/>
      <c r="G116" s="3351"/>
      <c r="H116" s="1883" t="s">
        <v>1854</v>
      </c>
      <c r="I116" s="3081" t="str">
        <f>D120</f>
        <v>——</v>
      </c>
    </row>
    <row r="117" spans="1:26" ht="15">
      <c r="A117" s="3307" t="str">
        <f>IF(项目基本情况!F5="已注销及未注销","4.抵押担保权已注销时的房地产抵押价值",IF(项目基本情况!F5="已注销","3.抵押担保权已注销时的房地产抵押价值","——"))</f>
        <v>——</v>
      </c>
      <c r="B117" s="3308"/>
      <c r="C117" s="1881" t="str">
        <f>B102</f>
        <v>总价（元）</v>
      </c>
      <c r="D117" s="1768" t="str">
        <f>IF(A117="——","——",D109-D113-D114)</f>
        <v>——</v>
      </c>
      <c r="E117" s="1059"/>
      <c r="F117" s="3241"/>
      <c r="G117" s="3241"/>
      <c r="H117" s="3286"/>
      <c r="I117" s="3286"/>
      <c r="N117" s="1892"/>
      <c r="O117" s="1892"/>
    </row>
    <row r="118" spans="1:26" s="1226" customFormat="1" ht="14.25">
      <c r="A118" s="3307"/>
      <c r="B118" s="3308"/>
      <c r="C118" s="1881" t="s">
        <v>1854</v>
      </c>
      <c r="D118" s="1769" t="str">
        <f>IF(A117="——","——",IF(H19="元",ROUND(D117/B124,0),ROUND(D117*10000/B124,0)))</f>
        <v>——</v>
      </c>
      <c r="E118" s="1059"/>
      <c r="F118" s="3380" t="str">
        <f>IF(B32="总价","（以上估价结果中楼面单价为总价除以建筑面积得出）","（以上估价结果中总价为楼面单价乘以建筑面积得出）")</f>
        <v>（以上估价结果中总价为楼面单价乘以建筑面积得出）</v>
      </c>
      <c r="G118" s="3380"/>
      <c r="H118" s="3380"/>
      <c r="I118" s="3380"/>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7" t="str">
        <f>IF(项目基本情况!G5="抵押净值",IF(OR(项目基本情况!F5="已注销",项目基本情况!F5="房地产抵押价值"),"4.抵押净值","5.抵押净值"),"——")</f>
        <v>——</v>
      </c>
      <c r="B119" s="3308"/>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9"/>
      <c r="B120" s="3360"/>
      <c r="C120" s="1883" t="s">
        <v>1854</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7" t="s">
        <v>2898</v>
      </c>
      <c r="B121" s="3288"/>
      <c r="C121" s="3288"/>
      <c r="D121" s="3288"/>
      <c r="E121" s="3288"/>
      <c r="F121" s="3288"/>
      <c r="G121" s="3288"/>
      <c r="H121" s="3288"/>
      <c r="I121" s="3288"/>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8" t="s">
        <v>3</v>
      </c>
      <c r="B122" s="3256" t="s">
        <v>1883</v>
      </c>
      <c r="C122" s="3256" t="s">
        <v>700</v>
      </c>
      <c r="D122" s="3264" t="s">
        <v>211</v>
      </c>
      <c r="E122" s="3265"/>
      <c r="F122" s="3254" t="s">
        <v>682</v>
      </c>
      <c r="G122" s="3254"/>
      <c r="H122" s="3254" t="s">
        <v>4</v>
      </c>
      <c r="I122" s="3255"/>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8"/>
      <c r="B123" s="3257"/>
      <c r="C123" s="3257"/>
      <c r="D123" s="2031" t="s">
        <v>5</v>
      </c>
      <c r="E123" s="2031" t="s">
        <v>701</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8" t="s">
        <v>7</v>
      </c>
      <c r="B125" s="3254"/>
      <c r="C125" s="3254"/>
      <c r="D125" s="3291" t="str">
        <f>IF(H19="元",NUMBERSTRING(INT(D124),2)&amp;"元整",NUMBERSTRING(INT(D124*10000),2)&amp;"元整")</f>
        <v>零元整</v>
      </c>
      <c r="E125" s="3292"/>
      <c r="F125" s="3291" t="str">
        <f>IF(H19="元",NUMBERSTRING(INT(F124),2)&amp;"元整",NUMBERSTRING(INT(F124*10000),2)&amp;"元整")</f>
        <v>零元整</v>
      </c>
      <c r="G125" s="3292"/>
      <c r="H125" s="3291" t="str">
        <f>IF(H19="元",NUMBERSTRING(INT(H124),2)&amp;"元整",NUMBERSTRING(INT(H124*10000),2)&amp;"元整")</f>
        <v>零元整</v>
      </c>
      <c r="I125" s="3367"/>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93" t="str">
        <f>MID(A111,3,LEN(A111)-2)</f>
        <v>估价师所知悉的法定优先受偿款</v>
      </c>
      <c r="B126" s="3294"/>
      <c r="C126" s="3295"/>
      <c r="D126" s="3352">
        <f>I106</f>
        <v>0</v>
      </c>
      <c r="E126" s="3353"/>
      <c r="F126" s="3353"/>
      <c r="G126" s="3353"/>
      <c r="H126" s="3353"/>
      <c r="I126" s="3354"/>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6" t="s">
        <v>7</v>
      </c>
      <c r="B127" s="3297"/>
      <c r="C127" s="3298"/>
      <c r="D127" s="3355">
        <f>H110</f>
        <v>0</v>
      </c>
      <c r="E127" s="3356"/>
      <c r="F127" s="3356"/>
      <c r="G127" s="3356"/>
      <c r="H127" s="3356"/>
      <c r="I127" s="3357"/>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82" t="str">
        <f>MID(A115,3,LEN(A115)-2)</f>
        <v>房地产抵押价值</v>
      </c>
      <c r="B128" s="3283"/>
      <c r="C128" s="3283"/>
      <c r="D128" s="3352">
        <f>I111</f>
        <v>0</v>
      </c>
      <c r="E128" s="3353"/>
      <c r="F128" s="3353"/>
      <c r="G128" s="3353"/>
      <c r="H128" s="3353"/>
      <c r="I128" s="3354"/>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8" t="s">
        <v>7</v>
      </c>
      <c r="B129" s="3254"/>
      <c r="C129" s="3254"/>
      <c r="D129" s="3355" t="e">
        <f>I112</f>
        <v>#DIV/0!</v>
      </c>
      <c r="E129" s="3356"/>
      <c r="F129" s="3356"/>
      <c r="G129" s="3356"/>
      <c r="H129" s="3356"/>
      <c r="I129" s="3357"/>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82" t="str">
        <f>MID(A117,3,LEN(A117)-2)</f>
        <v/>
      </c>
      <c r="B130" s="3283"/>
      <c r="C130" s="3283"/>
      <c r="D130" s="3236" t="str">
        <f>I113</f>
        <v>——</v>
      </c>
      <c r="E130" s="3237"/>
      <c r="F130" s="3237"/>
      <c r="G130" s="3237"/>
      <c r="H130" s="3237"/>
      <c r="I130" s="3238"/>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8" t="s">
        <v>7</v>
      </c>
      <c r="B131" s="3254"/>
      <c r="C131" s="3347"/>
      <c r="D131" s="3285" t="str">
        <f>I114</f>
        <v>——</v>
      </c>
      <c r="E131" s="3285"/>
      <c r="F131" s="3285"/>
      <c r="G131" s="3285"/>
      <c r="H131" s="3285"/>
      <c r="I131" s="3285"/>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82" t="str">
        <f>MID(F115,3,LEN(F115)-2)</f>
        <v/>
      </c>
      <c r="B132" s="3283"/>
      <c r="C132" s="3284"/>
      <c r="D132" s="3358" t="str">
        <f>I115</f>
        <v>——</v>
      </c>
      <c r="E132" s="3358"/>
      <c r="F132" s="3358"/>
      <c r="G132" s="3358"/>
      <c r="H132" s="3358"/>
      <c r="I132" s="3358"/>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63" t="s">
        <v>7</v>
      </c>
      <c r="B133" s="3364"/>
      <c r="C133" s="3364"/>
      <c r="D133" s="3368">
        <f>H117</f>
        <v>0</v>
      </c>
      <c r="E133" s="3369"/>
      <c r="F133" s="3369"/>
      <c r="G133" s="3369"/>
      <c r="H133" s="3369"/>
      <c r="I133" s="3370"/>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5" t="str">
        <f>IF(B32="总价","（以上估价结果中楼面单价为总价除以建筑面积得出）","（以上估价结果中总价为楼面单价乘以建筑面积得出）")</f>
        <v>（以上估价结果中总价为楼面单价乘以建筑面积得出）</v>
      </c>
      <c r="B135" s="3345"/>
      <c r="C135" s="3345"/>
      <c r="D135" s="3345"/>
      <c r="E135" s="3345"/>
      <c r="F135" s="3345"/>
      <c r="G135" s="3345"/>
      <c r="H135" s="3345"/>
      <c r="I135" s="334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702</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703</v>
      </c>
      <c r="G142" s="1261"/>
      <c r="H142" s="1261"/>
      <c r="I142" s="1262" t="s">
        <v>704</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705</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706</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707</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706</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D59" sqref="D5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893</v>
      </c>
      <c r="B1" s="2892" t="s">
        <v>894</v>
      </c>
      <c r="C1" s="2893" t="s">
        <v>217</v>
      </c>
      <c r="D1" s="2894"/>
      <c r="E1" s="2895" t="s">
        <v>2963</v>
      </c>
      <c r="F1" s="2896" t="s">
        <v>895</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896</v>
      </c>
      <c r="B2" s="2887">
        <f>IF(D2="——",IF(C2="元",ROUND(C49*D3,0),ROUND(C49*D3/10000,0)),IF(C2="元",ROUND(C49*D3,0),ROUND(C49*D3/10000,0))-E2)</f>
        <v>3524715</v>
      </c>
      <c r="C2" s="32" t="str">
        <f>'数据-取费表'!B3</f>
        <v>元</v>
      </c>
      <c r="D2" s="2888" t="s">
        <v>2904</v>
      </c>
      <c r="E2" s="3036" t="e">
        <f ca="1">SUMIF(INDIRECT("'"&amp;G2&amp;"'"&amp;"!A:A"),"承租人权益价值",INDIRECT("'"&amp;G2&amp;"'"&amp;"!c:c"))</f>
        <v>#REF!</v>
      </c>
      <c r="F2" s="2889" t="str">
        <f>C2</f>
        <v>元</v>
      </c>
      <c r="G2" s="2890"/>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897</v>
      </c>
      <c r="B3" s="596">
        <f>ROUND(IF(D2="——",C49,IF(C2="万元",B2*10000/D3,B2/D3)),0)</f>
        <v>62033</v>
      </c>
      <c r="C3" s="89" t="s">
        <v>898</v>
      </c>
      <c r="D3" s="596">
        <f>IF(C1="仅计算典型户型",'数据-取费表'!E5,'数据-取费表'!B5)</f>
        <v>56.82</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899</v>
      </c>
      <c r="B4" s="91"/>
      <c r="C4" s="3386" t="s">
        <v>900</v>
      </c>
      <c r="D4" s="3387"/>
      <c r="E4" s="3388" t="s">
        <v>901</v>
      </c>
      <c r="F4" s="3389"/>
      <c r="G4" s="3386" t="s">
        <v>902</v>
      </c>
      <c r="H4" s="3387"/>
      <c r="I4" s="3386" t="s">
        <v>903</v>
      </c>
      <c r="J4" s="3387"/>
      <c r="K4" s="92" t="s">
        <v>904</v>
      </c>
      <c r="L4" s="2164"/>
      <c r="M4" s="2165"/>
      <c r="N4" s="2165"/>
      <c r="O4" s="2165"/>
      <c r="P4" s="3390" t="s">
        <v>899</v>
      </c>
      <c r="Q4" s="3391"/>
      <c r="R4" s="3396" t="s">
        <v>901</v>
      </c>
      <c r="S4" s="3397"/>
      <c r="T4" s="3396" t="s">
        <v>902</v>
      </c>
      <c r="U4" s="3397"/>
      <c r="V4" s="3402" t="s">
        <v>903</v>
      </c>
      <c r="W4" s="3402"/>
      <c r="X4" s="1133"/>
      <c r="Y4" s="3396" t="s">
        <v>899</v>
      </c>
      <c r="Z4" s="3397"/>
      <c r="AA4" s="3383" t="s">
        <v>901</v>
      </c>
      <c r="AB4" s="3383" t="s">
        <v>902</v>
      </c>
      <c r="AC4" s="3383" t="s">
        <v>903</v>
      </c>
    </row>
    <row r="5" spans="1:29">
      <c r="A5" s="93"/>
      <c r="B5" s="94"/>
      <c r="C5" s="3405" t="s">
        <v>2973</v>
      </c>
      <c r="D5" s="3406"/>
      <c r="E5" s="3403" t="str">
        <f>C5</f>
        <v>甘露家园</v>
      </c>
      <c r="F5" s="3404"/>
      <c r="G5" s="3405" t="str">
        <f>C5</f>
        <v>甘露家园</v>
      </c>
      <c r="H5" s="3406"/>
      <c r="I5" s="3405" t="str">
        <f>C5</f>
        <v>甘露家园</v>
      </c>
      <c r="J5" s="3406"/>
      <c r="K5" s="99"/>
      <c r="L5" s="2164"/>
      <c r="M5" s="2165"/>
      <c r="N5" s="2165"/>
      <c r="O5" s="2165"/>
      <c r="P5" s="3392"/>
      <c r="Q5" s="3393"/>
      <c r="R5" s="3398"/>
      <c r="S5" s="3399"/>
      <c r="T5" s="3398"/>
      <c r="U5" s="3399"/>
      <c r="V5" s="3402"/>
      <c r="W5" s="3402"/>
      <c r="X5" s="1133"/>
      <c r="Y5" s="3398"/>
      <c r="Z5" s="3399"/>
      <c r="AA5" s="3384"/>
      <c r="AB5" s="3384"/>
      <c r="AC5" s="3384"/>
    </row>
    <row r="6" spans="1:29" ht="14.25" thickBot="1">
      <c r="A6" s="95"/>
      <c r="B6" s="96"/>
      <c r="C6" s="3407" t="str">
        <f>项目基本情况!C6</f>
        <v>朝阳区甘露园南里15号院4门422</v>
      </c>
      <c r="D6" s="3408"/>
      <c r="E6" s="3409" t="s">
        <v>3002</v>
      </c>
      <c r="F6" s="3410"/>
      <c r="G6" s="3407" t="s">
        <v>2977</v>
      </c>
      <c r="H6" s="3408"/>
      <c r="I6" s="3407" t="s">
        <v>2974</v>
      </c>
      <c r="J6" s="3408"/>
      <c r="K6" s="99" t="s">
        <v>905</v>
      </c>
      <c r="L6" s="2164"/>
      <c r="M6" s="2165"/>
      <c r="N6" s="2165"/>
      <c r="O6" s="2165"/>
      <c r="P6" s="3394"/>
      <c r="Q6" s="3395"/>
      <c r="R6" s="3398"/>
      <c r="S6" s="3399"/>
      <c r="T6" s="3400"/>
      <c r="U6" s="3401"/>
      <c r="V6" s="3402"/>
      <c r="W6" s="3402"/>
      <c r="X6" s="1133"/>
      <c r="Y6" s="3400"/>
      <c r="Z6" s="3401"/>
      <c r="AA6" s="3385"/>
      <c r="AB6" s="3385"/>
      <c r="AC6" s="3385"/>
    </row>
    <row r="7" spans="1:29" s="11" customFormat="1" ht="15" thickBot="1">
      <c r="A7" s="872" t="s">
        <v>906</v>
      </c>
      <c r="B7" s="873"/>
      <c r="C7" s="874">
        <f>'数据-取费表'!B2</f>
        <v>42934</v>
      </c>
      <c r="D7" s="608">
        <v>100</v>
      </c>
      <c r="E7" s="875">
        <v>42839</v>
      </c>
      <c r="F7" s="610">
        <f>SUMIF(58:58,YEAR(E7)&amp;"-"&amp;MONTH(E7),59:59)</f>
        <v>100.5</v>
      </c>
      <c r="G7" s="875">
        <v>42927</v>
      </c>
      <c r="H7" s="608">
        <f>SUMIF(58:58,YEAR(G7)&amp;"-"&amp;MONTH(G7),59:59)</f>
        <v>100</v>
      </c>
      <c r="I7" s="875">
        <v>42803</v>
      </c>
      <c r="J7" s="608">
        <f>SUMIF(58:58,YEAR(I7)&amp;"-"&amp;MONTH(I7),59:59)</f>
        <v>101</v>
      </c>
      <c r="K7" s="1134"/>
      <c r="L7" s="2166"/>
      <c r="M7" s="2108"/>
      <c r="N7" s="2108"/>
      <c r="O7" s="2108"/>
      <c r="P7" s="3418" t="s">
        <v>906</v>
      </c>
      <c r="Q7" s="3420"/>
      <c r="R7" s="1135" t="s">
        <v>117</v>
      </c>
      <c r="S7" s="1136">
        <f t="shared" ref="S7:S15" si="0">F7</f>
        <v>100.5</v>
      </c>
      <c r="T7" s="1135" t="s">
        <v>117</v>
      </c>
      <c r="U7" s="1136">
        <f t="shared" ref="U7:U15" si="1">H7</f>
        <v>100</v>
      </c>
      <c r="V7" s="1135" t="s">
        <v>117</v>
      </c>
      <c r="W7" s="1136">
        <f t="shared" ref="W7:W15" si="2">J7</f>
        <v>101</v>
      </c>
      <c r="X7" s="184"/>
      <c r="Y7" s="3418" t="s">
        <v>906</v>
      </c>
      <c r="Z7" s="3419"/>
      <c r="AA7" s="1137">
        <f>D7/F7</f>
        <v>0.99502487562189057</v>
      </c>
      <c r="AB7" s="1137">
        <f>D7/H7</f>
        <v>1</v>
      </c>
      <c r="AC7" s="1137">
        <f>D7/J7</f>
        <v>0.99009900990099009</v>
      </c>
    </row>
    <row r="8" spans="1:29" s="11" customFormat="1" ht="15" thickBot="1">
      <c r="A8" s="872" t="s">
        <v>907</v>
      </c>
      <c r="B8" s="873"/>
      <c r="C8" s="878" t="s">
        <v>908</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18" t="s">
        <v>907</v>
      </c>
      <c r="Q8" s="3419"/>
      <c r="R8" s="1135" t="s">
        <v>117</v>
      </c>
      <c r="S8" s="1136">
        <f t="shared" si="0"/>
        <v>100</v>
      </c>
      <c r="T8" s="1135" t="s">
        <v>117</v>
      </c>
      <c r="U8" s="1136">
        <f t="shared" si="1"/>
        <v>100</v>
      </c>
      <c r="V8" s="1135" t="s">
        <v>117</v>
      </c>
      <c r="W8" s="1136">
        <f t="shared" si="2"/>
        <v>100</v>
      </c>
      <c r="X8" s="184"/>
      <c r="Y8" s="3418" t="s">
        <v>907</v>
      </c>
      <c r="Z8" s="3419"/>
      <c r="AA8" s="1137">
        <f t="shared" ref="AA8:AA46" si="3">D8/F8</f>
        <v>1</v>
      </c>
      <c r="AB8" s="1137">
        <f t="shared" ref="AB8:AB46" si="4">D8/H8</f>
        <v>1</v>
      </c>
      <c r="AC8" s="1137">
        <f t="shared" ref="AC8:AC46" si="5">D8/J8</f>
        <v>1</v>
      </c>
    </row>
    <row r="9" spans="1:29" s="11" customFormat="1" ht="14.25">
      <c r="A9" s="879" t="s">
        <v>909</v>
      </c>
      <c r="B9" s="20" t="s">
        <v>910</v>
      </c>
      <c r="C9" s="1139" t="s">
        <v>2941</v>
      </c>
      <c r="D9" s="234">
        <v>100</v>
      </c>
      <c r="E9" s="1140" t="s">
        <v>25</v>
      </c>
      <c r="F9" s="616">
        <f>SUMIF(63:63,E9,64:64)-SUMIF(63:63,C9,64:64)+100</f>
        <v>100</v>
      </c>
      <c r="G9" s="1141" t="s">
        <v>25</v>
      </c>
      <c r="H9" s="234">
        <f>SUMIF(63:63,G9,64:64)-SUMIF(63:63,C9,64:64)+100</f>
        <v>100</v>
      </c>
      <c r="I9" s="1141" t="s">
        <v>25</v>
      </c>
      <c r="J9" s="234">
        <f>SUMIF(63:63,I9,64:64)-SUMIF(63:63,C9,64:64)+100</f>
        <v>100</v>
      </c>
      <c r="K9" s="1134"/>
      <c r="L9" s="2166"/>
      <c r="M9" s="2108"/>
      <c r="N9" s="2108"/>
      <c r="O9" s="2108"/>
      <c r="P9" s="3421" t="s">
        <v>63</v>
      </c>
      <c r="Q9" s="2" t="str">
        <f t="shared" ref="Q9:Q15" si="6">B9</f>
        <v>用途</v>
      </c>
      <c r="R9" s="1135" t="s">
        <v>61</v>
      </c>
      <c r="S9" s="1136">
        <f t="shared" si="0"/>
        <v>100</v>
      </c>
      <c r="T9" s="1135" t="s">
        <v>61</v>
      </c>
      <c r="U9" s="1136">
        <f t="shared" si="1"/>
        <v>100</v>
      </c>
      <c r="V9" s="1135" t="s">
        <v>61</v>
      </c>
      <c r="W9" s="1136">
        <f t="shared" si="2"/>
        <v>100</v>
      </c>
      <c r="X9" s="184"/>
      <c r="Y9" s="3254" t="s">
        <v>63</v>
      </c>
      <c r="Z9" s="185" t="str">
        <f t="shared" ref="Z9:Z15" si="7">Q9</f>
        <v>用途</v>
      </c>
      <c r="AA9" s="1137">
        <f t="shared" si="3"/>
        <v>1</v>
      </c>
      <c r="AB9" s="1137">
        <f t="shared" si="4"/>
        <v>1</v>
      </c>
      <c r="AC9" s="1137">
        <f t="shared" si="5"/>
        <v>1</v>
      </c>
    </row>
    <row r="10" spans="1:29" s="39" customFormat="1" ht="27.75" thickBot="1">
      <c r="A10" s="97"/>
      <c r="B10" s="4" t="s">
        <v>104</v>
      </c>
      <c r="C10" s="1142" t="s">
        <v>3005</v>
      </c>
      <c r="D10" s="235">
        <v>100</v>
      </c>
      <c r="E10" s="1143" t="s">
        <v>3006</v>
      </c>
      <c r="F10" s="623">
        <f>SUMIF(65:65,E10,66:66)-SUMIF(65:65,C10,66:66)+100</f>
        <v>98</v>
      </c>
      <c r="G10" s="1142" t="s">
        <v>3005</v>
      </c>
      <c r="H10" s="235">
        <f>SUMIF(65:65,G10,66:66)-SUMIF(65:65,C10,66:66)+100</f>
        <v>100</v>
      </c>
      <c r="I10" s="1142" t="s">
        <v>3006</v>
      </c>
      <c r="J10" s="235">
        <f>SUMIF(65:65,I10,66:66)-SUMIF(65:65,C10,66:66)+100</f>
        <v>98</v>
      </c>
      <c r="K10" s="624">
        <v>1</v>
      </c>
      <c r="L10" s="2167"/>
      <c r="M10" s="2168"/>
      <c r="N10" s="2168"/>
      <c r="O10" s="2168"/>
      <c r="P10" s="3421"/>
      <c r="Q10" s="2" t="str">
        <f t="shared" si="6"/>
        <v>土地使用年限（年）</v>
      </c>
      <c r="R10" s="1135" t="s">
        <v>61</v>
      </c>
      <c r="S10" s="1136">
        <f t="shared" si="0"/>
        <v>98</v>
      </c>
      <c r="T10" s="1135" t="s">
        <v>61</v>
      </c>
      <c r="U10" s="1136">
        <f t="shared" si="1"/>
        <v>100</v>
      </c>
      <c r="V10" s="1135" t="s">
        <v>61</v>
      </c>
      <c r="W10" s="1136">
        <f t="shared" si="2"/>
        <v>98</v>
      </c>
      <c r="X10" s="184"/>
      <c r="Y10" s="3254"/>
      <c r="Z10" s="185" t="str">
        <f t="shared" si="7"/>
        <v>土地使用年限（年）</v>
      </c>
      <c r="AA10" s="1137">
        <f t="shared" si="3"/>
        <v>1.0204081632653061</v>
      </c>
      <c r="AB10" s="1137">
        <f t="shared" si="4"/>
        <v>1</v>
      </c>
      <c r="AC10" s="1137">
        <f t="shared" si="5"/>
        <v>1.0204081632653061</v>
      </c>
    </row>
    <row r="11" spans="1:29" ht="15.75" hidden="1" thickBot="1">
      <c r="A11" s="98"/>
      <c r="B11" s="4" t="s">
        <v>88</v>
      </c>
      <c r="C11" s="627">
        <v>2.5</v>
      </c>
      <c r="D11" s="235">
        <v>100</v>
      </c>
      <c r="E11" s="628">
        <v>2.5</v>
      </c>
      <c r="F11" s="623">
        <f>LOOKUP(E11,68:68,69:69)-LOOKUP(C11,68:68,69:69)+100</f>
        <v>100</v>
      </c>
      <c r="G11" s="627">
        <v>2.5</v>
      </c>
      <c r="H11" s="235">
        <f>LOOKUP(G11,68:68,69:69)-LOOKUP(C11,68:68,69:69)+100</f>
        <v>100</v>
      </c>
      <c r="I11" s="627">
        <v>2.5</v>
      </c>
      <c r="J11" s="235">
        <f>LOOKUP(I11,68:68,69:69)-LOOKUP(C11,68:68,69:69)+100</f>
        <v>100</v>
      </c>
      <c r="K11" s="624"/>
      <c r="L11" s="2169"/>
      <c r="M11" s="2165"/>
      <c r="N11" s="2165"/>
      <c r="O11" s="2165"/>
      <c r="P11" s="3421"/>
      <c r="Q11" s="2" t="str">
        <f t="shared" si="6"/>
        <v>容积率</v>
      </c>
      <c r="R11" s="1135" t="s">
        <v>99</v>
      </c>
      <c r="S11" s="1136">
        <f t="shared" si="0"/>
        <v>100</v>
      </c>
      <c r="T11" s="1135" t="s">
        <v>99</v>
      </c>
      <c r="U11" s="1136">
        <f t="shared" si="1"/>
        <v>100</v>
      </c>
      <c r="V11" s="1135" t="s">
        <v>99</v>
      </c>
      <c r="W11" s="1136">
        <f t="shared" si="2"/>
        <v>100</v>
      </c>
      <c r="X11" s="184"/>
      <c r="Y11" s="3254"/>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21"/>
      <c r="Q12" s="2">
        <f t="shared" si="6"/>
        <v>111</v>
      </c>
      <c r="R12" s="1135" t="s">
        <v>99</v>
      </c>
      <c r="S12" s="1136">
        <f t="shared" si="0"/>
        <v>100</v>
      </c>
      <c r="T12" s="1135" t="s">
        <v>99</v>
      </c>
      <c r="U12" s="1136">
        <f t="shared" si="1"/>
        <v>100</v>
      </c>
      <c r="V12" s="1135" t="s">
        <v>99</v>
      </c>
      <c r="W12" s="1136">
        <f t="shared" si="2"/>
        <v>100</v>
      </c>
      <c r="X12" s="184"/>
      <c r="Y12" s="3254"/>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21"/>
      <c r="Q13" s="2">
        <f t="shared" si="6"/>
        <v>111</v>
      </c>
      <c r="R13" s="1135" t="s">
        <v>99</v>
      </c>
      <c r="S13" s="1136">
        <f t="shared" si="0"/>
        <v>100</v>
      </c>
      <c r="T13" s="1135" t="s">
        <v>99</v>
      </c>
      <c r="U13" s="1136">
        <f t="shared" si="1"/>
        <v>100</v>
      </c>
      <c r="V13" s="1135" t="s">
        <v>99</v>
      </c>
      <c r="W13" s="1136">
        <f t="shared" si="2"/>
        <v>100</v>
      </c>
      <c r="X13" s="184"/>
      <c r="Y13" s="3254"/>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21"/>
      <c r="Q14" s="2">
        <f t="shared" si="6"/>
        <v>111</v>
      </c>
      <c r="R14" s="1135" t="s">
        <v>99</v>
      </c>
      <c r="S14" s="1136">
        <f t="shared" si="0"/>
        <v>100</v>
      </c>
      <c r="T14" s="1135" t="s">
        <v>99</v>
      </c>
      <c r="U14" s="1136">
        <f t="shared" si="1"/>
        <v>100</v>
      </c>
      <c r="V14" s="1135" t="s">
        <v>99</v>
      </c>
      <c r="W14" s="1136">
        <f t="shared" si="2"/>
        <v>100</v>
      </c>
      <c r="X14" s="184"/>
      <c r="Y14" s="3254"/>
      <c r="Z14" s="185">
        <f t="shared" si="7"/>
        <v>111</v>
      </c>
      <c r="AA14" s="1137">
        <f t="shared" si="3"/>
        <v>1</v>
      </c>
      <c r="AB14" s="1137">
        <f t="shared" si="4"/>
        <v>1</v>
      </c>
      <c r="AC14" s="1137">
        <f t="shared" si="5"/>
        <v>1</v>
      </c>
    </row>
    <row r="15" spans="1:29" ht="120" customHeight="1">
      <c r="A15" s="105" t="s">
        <v>65</v>
      </c>
      <c r="B15" s="19" t="s">
        <v>37</v>
      </c>
      <c r="C15" s="107" t="str">
        <f>估价对象房地状况!C3</f>
        <v>估价对象周边有朝阳园、丽景馨居、青年汇佳园、爱这城等居住小区，社区发展完善程度较好，综合评价居住社区成熟度较好</v>
      </c>
      <c r="D15" s="638">
        <v>100</v>
      </c>
      <c r="E15" s="42" t="str">
        <f>C15</f>
        <v>估价对象周边有朝阳园、丽景馨居、青年汇佳园、爱这城等居住小区，社区发展完善程度较好，综合评价居住社区成熟度较好</v>
      </c>
      <c r="F15" s="640">
        <f>SUMIF(76:76,E16,77:77)-SUMIF(76:76,C16,77:77)+100</f>
        <v>100</v>
      </c>
      <c r="G15" s="43" t="str">
        <f>C15</f>
        <v>估价对象周边有朝阳园、丽景馨居、青年汇佳园、爱这城等居住小区，社区发展完善程度较好，综合评价居住社区成熟度较好</v>
      </c>
      <c r="H15" s="638">
        <f>SUMIF(76:76,G16,77:77)-SUMIF(76:76,C16,77:77)+100</f>
        <v>100</v>
      </c>
      <c r="I15" s="42" t="str">
        <f>C15</f>
        <v>估价对象周边有朝阳园、丽景馨居、青年汇佳园、爱这城等居住小区，社区发展完善程度较好，综合评价居住社区成熟度较好</v>
      </c>
      <c r="J15" s="638">
        <f>SUMIF(76:76,I16,77:77)-SUMIF(76:76,C16,77:77)+100</f>
        <v>100</v>
      </c>
      <c r="K15" s="642"/>
      <c r="L15" s="2170"/>
      <c r="M15" s="2165"/>
      <c r="N15" s="2165"/>
      <c r="O15" s="2165"/>
      <c r="P15" s="3424" t="s">
        <v>65</v>
      </c>
      <c r="Q15" s="1145" t="str">
        <f t="shared" si="6"/>
        <v>居住社区成熟度</v>
      </c>
      <c r="R15" s="1146" t="s">
        <v>99</v>
      </c>
      <c r="S15" s="1147">
        <f t="shared" si="0"/>
        <v>100</v>
      </c>
      <c r="T15" s="1146" t="s">
        <v>99</v>
      </c>
      <c r="U15" s="1147">
        <f t="shared" si="1"/>
        <v>100</v>
      </c>
      <c r="V15" s="1146" t="s">
        <v>99</v>
      </c>
      <c r="W15" s="1147">
        <f t="shared" si="2"/>
        <v>100</v>
      </c>
      <c r="X15" s="1133"/>
      <c r="Y15" s="3411"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25"/>
      <c r="Q16" s="1145"/>
      <c r="R16" s="1146"/>
      <c r="S16" s="1147"/>
      <c r="T16" s="1146"/>
      <c r="U16" s="1147"/>
      <c r="V16" s="1146"/>
      <c r="W16" s="1147"/>
      <c r="X16" s="1133"/>
      <c r="Y16" s="3412"/>
      <c r="Z16" s="1148"/>
      <c r="AA16" s="1149">
        <v>1</v>
      </c>
      <c r="AB16" s="1149">
        <v>1</v>
      </c>
      <c r="AC16" s="1149">
        <v>1</v>
      </c>
    </row>
    <row r="17" spans="1:29" ht="141.75" customHeight="1">
      <c r="A17" s="98"/>
      <c r="B17" s="1150" t="s">
        <v>67</v>
      </c>
      <c r="C17" s="108" t="str">
        <f>估价对象房地状况!C6</f>
        <v>以估价对象为圆心，半径1公里内有75、95、112、115、411路等10余条公共线路及地铁6号线（青年路站）、八通线（四惠东站）、小区内有地下车库，综合评价交通便捷度较好</v>
      </c>
      <c r="D17" s="648">
        <v>100</v>
      </c>
      <c r="E17" s="3129" t="str">
        <f>C17</f>
        <v>以估价对象为圆心，半径1公里内有75、95、112、115、411路等10余条公共线路及地铁6号线（青年路站）、八通线（四惠东站）、小区内有地下车库，综合评价交通便捷度较好</v>
      </c>
      <c r="F17" s="651">
        <f>SUMIF(78:78,E18,79:79)-SUMIF(78:78,C18,79:79)+100</f>
        <v>100</v>
      </c>
      <c r="G17" s="3130" t="str">
        <f>C17</f>
        <v>以估价对象为圆心，半径1公里内有75、95、112、115、411路等10余条公共线路及地铁6号线（青年路站）、八通线（四惠东站）、小区内有地下车库，综合评价交通便捷度较好</v>
      </c>
      <c r="H17" s="653">
        <f>SUMIF(78:78,G18,79:79)-SUMIF(78:78,C18,79:79)+100</f>
        <v>100</v>
      </c>
      <c r="I17" s="3129" t="str">
        <f>C17</f>
        <v>以估价对象为圆心，半径1公里内有75、95、112、115、411路等10余条公共线路及地铁6号线（青年路站）、八通线（四惠东站）、小区内有地下车库，综合评价交通便捷度较好</v>
      </c>
      <c r="J17" s="653">
        <f>SUMIF(78:78,I18,79:79)-SUMIF(78:78,C18,79:79)+100</f>
        <v>100</v>
      </c>
      <c r="K17" s="642"/>
      <c r="L17" s="2170"/>
      <c r="M17" s="2165"/>
      <c r="N17" s="2165"/>
      <c r="O17" s="2165"/>
      <c r="P17" s="3425"/>
      <c r="Q17" s="1145" t="str">
        <f>B17</f>
        <v>交通便捷度</v>
      </c>
      <c r="R17" s="1146" t="s">
        <v>99</v>
      </c>
      <c r="S17" s="1147">
        <f>F17</f>
        <v>100</v>
      </c>
      <c r="T17" s="1146" t="s">
        <v>99</v>
      </c>
      <c r="U17" s="1147">
        <f>H17</f>
        <v>100</v>
      </c>
      <c r="V17" s="1146" t="s">
        <v>99</v>
      </c>
      <c r="W17" s="1147">
        <f>J17</f>
        <v>100</v>
      </c>
      <c r="X17" s="1133"/>
      <c r="Y17" s="3412"/>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25"/>
      <c r="Q18" s="1145"/>
      <c r="R18" s="1146"/>
      <c r="S18" s="1147"/>
      <c r="T18" s="1146"/>
      <c r="U18" s="1147"/>
      <c r="V18" s="1146"/>
      <c r="W18" s="1147"/>
      <c r="X18" s="1133"/>
      <c r="Y18" s="3412"/>
      <c r="Z18" s="1148"/>
      <c r="AA18" s="1149">
        <v>1</v>
      </c>
      <c r="AB18" s="1149">
        <v>1</v>
      </c>
      <c r="AC18" s="1149">
        <v>1</v>
      </c>
    </row>
    <row r="19" spans="1:29" ht="40.5">
      <c r="A19" s="98"/>
      <c r="B19" s="1150" t="s">
        <v>2537</v>
      </c>
      <c r="C19" s="108" t="str">
        <f>估价对象房地状况!C7</f>
        <v>较好——有餐饮、医院、超市、学校等</v>
      </c>
      <c r="D19" s="653">
        <v>100</v>
      </c>
      <c r="E19" s="3131" t="str">
        <f>C19</f>
        <v>较好——有餐饮、医院、超市、学校等</v>
      </c>
      <c r="F19" s="657">
        <f>SUMIF(80:80,E20,81:81)-SUMIF(80:80,C20,81:81)+100</f>
        <v>100</v>
      </c>
      <c r="G19" s="3132" t="str">
        <f>C19</f>
        <v>较好——有餐饮、医院、超市、学校等</v>
      </c>
      <c r="H19" s="648">
        <f>SUMIF(80:80,G20,81:81)-SUMIF(80:80,C20,81:81)+100</f>
        <v>100</v>
      </c>
      <c r="I19" s="3131" t="str">
        <f>C19</f>
        <v>较好——有餐饮、医院、超市、学校等</v>
      </c>
      <c r="J19" s="648">
        <f>SUMIF(80:80,I20,81:81)-SUMIF(80:80,C20,81:81)+100</f>
        <v>100</v>
      </c>
      <c r="K19" s="642"/>
      <c r="L19" s="2170"/>
      <c r="M19" s="2165"/>
      <c r="N19" s="2165"/>
      <c r="O19" s="2165"/>
      <c r="P19" s="3425"/>
      <c r="Q19" s="1145" t="str">
        <f>B19</f>
        <v>公共配套设施</v>
      </c>
      <c r="R19" s="1146" t="s">
        <v>99</v>
      </c>
      <c r="S19" s="1147">
        <f>F19</f>
        <v>100</v>
      </c>
      <c r="T19" s="1146" t="s">
        <v>99</v>
      </c>
      <c r="U19" s="1147">
        <f>H19</f>
        <v>100</v>
      </c>
      <c r="V19" s="1146" t="s">
        <v>99</v>
      </c>
      <c r="W19" s="1147">
        <f>J19</f>
        <v>100</v>
      </c>
      <c r="X19" s="1133"/>
      <c r="Y19" s="3412"/>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25"/>
      <c r="Q20" s="1145"/>
      <c r="R20" s="1146"/>
      <c r="S20" s="1147"/>
      <c r="T20" s="1146"/>
      <c r="U20" s="1147"/>
      <c r="V20" s="1146"/>
      <c r="W20" s="1147"/>
      <c r="X20" s="1133"/>
      <c r="Y20" s="3412"/>
      <c r="Z20" s="1148"/>
      <c r="AA20" s="1149">
        <v>1</v>
      </c>
      <c r="AB20" s="1149">
        <v>1</v>
      </c>
      <c r="AC20" s="1149">
        <v>1</v>
      </c>
    </row>
    <row r="21" spans="1:29" ht="15">
      <c r="A21" s="98"/>
      <c r="B21" s="1205" t="s">
        <v>2538</v>
      </c>
      <c r="C21" s="108" t="str">
        <f>估价对象房地状况!C8</f>
        <v>七通</v>
      </c>
      <c r="D21" s="653">
        <v>100</v>
      </c>
      <c r="E21" s="3131" t="str">
        <f>C21</f>
        <v>七通</v>
      </c>
      <c r="F21" s="657">
        <f>SUMIF(82:82,E22,83:83)-SUMIF(82:82,C22,83:83)+100</f>
        <v>100</v>
      </c>
      <c r="G21" s="3132" t="str">
        <f>C21</f>
        <v>七通</v>
      </c>
      <c r="H21" s="648">
        <f>SUMIF(82:82,G22,83:83)-SUMIF(82:82,C22,83:83)+100</f>
        <v>100</v>
      </c>
      <c r="I21" s="3131" t="str">
        <f>C21</f>
        <v>七通</v>
      </c>
      <c r="J21" s="648">
        <f>SUMIF(82:82,I22,83:83)-SUMIF(82:82,C22,83:83)+100</f>
        <v>100</v>
      </c>
      <c r="K21" s="642"/>
      <c r="L21" s="2170"/>
      <c r="M21" s="2165"/>
      <c r="N21" s="2165"/>
      <c r="O21" s="2165"/>
      <c r="P21" s="3425"/>
      <c r="Q21" s="2550" t="str">
        <f>B21</f>
        <v>基础设施水平</v>
      </c>
      <c r="R21" s="1146" t="s">
        <v>99</v>
      </c>
      <c r="S21" s="1147">
        <f>F21</f>
        <v>100</v>
      </c>
      <c r="T21" s="1146" t="s">
        <v>99</v>
      </c>
      <c r="U21" s="1147">
        <f>H21</f>
        <v>100</v>
      </c>
      <c r="V21" s="1146" t="s">
        <v>99</v>
      </c>
      <c r="W21" s="1147">
        <f>J21</f>
        <v>100</v>
      </c>
      <c r="X21" s="2548"/>
      <c r="Y21" s="3412"/>
      <c r="Z21" s="2549" t="str">
        <f>Q21</f>
        <v>基础设施水平</v>
      </c>
      <c r="AA21" s="1149">
        <f t="shared" ref="AA21" si="8">D21/F21</f>
        <v>1</v>
      </c>
      <c r="AB21" s="1149">
        <f t="shared" ref="AB21" si="9">D21/H21</f>
        <v>1</v>
      </c>
      <c r="AC21" s="1149">
        <f t="shared" ref="AC21" si="10">D21/J21</f>
        <v>1</v>
      </c>
    </row>
    <row r="22" spans="1:29" ht="14.25">
      <c r="A22" s="98"/>
      <c r="B22" s="1205"/>
      <c r="C22" s="49" t="s">
        <v>2943</v>
      </c>
      <c r="D22" s="645"/>
      <c r="E22" s="44" t="s">
        <v>2943</v>
      </c>
      <c r="F22" s="647"/>
      <c r="G22" s="44" t="s">
        <v>2943</v>
      </c>
      <c r="H22" s="645"/>
      <c r="I22" s="44" t="s">
        <v>2943</v>
      </c>
      <c r="J22" s="645"/>
      <c r="K22" s="2559"/>
      <c r="L22" s="2170"/>
      <c r="M22" s="2165"/>
      <c r="N22" s="2165"/>
      <c r="O22" s="2165"/>
      <c r="P22" s="3425"/>
      <c r="Q22" s="2550"/>
      <c r="R22" s="1146"/>
      <c r="S22" s="1147"/>
      <c r="T22" s="1146"/>
      <c r="U22" s="1147"/>
      <c r="V22" s="1146"/>
      <c r="W22" s="1147"/>
      <c r="X22" s="2548"/>
      <c r="Y22" s="3412"/>
      <c r="Z22" s="2549"/>
      <c r="AA22" s="1149">
        <v>1</v>
      </c>
      <c r="AB22" s="1149">
        <v>1</v>
      </c>
      <c r="AC22" s="1149">
        <v>1</v>
      </c>
    </row>
    <row r="23" spans="1:29" ht="96" customHeight="1">
      <c r="A23" s="98"/>
      <c r="B23" s="1150" t="s">
        <v>68</v>
      </c>
      <c r="C23" s="108" t="str">
        <f>估价对象房地状况!C9</f>
        <v>区域自然环境：兴隆公园、通惠河；人文环境：中国紫檀博物馆；综合评价环境状况较好</v>
      </c>
      <c r="D23" s="648">
        <v>100</v>
      </c>
      <c r="E23" s="3129" t="str">
        <f>C23</f>
        <v>区域自然环境：兴隆公园、通惠河；人文环境：中国紫檀博物馆；综合评价环境状况较好</v>
      </c>
      <c r="F23" s="651">
        <f>SUMIF(84:84,E24,85:85)-SUMIF(84:84,C24,85:85)+100</f>
        <v>100</v>
      </c>
      <c r="G23" s="3130" t="str">
        <f>C23</f>
        <v>区域自然环境：兴隆公园、通惠河；人文环境：中国紫檀博物馆；综合评价环境状况较好</v>
      </c>
      <c r="H23" s="648">
        <f>SUMIF(84:84,G24,85:85)-SUMIF(84:84,C24,85:85)+100</f>
        <v>100</v>
      </c>
      <c r="I23" s="3129" t="str">
        <f>C23</f>
        <v>区域自然环境：兴隆公园、通惠河；人文环境：中国紫檀博物馆；综合评价环境状况较好</v>
      </c>
      <c r="J23" s="648">
        <f>SUMIF(84:84,I24,85:85)-SUMIF(84:84,C24,85:85)+100</f>
        <v>100</v>
      </c>
      <c r="K23" s="642"/>
      <c r="L23" s="2170"/>
      <c r="M23" s="2165"/>
      <c r="N23" s="2165"/>
      <c r="O23" s="2165"/>
      <c r="P23" s="3425"/>
      <c r="Q23" s="1145" t="str">
        <f>B23</f>
        <v>自然及人文环境</v>
      </c>
      <c r="R23" s="1146" t="s">
        <v>99</v>
      </c>
      <c r="S23" s="1147">
        <f>F23</f>
        <v>100</v>
      </c>
      <c r="T23" s="1146" t="s">
        <v>99</v>
      </c>
      <c r="U23" s="1147">
        <f>H23</f>
        <v>100</v>
      </c>
      <c r="V23" s="1146" t="s">
        <v>99</v>
      </c>
      <c r="W23" s="1147">
        <f>J23</f>
        <v>100</v>
      </c>
      <c r="X23" s="1133"/>
      <c r="Y23" s="3412"/>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25"/>
      <c r="Q24" s="1145"/>
      <c r="R24" s="1146"/>
      <c r="S24" s="1147"/>
      <c r="T24" s="1146"/>
      <c r="U24" s="1147"/>
      <c r="V24" s="1146"/>
      <c r="W24" s="1147"/>
      <c r="X24" s="1133"/>
      <c r="Y24" s="3412"/>
      <c r="Z24" s="1148"/>
      <c r="AA24" s="1149">
        <v>1</v>
      </c>
      <c r="AB24" s="1149">
        <v>1</v>
      </c>
      <c r="AC24" s="1149">
        <v>1</v>
      </c>
    </row>
    <row r="25" spans="1:29" ht="15" hidden="1">
      <c r="A25" s="98"/>
      <c r="B25" s="4" t="s">
        <v>2194</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25"/>
      <c r="Q25" s="1145" t="str">
        <f t="shared" ref="Q25:Q46" si="11">B25</f>
        <v>楼层-1</v>
      </c>
      <c r="R25" s="1146" t="s">
        <v>99</v>
      </c>
      <c r="S25" s="1147">
        <f>F25</f>
        <v>100</v>
      </c>
      <c r="T25" s="1146" t="s">
        <v>99</v>
      </c>
      <c r="U25" s="1147">
        <f>H25</f>
        <v>100</v>
      </c>
      <c r="V25" s="1146" t="s">
        <v>99</v>
      </c>
      <c r="W25" s="1147">
        <f>J25</f>
        <v>100</v>
      </c>
      <c r="X25" s="1133"/>
      <c r="Y25" s="3412"/>
      <c r="Z25" s="1148" t="str">
        <f>Q25</f>
        <v>楼层-1</v>
      </c>
      <c r="AA25" s="1149">
        <f t="shared" si="3"/>
        <v>1</v>
      </c>
      <c r="AB25" s="1149">
        <f t="shared" si="4"/>
        <v>1</v>
      </c>
      <c r="AC25" s="1149">
        <f t="shared" si="5"/>
        <v>1</v>
      </c>
    </row>
    <row r="26" spans="1:29" ht="15">
      <c r="A26" s="98"/>
      <c r="B26" s="4" t="s">
        <v>69</v>
      </c>
      <c r="C26" s="54" t="s">
        <v>2984</v>
      </c>
      <c r="D26" s="633">
        <v>100</v>
      </c>
      <c r="E26" s="55" t="s">
        <v>2984</v>
      </c>
      <c r="F26" s="660">
        <f>SUMIF(88:88,E26,89:89)-SUMIF(88:88,C26,89:89)+100</f>
        <v>100</v>
      </c>
      <c r="G26" s="56" t="s">
        <v>2984</v>
      </c>
      <c r="H26" s="633">
        <f>SUMIF(88:88,G26,89:89)-SUMIF(88:88,C26,89:89)+100</f>
        <v>100</v>
      </c>
      <c r="I26" s="55" t="s">
        <v>2984</v>
      </c>
      <c r="J26" s="633">
        <f>SUMIF(88:88,I26,89:89)-SUMIF(88:88,C26,89:89)+100</f>
        <v>100</v>
      </c>
      <c r="K26" s="624">
        <v>0.5</v>
      </c>
      <c r="L26" s="2170"/>
      <c r="M26" s="2165"/>
      <c r="N26" s="2165"/>
      <c r="O26" s="2165"/>
      <c r="P26" s="3425"/>
      <c r="Q26" s="1145" t="str">
        <f t="shared" si="11"/>
        <v>朝向</v>
      </c>
      <c r="R26" s="1146" t="s">
        <v>99</v>
      </c>
      <c r="S26" s="1147">
        <f>F26</f>
        <v>100</v>
      </c>
      <c r="T26" s="1146" t="s">
        <v>99</v>
      </c>
      <c r="U26" s="1147">
        <f>H26</f>
        <v>100</v>
      </c>
      <c r="V26" s="1146" t="s">
        <v>99</v>
      </c>
      <c r="W26" s="1147">
        <f>J26</f>
        <v>100</v>
      </c>
      <c r="X26" s="1133"/>
      <c r="Y26" s="3412"/>
      <c r="Z26" s="1148" t="str">
        <f>Q26</f>
        <v>朝向</v>
      </c>
      <c r="AA26" s="1149">
        <f t="shared" si="3"/>
        <v>1</v>
      </c>
      <c r="AB26" s="1149">
        <f t="shared" si="4"/>
        <v>1</v>
      </c>
      <c r="AC26" s="1149">
        <f t="shared" si="5"/>
        <v>1</v>
      </c>
    </row>
    <row r="27" spans="1:29" s="11" customFormat="1" ht="14.25">
      <c r="A27" s="888"/>
      <c r="B27" s="889" t="s">
        <v>911</v>
      </c>
      <c r="C27" s="882" t="s">
        <v>2986</v>
      </c>
      <c r="D27" s="661">
        <v>100</v>
      </c>
      <c r="E27" s="882" t="s">
        <v>2986</v>
      </c>
      <c r="F27" s="663">
        <f>SUMIF(90:90,E27,91:91)-SUMIF(90:90,C27,91:91)+100</f>
        <v>100</v>
      </c>
      <c r="G27" s="882" t="s">
        <v>2986</v>
      </c>
      <c r="H27" s="661">
        <f>SUMIF(90:90,G27,91:91)-SUMIF(90:90,C27,91:91)+100</f>
        <v>100</v>
      </c>
      <c r="I27" s="882" t="s">
        <v>2986</v>
      </c>
      <c r="J27" s="661">
        <f>SUMIF(90:90,I27,91:91)-SUMIF(90:90,C27,91:91)+100</f>
        <v>100</v>
      </c>
      <c r="K27" s="100"/>
      <c r="L27" s="2166"/>
      <c r="M27" s="2108"/>
      <c r="N27" s="2108"/>
      <c r="O27" s="2108"/>
      <c r="P27" s="3425"/>
      <c r="Q27" s="2" t="str">
        <f t="shared" si="11"/>
        <v>道路级别</v>
      </c>
      <c r="R27" s="1135" t="s">
        <v>99</v>
      </c>
      <c r="S27" s="1136">
        <f>F27</f>
        <v>100</v>
      </c>
      <c r="T27" s="1135" t="s">
        <v>99</v>
      </c>
      <c r="U27" s="1136">
        <f>H27</f>
        <v>100</v>
      </c>
      <c r="V27" s="1135" t="s">
        <v>99</v>
      </c>
      <c r="W27" s="1136">
        <f>J27</f>
        <v>100</v>
      </c>
      <c r="X27" s="184"/>
      <c r="Y27" s="3412"/>
      <c r="Z27" s="185" t="str">
        <f>Q27</f>
        <v>道路级别</v>
      </c>
      <c r="AA27" s="1149">
        <f>D27/F27</f>
        <v>1</v>
      </c>
      <c r="AB27" s="1149">
        <f>D27/H27</f>
        <v>1</v>
      </c>
      <c r="AC27" s="1149">
        <f>D27/J27</f>
        <v>1</v>
      </c>
    </row>
    <row r="28" spans="1:29" ht="14.25">
      <c r="A28" s="98"/>
      <c r="B28" s="1151" t="s">
        <v>2945</v>
      </c>
      <c r="C28" s="3133" t="s">
        <v>2983</v>
      </c>
      <c r="D28" s="633">
        <v>100</v>
      </c>
      <c r="E28" s="3133" t="s">
        <v>3004</v>
      </c>
      <c r="F28" s="660">
        <f>SUMIF(92:92,E28,93:93)-SUMIF(92:92,C28,93:93)+100</f>
        <v>102</v>
      </c>
      <c r="G28" s="3133" t="s">
        <v>3000</v>
      </c>
      <c r="H28" s="633">
        <f>SUMIF(92:92,G28,93:93)-SUMIF(92:92,C28,93:93)+100</f>
        <v>102</v>
      </c>
      <c r="I28" s="3133" t="s">
        <v>2998</v>
      </c>
      <c r="J28" s="633">
        <f>SUMIF(92:92,I28,93:93)-SUMIF(92:92,C28,93:93)+100</f>
        <v>101</v>
      </c>
      <c r="K28" s="100"/>
      <c r="L28" s="2170"/>
      <c r="M28" s="2165"/>
      <c r="N28" s="2165"/>
      <c r="O28" s="2165"/>
      <c r="P28" s="3425"/>
      <c r="Q28" s="1145" t="str">
        <f t="shared" si="11"/>
        <v>楼层</v>
      </c>
      <c r="R28" s="1146" t="s">
        <v>99</v>
      </c>
      <c r="S28" s="1147">
        <f t="shared" ref="S28:S46" si="12">F28</f>
        <v>102</v>
      </c>
      <c r="T28" s="1146" t="s">
        <v>99</v>
      </c>
      <c r="U28" s="1147">
        <f t="shared" ref="U28:U46" si="13">H28</f>
        <v>102</v>
      </c>
      <c r="V28" s="1146" t="s">
        <v>99</v>
      </c>
      <c r="W28" s="1147">
        <f t="shared" ref="W28:W46" si="14">J28</f>
        <v>101</v>
      </c>
      <c r="X28" s="1133"/>
      <c r="Y28" s="3412"/>
      <c r="Z28" s="1148" t="str">
        <f t="shared" ref="Z28:Z46" si="15">Q28</f>
        <v>楼层</v>
      </c>
      <c r="AA28" s="1149">
        <f t="shared" si="3"/>
        <v>0.98039215686274506</v>
      </c>
      <c r="AB28" s="1149">
        <f t="shared" si="4"/>
        <v>0.98039215686274506</v>
      </c>
      <c r="AC28" s="1149">
        <f t="shared" si="5"/>
        <v>0.99009900990099009</v>
      </c>
    </row>
    <row r="29" spans="1:29" ht="15" thickBot="1">
      <c r="A29" s="98"/>
      <c r="B29" s="1151" t="s">
        <v>2960</v>
      </c>
      <c r="C29" s="40">
        <v>1994</v>
      </c>
      <c r="D29" s="633">
        <v>100</v>
      </c>
      <c r="E29" s="40">
        <v>1996</v>
      </c>
      <c r="F29" s="660">
        <f>SUMIF(94:94,E29,95:95)-SUMIF(94:94,C29,95:95)+100</f>
        <v>101</v>
      </c>
      <c r="G29" s="40">
        <v>1984</v>
      </c>
      <c r="H29" s="633">
        <f>SUMIF(94:94,G29,95:95)-SUMIF(94:94,C29,95:95)+100</f>
        <v>95</v>
      </c>
      <c r="I29" s="40">
        <v>1995</v>
      </c>
      <c r="J29" s="633">
        <f>SUMIF(94:94,I29,95:95)-SUMIF(94:94,C29,95:95)+100</f>
        <v>100.5</v>
      </c>
      <c r="K29" s="100"/>
      <c r="L29" s="2170"/>
      <c r="M29" s="2165"/>
      <c r="N29" s="2165"/>
      <c r="O29" s="2165"/>
      <c r="P29" s="3425"/>
      <c r="Q29" s="1145" t="str">
        <f t="shared" si="11"/>
        <v>建成年代</v>
      </c>
      <c r="R29" s="1146" t="s">
        <v>99</v>
      </c>
      <c r="S29" s="1147">
        <f t="shared" si="12"/>
        <v>101</v>
      </c>
      <c r="T29" s="1146" t="s">
        <v>99</v>
      </c>
      <c r="U29" s="1147">
        <f t="shared" si="13"/>
        <v>95</v>
      </c>
      <c r="V29" s="1146" t="s">
        <v>99</v>
      </c>
      <c r="W29" s="1147">
        <f t="shared" si="14"/>
        <v>100.5</v>
      </c>
      <c r="X29" s="1133"/>
      <c r="Y29" s="3412"/>
      <c r="Z29" s="1148" t="str">
        <f t="shared" si="15"/>
        <v>建成年代</v>
      </c>
      <c r="AA29" s="1149">
        <f t="shared" si="3"/>
        <v>0.99009900990099009</v>
      </c>
      <c r="AB29" s="1149">
        <f t="shared" si="4"/>
        <v>1.0526315789473684</v>
      </c>
      <c r="AC29" s="1149">
        <f t="shared" si="5"/>
        <v>0.99502487562189057</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70"/>
      <c r="M30" s="2165"/>
      <c r="N30" s="2165"/>
      <c r="O30" s="2165"/>
      <c r="P30" s="3425"/>
      <c r="Q30" s="1145">
        <f t="shared" si="11"/>
        <v>111</v>
      </c>
      <c r="R30" s="1146" t="s">
        <v>99</v>
      </c>
      <c r="S30" s="1147">
        <f t="shared" si="12"/>
        <v>100</v>
      </c>
      <c r="T30" s="1146" t="s">
        <v>99</v>
      </c>
      <c r="U30" s="1147">
        <f t="shared" si="13"/>
        <v>100</v>
      </c>
      <c r="V30" s="1146" t="s">
        <v>99</v>
      </c>
      <c r="W30" s="1147">
        <f t="shared" si="14"/>
        <v>100</v>
      </c>
      <c r="X30" s="1133"/>
      <c r="Y30" s="3412"/>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25"/>
      <c r="Q31" s="1145">
        <f t="shared" si="11"/>
        <v>111</v>
      </c>
      <c r="R31" s="1146" t="s">
        <v>99</v>
      </c>
      <c r="S31" s="1147">
        <f t="shared" si="12"/>
        <v>100</v>
      </c>
      <c r="T31" s="1146" t="s">
        <v>99</v>
      </c>
      <c r="U31" s="1147">
        <f t="shared" si="13"/>
        <v>100</v>
      </c>
      <c r="V31" s="1146" t="s">
        <v>99</v>
      </c>
      <c r="W31" s="1147">
        <f t="shared" si="14"/>
        <v>100</v>
      </c>
      <c r="X31" s="1133"/>
      <c r="Y31" s="3412"/>
      <c r="Z31" s="1148">
        <f t="shared" si="15"/>
        <v>111</v>
      </c>
      <c r="AA31" s="1149">
        <f t="shared" si="3"/>
        <v>1</v>
      </c>
      <c r="AB31" s="1149">
        <f t="shared" si="4"/>
        <v>1</v>
      </c>
      <c r="AC31" s="1149">
        <f t="shared" si="5"/>
        <v>1</v>
      </c>
    </row>
    <row r="32" spans="1:29" ht="15">
      <c r="A32" s="105" t="s">
        <v>912</v>
      </c>
      <c r="B32" s="20" t="s">
        <v>70</v>
      </c>
      <c r="C32" s="57" t="s">
        <v>2987</v>
      </c>
      <c r="D32" s="122">
        <v>100</v>
      </c>
      <c r="E32" s="58" t="s">
        <v>2987</v>
      </c>
      <c r="F32" s="123">
        <f>SUMIF(100:100,E32,101:101)-SUMIF(100:100,C32,101:101)+100</f>
        <v>100</v>
      </c>
      <c r="G32" s="57" t="s">
        <v>2987</v>
      </c>
      <c r="H32" s="122">
        <f>SUMIF(100:100,G32,101:101)-SUMIF(100:100,C32,101:101)+100</f>
        <v>100</v>
      </c>
      <c r="I32" s="58" t="s">
        <v>2987</v>
      </c>
      <c r="J32" s="102">
        <f>SUMIF(100:100,I32,101:101)-SUMIF(100:100,C32,101:101)+100</f>
        <v>100</v>
      </c>
      <c r="K32" s="624"/>
      <c r="L32" s="2170"/>
      <c r="M32" s="2165"/>
      <c r="N32" s="2165"/>
      <c r="O32" s="2165"/>
      <c r="P32" s="3413" t="s">
        <v>66</v>
      </c>
      <c r="Q32" s="1145" t="str">
        <f t="shared" si="11"/>
        <v>建筑类型</v>
      </c>
      <c r="R32" s="1146" t="s">
        <v>99</v>
      </c>
      <c r="S32" s="1147">
        <f t="shared" si="12"/>
        <v>100</v>
      </c>
      <c r="T32" s="1146" t="s">
        <v>99</v>
      </c>
      <c r="U32" s="1147">
        <f t="shared" si="13"/>
        <v>100</v>
      </c>
      <c r="V32" s="1146" t="s">
        <v>99</v>
      </c>
      <c r="W32" s="1147">
        <f t="shared" si="14"/>
        <v>100</v>
      </c>
      <c r="X32" s="1133"/>
      <c r="Y32" s="3416" t="s">
        <v>66</v>
      </c>
      <c r="Z32" s="1148" t="str">
        <f t="shared" si="15"/>
        <v>建筑类型</v>
      </c>
      <c r="AA32" s="1149">
        <f t="shared" si="3"/>
        <v>1</v>
      </c>
      <c r="AB32" s="1149">
        <f t="shared" si="4"/>
        <v>1</v>
      </c>
      <c r="AC32" s="1149">
        <f t="shared" si="5"/>
        <v>1</v>
      </c>
    </row>
    <row r="33" spans="1:29" s="898" customFormat="1" ht="14.25">
      <c r="A33" s="902"/>
      <c r="B33" s="4" t="s">
        <v>71</v>
      </c>
      <c r="C33" s="668">
        <f>项目基本情况!C12</f>
        <v>56.82</v>
      </c>
      <c r="D33" s="883">
        <v>100</v>
      </c>
      <c r="E33" s="628">
        <v>65.849999999999994</v>
      </c>
      <c r="F33" s="1144">
        <f>LOOKUP(E33,103:103,104:104)-LOOKUP(C33,103:103,104:104)+100</f>
        <v>98</v>
      </c>
      <c r="G33" s="627">
        <v>71.47</v>
      </c>
      <c r="H33" s="883">
        <f>LOOKUP(G33,103:103,104:104)-LOOKUP(C33,103:103,104:104)+100</f>
        <v>98</v>
      </c>
      <c r="I33" s="628">
        <v>74.540000000000006</v>
      </c>
      <c r="J33" s="883">
        <f>LOOKUP(I33,103:103,104:104)-LOOKUP(C33,103:103,104:104)+100</f>
        <v>98</v>
      </c>
      <c r="K33" s="100"/>
      <c r="L33" s="2169"/>
      <c r="M33" s="2171"/>
      <c r="N33" s="2171"/>
      <c r="O33" s="2171"/>
      <c r="P33" s="3414"/>
      <c r="Q33" s="1153" t="str">
        <f t="shared" si="11"/>
        <v>项目建筑规模</v>
      </c>
      <c r="R33" s="1154" t="s">
        <v>99</v>
      </c>
      <c r="S33" s="1155">
        <f t="shared" si="12"/>
        <v>98</v>
      </c>
      <c r="T33" s="1154" t="s">
        <v>99</v>
      </c>
      <c r="U33" s="1155">
        <f t="shared" si="13"/>
        <v>98</v>
      </c>
      <c r="V33" s="1154" t="s">
        <v>99</v>
      </c>
      <c r="W33" s="1155">
        <f t="shared" si="14"/>
        <v>98</v>
      </c>
      <c r="X33" s="1156"/>
      <c r="Y33" s="3416"/>
      <c r="Z33" s="1157" t="str">
        <f t="shared" si="15"/>
        <v>项目建筑规模</v>
      </c>
      <c r="AA33" s="1149">
        <f t="shared" si="3"/>
        <v>1.0204081632653061</v>
      </c>
      <c r="AB33" s="1149">
        <f t="shared" si="4"/>
        <v>1.0204081632653061</v>
      </c>
      <c r="AC33" s="1149">
        <f t="shared" si="5"/>
        <v>1.0204081632653061</v>
      </c>
    </row>
    <row r="34" spans="1:29" ht="15">
      <c r="A34" s="111"/>
      <c r="B34" s="4" t="s">
        <v>72</v>
      </c>
      <c r="C34" s="59" t="s">
        <v>2989</v>
      </c>
      <c r="D34" s="102">
        <v>100</v>
      </c>
      <c r="E34" s="60" t="s">
        <v>2989</v>
      </c>
      <c r="F34" s="123">
        <f>SUMIF(105:105,E34,106:106)-SUMIF(105:105,C34,106:106)+100</f>
        <v>100</v>
      </c>
      <c r="G34" s="59" t="s">
        <v>2989</v>
      </c>
      <c r="H34" s="102">
        <f>SUMIF(105:105,G34,106:106)-SUMIF(105:105,C34,106:106)+100</f>
        <v>100</v>
      </c>
      <c r="I34" s="60" t="s">
        <v>2989</v>
      </c>
      <c r="J34" s="102">
        <f>SUMIF(105:105,I34,106:106)-SUMIF(105:105,C34,106:106)+100</f>
        <v>100</v>
      </c>
      <c r="K34" s="624"/>
      <c r="L34" s="2170"/>
      <c r="M34" s="2165"/>
      <c r="N34" s="2165"/>
      <c r="O34" s="2165"/>
      <c r="P34" s="3414"/>
      <c r="Q34" s="1145" t="str">
        <f t="shared" si="11"/>
        <v>建筑结构</v>
      </c>
      <c r="R34" s="1146" t="s">
        <v>99</v>
      </c>
      <c r="S34" s="1147">
        <f t="shared" si="12"/>
        <v>100</v>
      </c>
      <c r="T34" s="1146" t="s">
        <v>99</v>
      </c>
      <c r="U34" s="1147">
        <f t="shared" si="13"/>
        <v>100</v>
      </c>
      <c r="V34" s="1146" t="s">
        <v>99</v>
      </c>
      <c r="W34" s="1147">
        <f t="shared" si="14"/>
        <v>100</v>
      </c>
      <c r="X34" s="1133"/>
      <c r="Y34" s="3416"/>
      <c r="Z34" s="1148" t="str">
        <f t="shared" si="15"/>
        <v>建筑结构</v>
      </c>
      <c r="AA34" s="1149">
        <f t="shared" si="3"/>
        <v>1</v>
      </c>
      <c r="AB34" s="1149">
        <f t="shared" si="4"/>
        <v>1</v>
      </c>
      <c r="AC34" s="1149">
        <f t="shared" si="5"/>
        <v>1</v>
      </c>
    </row>
    <row r="35" spans="1:29" ht="15">
      <c r="A35" s="111"/>
      <c r="B35" s="4" t="s">
        <v>73</v>
      </c>
      <c r="C35" s="56" t="s">
        <v>2993</v>
      </c>
      <c r="D35" s="102">
        <v>100</v>
      </c>
      <c r="E35" s="55" t="s">
        <v>2993</v>
      </c>
      <c r="F35" s="123">
        <f>SUMIF(107:107,E35,108:108)-SUMIF(107:107,C35,108:108)+100</f>
        <v>100</v>
      </c>
      <c r="G35" s="56" t="s">
        <v>2993</v>
      </c>
      <c r="H35" s="102">
        <f>SUMIF(107:107,G35,108:108)-SUMIF(107:107,C35,108:108)+100</f>
        <v>100</v>
      </c>
      <c r="I35" s="55" t="s">
        <v>2993</v>
      </c>
      <c r="J35" s="102">
        <f>SUMIF(107:107,I35,108:108)-SUMIF(107:107,C35,108:108)+100</f>
        <v>100</v>
      </c>
      <c r="K35" s="624"/>
      <c r="L35" s="2170"/>
      <c r="M35" s="2165"/>
      <c r="N35" s="2165"/>
      <c r="O35" s="2165"/>
      <c r="P35" s="3414"/>
      <c r="Q35" s="1145" t="str">
        <f t="shared" si="11"/>
        <v>建筑品质</v>
      </c>
      <c r="R35" s="1146" t="s">
        <v>99</v>
      </c>
      <c r="S35" s="1147">
        <f t="shared" si="12"/>
        <v>100</v>
      </c>
      <c r="T35" s="1146" t="s">
        <v>99</v>
      </c>
      <c r="U35" s="1147">
        <f t="shared" si="13"/>
        <v>100</v>
      </c>
      <c r="V35" s="1146" t="s">
        <v>99</v>
      </c>
      <c r="W35" s="1147">
        <f t="shared" si="14"/>
        <v>100</v>
      </c>
      <c r="X35" s="1133"/>
      <c r="Y35" s="3416"/>
      <c r="Z35" s="1148" t="str">
        <f t="shared" si="15"/>
        <v>建筑品质</v>
      </c>
      <c r="AA35" s="1149">
        <f t="shared" si="3"/>
        <v>1</v>
      </c>
      <c r="AB35" s="1149">
        <f t="shared" si="4"/>
        <v>1</v>
      </c>
      <c r="AC35" s="1149">
        <f t="shared" si="5"/>
        <v>1</v>
      </c>
    </row>
    <row r="36" spans="1:29" ht="15">
      <c r="A36" s="111"/>
      <c r="B36" s="4" t="s">
        <v>74</v>
      </c>
      <c r="C36" s="56" t="s">
        <v>2953</v>
      </c>
      <c r="D36" s="102">
        <v>100</v>
      </c>
      <c r="E36" s="55" t="s">
        <v>2953</v>
      </c>
      <c r="F36" s="123">
        <f>SUMIF(109:109,E36,110:110)-SUMIF(109:109,C36,110:110)+100</f>
        <v>100</v>
      </c>
      <c r="G36" s="56" t="s">
        <v>2953</v>
      </c>
      <c r="H36" s="102">
        <f>SUMIF(109:109,G36,110:110)-SUMIF(109:109,C36,110:110)+100</f>
        <v>100</v>
      </c>
      <c r="I36" s="55" t="s">
        <v>2953</v>
      </c>
      <c r="J36" s="102">
        <f>SUMIF(109:109,I36,110:110)-SUMIF(109:109,C36,110:110)+100</f>
        <v>100</v>
      </c>
      <c r="K36" s="624"/>
      <c r="L36" s="2170"/>
      <c r="M36" s="2165"/>
      <c r="N36" s="2165"/>
      <c r="O36" s="2165"/>
      <c r="P36" s="3414"/>
      <c r="Q36" s="1145" t="str">
        <f t="shared" si="11"/>
        <v>公共部分装修</v>
      </c>
      <c r="R36" s="1146" t="s">
        <v>99</v>
      </c>
      <c r="S36" s="1147">
        <f t="shared" si="12"/>
        <v>100</v>
      </c>
      <c r="T36" s="1146" t="s">
        <v>99</v>
      </c>
      <c r="U36" s="1147">
        <f t="shared" si="13"/>
        <v>100</v>
      </c>
      <c r="V36" s="1146" t="s">
        <v>99</v>
      </c>
      <c r="W36" s="1147">
        <f t="shared" si="14"/>
        <v>100</v>
      </c>
      <c r="X36" s="1133"/>
      <c r="Y36" s="3416"/>
      <c r="Z36" s="1148" t="str">
        <f t="shared" si="15"/>
        <v>公共部分装修</v>
      </c>
      <c r="AA36" s="1149">
        <f t="shared" si="3"/>
        <v>1</v>
      </c>
      <c r="AB36" s="1149">
        <f t="shared" si="4"/>
        <v>1</v>
      </c>
      <c r="AC36" s="1149">
        <f t="shared" si="5"/>
        <v>1</v>
      </c>
    </row>
    <row r="37" spans="1:29" s="11" customFormat="1" ht="15">
      <c r="A37" s="900"/>
      <c r="B37" s="4" t="s">
        <v>75</v>
      </c>
      <c r="C37" s="673">
        <f>'数据-取费表'!E20</f>
        <v>0.6</v>
      </c>
      <c r="D37" s="883">
        <v>100</v>
      </c>
      <c r="E37" s="674">
        <f>C37</f>
        <v>0.6</v>
      </c>
      <c r="F37" s="1144">
        <f>LOOKUP(E37,112:112,113:113)-LOOKUP(C37,112:112,113:113)+100</f>
        <v>100</v>
      </c>
      <c r="G37" s="675">
        <f>C37</f>
        <v>0.6</v>
      </c>
      <c r="H37" s="883">
        <f>LOOKUP(G37,112:112,113:113)-LOOKUP(C37,112:112,113:113)+100</f>
        <v>100</v>
      </c>
      <c r="I37" s="674">
        <f>C37</f>
        <v>0.6</v>
      </c>
      <c r="J37" s="883">
        <f>LOOKUP(I37,112:112,113:113)-LOOKUP(C37,112:112,113:113)+100</f>
        <v>100</v>
      </c>
      <c r="K37" s="624"/>
      <c r="L37" s="2166"/>
      <c r="M37" s="2108"/>
      <c r="N37" s="2108"/>
      <c r="O37" s="2108"/>
      <c r="P37" s="3414"/>
      <c r="Q37" s="2" t="str">
        <f t="shared" si="11"/>
        <v>成新度</v>
      </c>
      <c r="R37" s="1135" t="s">
        <v>99</v>
      </c>
      <c r="S37" s="1136">
        <f t="shared" si="12"/>
        <v>100</v>
      </c>
      <c r="T37" s="1135" t="s">
        <v>99</v>
      </c>
      <c r="U37" s="1136">
        <f t="shared" si="13"/>
        <v>100</v>
      </c>
      <c r="V37" s="1135" t="s">
        <v>99</v>
      </c>
      <c r="W37" s="1136">
        <f t="shared" si="14"/>
        <v>100</v>
      </c>
      <c r="X37" s="184"/>
      <c r="Y37" s="3416"/>
      <c r="Z37" s="185" t="str">
        <f t="shared" si="15"/>
        <v>成新度</v>
      </c>
      <c r="AA37" s="1137">
        <f t="shared" si="3"/>
        <v>1</v>
      </c>
      <c r="AB37" s="1137">
        <f t="shared" si="4"/>
        <v>1</v>
      </c>
      <c r="AC37" s="1137">
        <f t="shared" si="5"/>
        <v>1</v>
      </c>
    </row>
    <row r="38" spans="1:29" ht="15">
      <c r="A38" s="111"/>
      <c r="B38" s="4" t="s">
        <v>76</v>
      </c>
      <c r="C38" s="56" t="s">
        <v>2955</v>
      </c>
      <c r="D38" s="102">
        <v>100</v>
      </c>
      <c r="E38" s="55" t="s">
        <v>2955</v>
      </c>
      <c r="F38" s="123">
        <f>SUMIF(114:114,E38,115:115)-SUMIF(114:114,C38,115:115)+100</f>
        <v>100</v>
      </c>
      <c r="G38" s="56" t="s">
        <v>2955</v>
      </c>
      <c r="H38" s="102">
        <f>SUMIF(114:114,G38,115:115)-SUMIF(114:114,C38,115:115)+100</f>
        <v>100</v>
      </c>
      <c r="I38" s="55" t="s">
        <v>2955</v>
      </c>
      <c r="J38" s="102">
        <f>SUMIF(114:114,I38,115:115)-SUMIF(114:114,C38,115:115)+100</f>
        <v>100</v>
      </c>
      <c r="K38" s="624"/>
      <c r="L38" s="2170"/>
      <c r="M38" s="2165"/>
      <c r="N38" s="2165"/>
      <c r="O38" s="2165"/>
      <c r="P38" s="3414" t="s">
        <v>66</v>
      </c>
      <c r="Q38" s="1145" t="str">
        <f t="shared" si="11"/>
        <v>物业管理</v>
      </c>
      <c r="R38" s="1146" t="s">
        <v>99</v>
      </c>
      <c r="S38" s="1147">
        <f t="shared" si="12"/>
        <v>100</v>
      </c>
      <c r="T38" s="1146" t="s">
        <v>99</v>
      </c>
      <c r="U38" s="1147">
        <f t="shared" si="13"/>
        <v>100</v>
      </c>
      <c r="V38" s="1146" t="s">
        <v>99</v>
      </c>
      <c r="W38" s="1147">
        <f t="shared" si="14"/>
        <v>100</v>
      </c>
      <c r="X38" s="1133"/>
      <c r="Y38" s="3416" t="s">
        <v>66</v>
      </c>
      <c r="Z38" s="1148" t="str">
        <f t="shared" si="15"/>
        <v>物业管理</v>
      </c>
      <c r="AA38" s="1149">
        <f t="shared" si="3"/>
        <v>1</v>
      </c>
      <c r="AB38" s="1149">
        <f t="shared" si="4"/>
        <v>1</v>
      </c>
      <c r="AC38" s="1149">
        <f t="shared" si="5"/>
        <v>1</v>
      </c>
    </row>
    <row r="39" spans="1:29" ht="15">
      <c r="A39" s="111"/>
      <c r="B39" s="4" t="s">
        <v>2543</v>
      </c>
      <c r="C39" s="56" t="s">
        <v>2943</v>
      </c>
      <c r="D39" s="102">
        <v>100</v>
      </c>
      <c r="E39" s="55" t="s">
        <v>2943</v>
      </c>
      <c r="F39" s="123">
        <f>SUMIF(116:116,E39,117:117)-SUMIF(116:116,C39,117:117)+100</f>
        <v>100</v>
      </c>
      <c r="G39" s="56" t="s">
        <v>2943</v>
      </c>
      <c r="H39" s="102">
        <f>SUMIF(116:116,G39,117:117)-SUMIF(116:116,C39,117:117)+100</f>
        <v>100</v>
      </c>
      <c r="I39" s="55" t="s">
        <v>2943</v>
      </c>
      <c r="J39" s="102">
        <f>SUMIF(116:116,I39,117:117)-SUMIF(116:116,C39,117:117)+100</f>
        <v>100</v>
      </c>
      <c r="K39" s="624"/>
      <c r="L39" s="2170"/>
      <c r="M39" s="2165"/>
      <c r="N39" s="2165"/>
      <c r="O39" s="2165"/>
      <c r="P39" s="3414"/>
      <c r="Q39" s="1145" t="str">
        <f t="shared" si="11"/>
        <v>市政基础设施</v>
      </c>
      <c r="R39" s="1146" t="s">
        <v>99</v>
      </c>
      <c r="S39" s="1147">
        <f t="shared" si="12"/>
        <v>100</v>
      </c>
      <c r="T39" s="1146" t="s">
        <v>99</v>
      </c>
      <c r="U39" s="1147">
        <f t="shared" si="13"/>
        <v>100</v>
      </c>
      <c r="V39" s="1146" t="s">
        <v>99</v>
      </c>
      <c r="W39" s="1147">
        <f t="shared" si="14"/>
        <v>100</v>
      </c>
      <c r="X39" s="1133"/>
      <c r="Y39" s="3416"/>
      <c r="Z39" s="1148" t="str">
        <f t="shared" si="15"/>
        <v>市政基础设施</v>
      </c>
      <c r="AA39" s="1149">
        <f t="shared" si="3"/>
        <v>1</v>
      </c>
      <c r="AB39" s="1149">
        <f t="shared" si="4"/>
        <v>1</v>
      </c>
      <c r="AC39" s="1149">
        <f t="shared" si="5"/>
        <v>1</v>
      </c>
    </row>
    <row r="40" spans="1:29" ht="15">
      <c r="A40" s="111"/>
      <c r="B40" s="4" t="s">
        <v>77</v>
      </c>
      <c r="C40" s="56" t="s">
        <v>2958</v>
      </c>
      <c r="D40" s="102">
        <v>100</v>
      </c>
      <c r="E40" s="55" t="s">
        <v>2958</v>
      </c>
      <c r="F40" s="123">
        <f>SUMIF(118:118,E40,119:119)-SUMIF(118:118,C40,119:119)+100</f>
        <v>100</v>
      </c>
      <c r="G40" s="56" t="s">
        <v>2958</v>
      </c>
      <c r="H40" s="102">
        <f>SUMIF(118:118,G40,119:119)-SUMIF(118:118,C40,119:119)+100</f>
        <v>100</v>
      </c>
      <c r="I40" s="55" t="s">
        <v>2958</v>
      </c>
      <c r="J40" s="102">
        <f>SUMIF(118:118,I40,119:119)-SUMIF(118:118,C40,119:119)+100</f>
        <v>100</v>
      </c>
      <c r="K40" s="624"/>
      <c r="L40" s="2170"/>
      <c r="M40" s="2165"/>
      <c r="N40" s="2165"/>
      <c r="O40" s="2165"/>
      <c r="P40" s="3414"/>
      <c r="Q40" s="1145" t="str">
        <f t="shared" si="11"/>
        <v>房型</v>
      </c>
      <c r="R40" s="1146" t="s">
        <v>99</v>
      </c>
      <c r="S40" s="1147">
        <f t="shared" si="12"/>
        <v>100</v>
      </c>
      <c r="T40" s="1146" t="s">
        <v>99</v>
      </c>
      <c r="U40" s="1147">
        <f t="shared" si="13"/>
        <v>100</v>
      </c>
      <c r="V40" s="1146" t="s">
        <v>99</v>
      </c>
      <c r="W40" s="1147">
        <f t="shared" si="14"/>
        <v>100</v>
      </c>
      <c r="X40" s="1133"/>
      <c r="Y40" s="3416"/>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14"/>
      <c r="Q41" s="1153" t="str">
        <f t="shared" si="11"/>
        <v>单套/主力户型建筑面积</v>
      </c>
      <c r="R41" s="1154" t="s">
        <v>99</v>
      </c>
      <c r="S41" s="1155">
        <f t="shared" si="12"/>
        <v>100</v>
      </c>
      <c r="T41" s="1154" t="s">
        <v>99</v>
      </c>
      <c r="U41" s="1155">
        <f t="shared" si="13"/>
        <v>100</v>
      </c>
      <c r="V41" s="1154" t="s">
        <v>99</v>
      </c>
      <c r="W41" s="1155">
        <f t="shared" si="14"/>
        <v>100</v>
      </c>
      <c r="X41" s="1156"/>
      <c r="Y41" s="3416"/>
      <c r="Z41" s="1157" t="str">
        <f t="shared" si="15"/>
        <v>单套/主力户型建筑面积</v>
      </c>
      <c r="AA41" s="1149">
        <f t="shared" si="3"/>
        <v>1</v>
      </c>
      <c r="AB41" s="1149">
        <f t="shared" si="4"/>
        <v>1</v>
      </c>
      <c r="AC41" s="1149">
        <f t="shared" si="5"/>
        <v>1</v>
      </c>
    </row>
    <row r="42" spans="1:29" ht="15">
      <c r="A42" s="111"/>
      <c r="B42" s="4" t="s">
        <v>78</v>
      </c>
      <c r="C42" s="56" t="s">
        <v>2961</v>
      </c>
      <c r="D42" s="102">
        <v>100</v>
      </c>
      <c r="E42" s="55" t="s">
        <v>2953</v>
      </c>
      <c r="F42" s="123">
        <f>SUMIF(122:122,E42,123:123)-SUMIF(122:122,C42,123:123)+100</f>
        <v>102</v>
      </c>
      <c r="G42" s="56" t="s">
        <v>2961</v>
      </c>
      <c r="H42" s="102">
        <f>SUMIF(122:122,G42,123:123)-SUMIF(122:122,C42,123:123)+100</f>
        <v>100</v>
      </c>
      <c r="I42" s="55" t="s">
        <v>2953</v>
      </c>
      <c r="J42" s="102">
        <f>SUMIF(122:122,I42,123:123)-SUMIF(122:122,C42,123:123)+100</f>
        <v>102</v>
      </c>
      <c r="K42" s="624">
        <v>2</v>
      </c>
      <c r="L42" s="2170"/>
      <c r="M42" s="2165"/>
      <c r="N42" s="2165"/>
      <c r="O42" s="2165"/>
      <c r="P42" s="3414"/>
      <c r="Q42" s="1145" t="str">
        <f t="shared" si="11"/>
        <v>内部装修</v>
      </c>
      <c r="R42" s="1146" t="s">
        <v>99</v>
      </c>
      <c r="S42" s="1147">
        <f t="shared" si="12"/>
        <v>102</v>
      </c>
      <c r="T42" s="1146" t="s">
        <v>99</v>
      </c>
      <c r="U42" s="1147">
        <f t="shared" si="13"/>
        <v>100</v>
      </c>
      <c r="V42" s="1146" t="s">
        <v>99</v>
      </c>
      <c r="W42" s="1147">
        <f t="shared" si="14"/>
        <v>102</v>
      </c>
      <c r="X42" s="1133"/>
      <c r="Y42" s="3416"/>
      <c r="Z42" s="1148" t="str">
        <f t="shared" si="15"/>
        <v>内部装修</v>
      </c>
      <c r="AA42" s="1149">
        <f t="shared" si="3"/>
        <v>0.98039215686274506</v>
      </c>
      <c r="AB42" s="1149">
        <f t="shared" si="4"/>
        <v>1</v>
      </c>
      <c r="AC42" s="1149">
        <f t="shared" si="5"/>
        <v>0.98039215686274506</v>
      </c>
    </row>
    <row r="43" spans="1:29" ht="27.75" thickBot="1">
      <c r="A43" s="111"/>
      <c r="B43" s="4" t="s">
        <v>79</v>
      </c>
      <c r="C43" s="56" t="s">
        <v>103</v>
      </c>
      <c r="D43" s="102">
        <v>100</v>
      </c>
      <c r="E43" s="55" t="s">
        <v>102</v>
      </c>
      <c r="F43" s="123">
        <f>SUMIF(124:124,E43,125:125)-SUMIF(124:124,C43,125:125)+100</f>
        <v>101</v>
      </c>
      <c r="G43" s="56" t="s">
        <v>103</v>
      </c>
      <c r="H43" s="102">
        <f>SUMIF(124:124,G43,125:125)-SUMIF(124:124,C43,125:125)+100</f>
        <v>100</v>
      </c>
      <c r="I43" s="55" t="s">
        <v>102</v>
      </c>
      <c r="J43" s="102">
        <f>SUMIF(124:124,I43,125:125)-SUMIF(124:124,C43,125:125)+100</f>
        <v>101</v>
      </c>
      <c r="K43" s="624">
        <v>1</v>
      </c>
      <c r="L43" s="2170"/>
      <c r="M43" s="2165"/>
      <c r="N43" s="2165"/>
      <c r="O43" s="2165"/>
      <c r="P43" s="3414"/>
      <c r="Q43" s="1145" t="str">
        <f t="shared" si="11"/>
        <v>内部装修维护情况</v>
      </c>
      <c r="R43" s="1146" t="s">
        <v>99</v>
      </c>
      <c r="S43" s="1147">
        <f t="shared" si="12"/>
        <v>101</v>
      </c>
      <c r="T43" s="1146" t="s">
        <v>99</v>
      </c>
      <c r="U43" s="1147">
        <f t="shared" si="13"/>
        <v>100</v>
      </c>
      <c r="V43" s="1146" t="s">
        <v>99</v>
      </c>
      <c r="W43" s="1147">
        <f t="shared" si="14"/>
        <v>101</v>
      </c>
      <c r="X43" s="1133"/>
      <c r="Y43" s="3416"/>
      <c r="Z43" s="1148" t="str">
        <f t="shared" si="15"/>
        <v>内部装修维护情况</v>
      </c>
      <c r="AA43" s="1149">
        <f t="shared" si="3"/>
        <v>0.99009900990099009</v>
      </c>
      <c r="AB43" s="1149">
        <f t="shared" si="4"/>
        <v>1</v>
      </c>
      <c r="AC43" s="1149">
        <f t="shared" si="5"/>
        <v>0.99009900990099009</v>
      </c>
    </row>
    <row r="44" spans="1:29" s="11" customFormat="1" ht="14.25" hidden="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14"/>
      <c r="Q44" s="2">
        <f t="shared" si="11"/>
        <v>111</v>
      </c>
      <c r="R44" s="1135" t="s">
        <v>99</v>
      </c>
      <c r="S44" s="1136">
        <f t="shared" si="12"/>
        <v>100</v>
      </c>
      <c r="T44" s="1135" t="s">
        <v>99</v>
      </c>
      <c r="U44" s="1136">
        <f t="shared" si="13"/>
        <v>100</v>
      </c>
      <c r="V44" s="1135" t="s">
        <v>99</v>
      </c>
      <c r="W44" s="1136">
        <f t="shared" si="14"/>
        <v>100</v>
      </c>
      <c r="X44" s="184"/>
      <c r="Y44" s="3416"/>
      <c r="Z44" s="185">
        <f t="shared" si="15"/>
        <v>111</v>
      </c>
      <c r="AA44" s="1137">
        <f t="shared" si="3"/>
        <v>1</v>
      </c>
      <c r="AB44" s="1137">
        <f t="shared" si="4"/>
        <v>1</v>
      </c>
      <c r="AC44" s="1137">
        <f t="shared" si="5"/>
        <v>1</v>
      </c>
    </row>
    <row r="45" spans="1:29" ht="14.25" hidden="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14"/>
      <c r="Q45" s="1145">
        <f t="shared" si="11"/>
        <v>111</v>
      </c>
      <c r="R45" s="1146" t="s">
        <v>99</v>
      </c>
      <c r="S45" s="1147">
        <f t="shared" si="12"/>
        <v>100</v>
      </c>
      <c r="T45" s="1146" t="s">
        <v>99</v>
      </c>
      <c r="U45" s="1147">
        <f t="shared" si="13"/>
        <v>100</v>
      </c>
      <c r="V45" s="1146" t="s">
        <v>99</v>
      </c>
      <c r="W45" s="1147">
        <f t="shared" si="14"/>
        <v>100</v>
      </c>
      <c r="X45" s="1133"/>
      <c r="Y45" s="3416"/>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15"/>
      <c r="Q46" s="1145">
        <f t="shared" si="11"/>
        <v>111</v>
      </c>
      <c r="R46" s="1146" t="s">
        <v>98</v>
      </c>
      <c r="S46" s="1147">
        <f t="shared" si="12"/>
        <v>100</v>
      </c>
      <c r="T46" s="1146" t="s">
        <v>98</v>
      </c>
      <c r="U46" s="1147">
        <f t="shared" si="13"/>
        <v>100</v>
      </c>
      <c r="V46" s="1146" t="s">
        <v>98</v>
      </c>
      <c r="W46" s="1147">
        <f t="shared" si="14"/>
        <v>100</v>
      </c>
      <c r="X46" s="1133"/>
      <c r="Y46" s="3417"/>
      <c r="Z46" s="1148">
        <f t="shared" si="15"/>
        <v>111</v>
      </c>
      <c r="AA46" s="1149">
        <f t="shared" si="3"/>
        <v>1</v>
      </c>
      <c r="AB46" s="1149">
        <f t="shared" si="4"/>
        <v>1</v>
      </c>
      <c r="AC46" s="1149">
        <f t="shared" si="5"/>
        <v>1</v>
      </c>
    </row>
    <row r="47" spans="1:29" ht="15">
      <c r="A47" s="113" t="s">
        <v>97</v>
      </c>
      <c r="B47" s="114"/>
      <c r="C47" s="2610" t="s">
        <v>96</v>
      </c>
      <c r="D47" s="2611"/>
      <c r="E47" s="2612">
        <v>65300</v>
      </c>
      <c r="F47" s="2613"/>
      <c r="G47" s="2614">
        <v>57786</v>
      </c>
      <c r="H47" s="2615"/>
      <c r="I47" s="2612">
        <v>62383</v>
      </c>
      <c r="J47" s="2615"/>
      <c r="K47" s="1158"/>
      <c r="L47" s="2172"/>
      <c r="M47" s="2173"/>
      <c r="N47" s="2165"/>
      <c r="O47" s="2173"/>
      <c r="P47" s="3422" t="str">
        <f>A47</f>
        <v>成交单价（元/平方米）</v>
      </c>
      <c r="Q47" s="3422"/>
      <c r="R47" s="3423">
        <f>E47</f>
        <v>65300</v>
      </c>
      <c r="S47" s="3423"/>
      <c r="T47" s="3423">
        <f>G47</f>
        <v>57786</v>
      </c>
      <c r="U47" s="3423"/>
      <c r="V47" s="3423">
        <f>I47</f>
        <v>62383</v>
      </c>
      <c r="W47" s="3423"/>
      <c r="X47" s="1159"/>
      <c r="Y47" s="1160"/>
      <c r="Z47" s="1159"/>
      <c r="AA47" s="1159"/>
      <c r="AB47" s="1159"/>
      <c r="AC47" s="1159"/>
    </row>
    <row r="48" spans="1:29" ht="15.75" thickBot="1">
      <c r="A48" s="115" t="s">
        <v>95</v>
      </c>
      <c r="B48" s="116"/>
      <c r="C48" s="2616">
        <f>R49</f>
        <v>62033</v>
      </c>
      <c r="D48" s="2617"/>
      <c r="E48" s="2618">
        <f>R48</f>
        <v>63746</v>
      </c>
      <c r="F48" s="2618"/>
      <c r="G48" s="2616">
        <f>T48</f>
        <v>60852</v>
      </c>
      <c r="H48" s="2617"/>
      <c r="I48" s="2618">
        <f>V48</f>
        <v>61501</v>
      </c>
      <c r="J48" s="2617"/>
      <c r="K48" s="1161"/>
      <c r="L48" s="2172"/>
      <c r="M48" s="2173"/>
      <c r="N48" s="2173"/>
      <c r="O48" s="2173"/>
      <c r="P48" s="3422" t="str">
        <f>A48</f>
        <v>比较价值（元/平方米）</v>
      </c>
      <c r="Q48" s="3422"/>
      <c r="R48" s="3423">
        <f>IF(E1="售价",ROUND(PRODUCT(R47,AA7:AA46),0),ROUND(PRODUCT(R47,AA7:AA46),1))</f>
        <v>63746</v>
      </c>
      <c r="S48" s="3423"/>
      <c r="T48" s="3426">
        <f>IF(E1="售价",ROUND(PRODUCT(T47,AB7:AB46),0),ROUND(PRODUCT(T47,AB7:AB46),1))</f>
        <v>60852</v>
      </c>
      <c r="U48" s="3427"/>
      <c r="V48" s="3423">
        <f>IF(E1="售价",ROUND(PRODUCT(V47,AC7:AC46),0),ROUND(PRODUCT(V47,AC7:AC46),1))</f>
        <v>61501</v>
      </c>
      <c r="W48" s="3423"/>
      <c r="X48" s="1159"/>
      <c r="Y48" s="1159"/>
      <c r="Z48" s="1159"/>
      <c r="AA48" s="1159"/>
      <c r="AB48" s="1159"/>
      <c r="AC48" s="1159"/>
    </row>
    <row r="49" spans="1:29" ht="15.75" thickBot="1">
      <c r="A49" s="62" t="s">
        <v>2969</v>
      </c>
      <c r="B49" s="63"/>
      <c r="C49" s="2619">
        <f>R49</f>
        <v>62033</v>
      </c>
      <c r="D49" s="2620"/>
      <c r="E49" s="2620"/>
      <c r="F49" s="2620"/>
      <c r="G49" s="2620"/>
      <c r="H49" s="2620"/>
      <c r="I49" s="2620"/>
      <c r="J49" s="2620"/>
      <c r="K49" s="1162"/>
      <c r="L49" s="2172"/>
      <c r="M49" s="2173"/>
      <c r="N49" s="2173"/>
      <c r="O49" s="2173"/>
      <c r="P49" s="3428" t="str">
        <f>A49</f>
        <v>估价对象住宅用房的比较价值（楼面单价，元/平方米）</v>
      </c>
      <c r="Q49" s="3429"/>
      <c r="R49" s="3430">
        <f>IF(E1="售价",ROUND(AVERAGE(R48:V48),0),ROUND(AVERAGE(R48:V48),1))</f>
        <v>62033</v>
      </c>
      <c r="S49" s="3430"/>
      <c r="T49" s="3430"/>
      <c r="U49" s="3430"/>
      <c r="V49" s="3430"/>
      <c r="W49" s="3430"/>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916</v>
      </c>
      <c r="D52" s="697"/>
      <c r="E52" s="698">
        <f>IF(E47&lt;E48,E48/E47-1,E47/E48-1)</f>
        <v>2.4378000188247206E-2</v>
      </c>
      <c r="F52" s="699" t="str">
        <f>IF(OR(E52&gt;=0.3,E52&lt;=-0.3),"超过30%","")</f>
        <v/>
      </c>
      <c r="G52" s="698">
        <f>IF(G47&lt;G48,G48/G47-1,G47/G48-1)</f>
        <v>5.3057834077458121E-2</v>
      </c>
      <c r="H52" s="699" t="str">
        <f>IF(OR(G52&gt;=0.3,G52&lt;=-0.3),"超过30%","")</f>
        <v/>
      </c>
      <c r="I52" s="698">
        <f>IF(I47&lt;I48,I48/I47-1,I47/I48-1)</f>
        <v>1.4341230223898771E-2</v>
      </c>
      <c r="J52" s="699" t="str">
        <f>IF(OR(I52&gt;=0.3,I52&lt;=-0.3),"超过30%","")</f>
        <v/>
      </c>
      <c r="K52" s="2178"/>
      <c r="L52" s="2174"/>
      <c r="M52" s="2173"/>
      <c r="N52" s="2173"/>
      <c r="O52" s="2173"/>
    </row>
    <row r="53" spans="1:29" ht="13.5" customHeight="1">
      <c r="A53" s="2173"/>
      <c r="B53" s="2173"/>
      <c r="C53" s="696" t="s">
        <v>917</v>
      </c>
      <c r="D53" s="700"/>
      <c r="E53" s="698">
        <f>IF(E48&lt;G48,G48/E48-1,E48/G48-1)</f>
        <v>4.755800959705514E-2</v>
      </c>
      <c r="F53" s="699" t="str">
        <f>IF(OR(E53&gt;=0.2,E53&lt;=-0.2),"超过20%","")</f>
        <v/>
      </c>
      <c r="G53" s="698">
        <f>IF(G48&lt;I48,I48/G48-1,G48/I48-1)</f>
        <v>1.0665220535068798E-2</v>
      </c>
      <c r="H53" s="699" t="str">
        <f>IF(OR(G53&gt;=0.2,G53&lt;=-0.2),"超过20%","")</f>
        <v/>
      </c>
      <c r="I53" s="698">
        <f>IF(I48&lt;E48,E48/I48-1,I48/E48-1)</f>
        <v>3.650347148826838E-2</v>
      </c>
      <c r="J53" s="699" t="str">
        <f>IF(OR(I53&gt;=0.2,I53&lt;=-0.2),"超过20%","")</f>
        <v/>
      </c>
      <c r="K53" s="2178"/>
      <c r="L53" s="2174"/>
      <c r="M53" s="2173"/>
      <c r="N53" s="2173"/>
      <c r="O53" s="2173"/>
    </row>
    <row r="54" spans="1:29" s="66" customFormat="1" ht="13.5" customHeight="1">
      <c r="A54" s="2175"/>
      <c r="B54" s="2175"/>
      <c r="C54" s="696" t="s">
        <v>918</v>
      </c>
      <c r="D54" s="700"/>
      <c r="E54" s="698">
        <f>IF(E47&lt;G47,G47/E47-1,E47/G47-1)</f>
        <v>0.13003149551794557</v>
      </c>
      <c r="F54" s="699" t="str">
        <f>IF(OR(E54&gt;=0.3,E54&lt;=-0.3),"超过30%","")</f>
        <v/>
      </c>
      <c r="G54" s="698">
        <f>IF(G47&lt;I47,I47/G47-1,G47/I47-1)</f>
        <v>7.9552140656906412E-2</v>
      </c>
      <c r="H54" s="699" t="str">
        <f>IF(OR(G54&gt;=0.3,G54&lt;=-0.3),"超过30%","")</f>
        <v/>
      </c>
      <c r="I54" s="698">
        <f>IF(I47&lt;E47,E47/I47-1,I47/E47-1)</f>
        <v>4.6759533847362311E-2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100</v>
      </c>
      <c r="E59" s="711">
        <v>100</v>
      </c>
      <c r="F59" s="711">
        <v>100.5</v>
      </c>
      <c r="G59" s="711">
        <v>101</v>
      </c>
      <c r="H59" s="711">
        <v>100.5</v>
      </c>
      <c r="I59" s="711">
        <v>100</v>
      </c>
      <c r="J59" s="711">
        <v>98</v>
      </c>
      <c r="K59" s="711">
        <v>98</v>
      </c>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919</v>
      </c>
      <c r="D65" s="740" t="s">
        <v>920</v>
      </c>
      <c r="E65" s="740" t="s">
        <v>921</v>
      </c>
      <c r="F65" s="740" t="s">
        <v>922</v>
      </c>
      <c r="G65" s="740" t="s">
        <v>923</v>
      </c>
      <c r="H65" s="740" t="s">
        <v>924</v>
      </c>
      <c r="I65" s="740" t="s">
        <v>925</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 thickTop="1">
      <c r="A67" s="125"/>
      <c r="B67" s="919"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2</v>
      </c>
      <c r="D68" s="750">
        <v>3</v>
      </c>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926</v>
      </c>
      <c r="D76" s="775" t="s">
        <v>927</v>
      </c>
      <c r="E76" s="775" t="s">
        <v>928</v>
      </c>
      <c r="F76" s="775" t="s">
        <v>929</v>
      </c>
      <c r="G76" s="775" t="s">
        <v>930</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926</v>
      </c>
      <c r="D78" s="780" t="s">
        <v>927</v>
      </c>
      <c r="E78" s="780" t="s">
        <v>928</v>
      </c>
      <c r="F78" s="780" t="s">
        <v>929</v>
      </c>
      <c r="G78" s="780" t="s">
        <v>930</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2541</v>
      </c>
      <c r="C80" s="780" t="s">
        <v>926</v>
      </c>
      <c r="D80" s="780" t="s">
        <v>927</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2542</v>
      </c>
      <c r="C82" s="129" t="s">
        <v>2545</v>
      </c>
      <c r="D82" s="129" t="s">
        <v>2546</v>
      </c>
      <c r="E82" s="129" t="s">
        <v>2547</v>
      </c>
      <c r="F82" s="129" t="s">
        <v>2548</v>
      </c>
      <c r="G82" s="129" t="s">
        <v>2549</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2195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2985</v>
      </c>
      <c r="D88" s="86" t="s">
        <v>2950</v>
      </c>
      <c r="E88" s="86" t="s">
        <v>2951</v>
      </c>
      <c r="F88" s="1181" t="s">
        <v>2952</v>
      </c>
      <c r="G88" s="86" t="s">
        <v>2948</v>
      </c>
      <c r="H88" s="86" t="s">
        <v>2949</v>
      </c>
      <c r="I88" s="86"/>
      <c r="J88" s="86"/>
      <c r="K88" s="86"/>
      <c r="L88" s="86"/>
      <c r="M88" s="1180"/>
      <c r="N88" s="1183"/>
      <c r="O88" s="1183"/>
      <c r="P88" s="1174"/>
      <c r="Q88" s="68"/>
    </row>
    <row r="89" spans="1:17" s="11" customFormat="1" ht="15" thickBot="1">
      <c r="A89" s="935"/>
      <c r="B89" s="918"/>
      <c r="C89" s="784">
        <v>100</v>
      </c>
      <c r="D89" s="745">
        <f t="shared" ref="D89:M89" si="21">C89-$K26</f>
        <v>99.5</v>
      </c>
      <c r="E89" s="745">
        <f t="shared" si="21"/>
        <v>99</v>
      </c>
      <c r="F89" s="745">
        <f t="shared" si="21"/>
        <v>98.5</v>
      </c>
      <c r="G89" s="745">
        <f t="shared" si="21"/>
        <v>98</v>
      </c>
      <c r="H89" s="745">
        <f t="shared" si="21"/>
        <v>97.5</v>
      </c>
      <c r="I89" s="745">
        <f t="shared" si="21"/>
        <v>97</v>
      </c>
      <c r="J89" s="745">
        <f t="shared" si="21"/>
        <v>96.5</v>
      </c>
      <c r="K89" s="745">
        <f t="shared" si="21"/>
        <v>96</v>
      </c>
      <c r="L89" s="745">
        <f t="shared" si="21"/>
        <v>95.5</v>
      </c>
      <c r="M89" s="745">
        <f t="shared" si="21"/>
        <v>95</v>
      </c>
      <c r="N89" s="1185"/>
      <c r="O89" s="1185"/>
      <c r="P89" s="1174"/>
      <c r="Q89" s="68"/>
    </row>
    <row r="90" spans="1:17" s="898" customFormat="1" ht="14.25" thickTop="1">
      <c r="A90" s="921"/>
      <c r="B90" s="917" t="str">
        <f>B27</f>
        <v>道路级别</v>
      </c>
      <c r="C90" s="86" t="s">
        <v>2986</v>
      </c>
      <c r="D90" s="86"/>
      <c r="E90" s="86"/>
      <c r="F90" s="86"/>
      <c r="G90" s="86"/>
      <c r="H90" s="922"/>
      <c r="I90" s="922"/>
      <c r="J90" s="922"/>
      <c r="K90" s="922"/>
      <c r="L90" s="923"/>
      <c r="M90" s="924"/>
      <c r="N90" s="1186"/>
      <c r="O90" s="1186"/>
      <c r="P90" s="1175"/>
      <c r="Q90" s="926"/>
    </row>
    <row r="91" spans="1:17" s="898" customFormat="1" ht="15" thickBot="1">
      <c r="A91" s="921"/>
      <c r="B91" s="918"/>
      <c r="C91" s="762">
        <v>100</v>
      </c>
      <c r="D91" s="762"/>
      <c r="E91" s="762"/>
      <c r="F91" s="762"/>
      <c r="G91" s="762"/>
      <c r="H91" s="764"/>
      <c r="I91" s="764"/>
      <c r="J91" s="764"/>
      <c r="K91" s="764"/>
      <c r="L91" s="764"/>
      <c r="M91" s="765"/>
      <c r="N91" s="1186"/>
      <c r="O91" s="1186"/>
      <c r="P91" s="1175"/>
      <c r="Q91" s="926"/>
    </row>
    <row r="92" spans="1:17" ht="15" thickTop="1">
      <c r="A92" s="125"/>
      <c r="B92" s="917" t="str">
        <f>B28</f>
        <v>楼层</v>
      </c>
      <c r="C92" s="3135" t="s">
        <v>2982</v>
      </c>
      <c r="D92" s="3135" t="s">
        <v>3003</v>
      </c>
      <c r="E92" s="3135" t="s">
        <v>2999</v>
      </c>
      <c r="F92" s="3135" t="s">
        <v>2997</v>
      </c>
      <c r="G92" s="785"/>
      <c r="H92" s="785"/>
      <c r="I92" s="785"/>
      <c r="J92" s="785"/>
      <c r="K92" s="786"/>
      <c r="L92" s="787"/>
      <c r="M92" s="788"/>
      <c r="N92" s="1184"/>
      <c r="O92" s="1184"/>
      <c r="P92" s="1174"/>
      <c r="Q92" s="68"/>
    </row>
    <row r="93" spans="1:17" ht="15" thickBot="1">
      <c r="A93" s="125"/>
      <c r="B93" s="918"/>
      <c r="C93" s="762">
        <v>100</v>
      </c>
      <c r="D93" s="736">
        <v>102</v>
      </c>
      <c r="E93" s="736">
        <v>102</v>
      </c>
      <c r="F93" s="736">
        <v>101</v>
      </c>
      <c r="G93" s="736"/>
      <c r="H93" s="736"/>
      <c r="I93" s="736"/>
      <c r="J93" s="736"/>
      <c r="K93" s="736"/>
      <c r="L93" s="736"/>
      <c r="M93" s="737"/>
      <c r="N93" s="1185"/>
      <c r="O93" s="1185"/>
      <c r="P93" s="1174"/>
      <c r="Q93" s="68"/>
    </row>
    <row r="94" spans="1:17" ht="15" thickTop="1">
      <c r="A94" s="125"/>
      <c r="B94" s="917" t="str">
        <f>B29</f>
        <v>建成年代</v>
      </c>
      <c r="C94" s="755">
        <v>1994</v>
      </c>
      <c r="D94" s="755">
        <v>1996</v>
      </c>
      <c r="E94" s="755">
        <v>1984</v>
      </c>
      <c r="F94" s="755">
        <v>1995</v>
      </c>
      <c r="G94" s="785"/>
      <c r="H94" s="785"/>
      <c r="I94" s="785"/>
      <c r="J94" s="785"/>
      <c r="K94" s="786"/>
      <c r="L94" s="787"/>
      <c r="M94" s="788"/>
      <c r="N94" s="1184"/>
      <c r="O94" s="1184"/>
      <c r="P94" s="1174"/>
      <c r="Q94" s="68"/>
    </row>
    <row r="95" spans="1:17" ht="15" thickBot="1">
      <c r="A95" s="125"/>
      <c r="B95" s="918"/>
      <c r="C95" s="762">
        <v>100</v>
      </c>
      <c r="D95" s="762">
        <v>101</v>
      </c>
      <c r="E95" s="762">
        <v>95</v>
      </c>
      <c r="F95" s="762">
        <v>100.5</v>
      </c>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2988</v>
      </c>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45(含)-60</v>
      </c>
      <c r="D102" s="780" t="str">
        <f t="shared" ref="D102:L102" si="23">D103&amp;"(含)"&amp;"-"&amp;E103</f>
        <v>60(含)-90</v>
      </c>
      <c r="E102" s="780" t="str">
        <f t="shared" si="23"/>
        <v>90(含)-120</v>
      </c>
      <c r="F102" s="780" t="str">
        <f t="shared" si="23"/>
        <v>120(含)-150</v>
      </c>
      <c r="G102" s="780" t="str">
        <f t="shared" si="23"/>
        <v>150(含)-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45</v>
      </c>
      <c r="D103" s="797">
        <v>60</v>
      </c>
      <c r="E103" s="797">
        <v>90</v>
      </c>
      <c r="F103" s="797">
        <v>120</v>
      </c>
      <c r="G103" s="797">
        <v>150</v>
      </c>
      <c r="H103" s="797"/>
      <c r="I103" s="797"/>
      <c r="J103" s="798"/>
      <c r="K103" s="798"/>
      <c r="L103" s="799"/>
      <c r="M103" s="800"/>
      <c r="N103" s="1186"/>
      <c r="O103" s="1186"/>
      <c r="P103" s="1175"/>
      <c r="Q103" s="926"/>
    </row>
    <row r="104" spans="1:17" s="898" customFormat="1" ht="15" thickBot="1">
      <c r="A104" s="921"/>
      <c r="B104" s="918"/>
      <c r="C104" s="762">
        <v>106</v>
      </c>
      <c r="D104" s="736">
        <v>104</v>
      </c>
      <c r="E104" s="736">
        <v>102</v>
      </c>
      <c r="F104" s="736">
        <v>100</v>
      </c>
      <c r="G104" s="736">
        <v>98</v>
      </c>
      <c r="H104" s="736"/>
      <c r="I104" s="736"/>
      <c r="J104" s="736"/>
      <c r="K104" s="736"/>
      <c r="L104" s="736"/>
      <c r="M104" s="736"/>
      <c r="N104" s="1185"/>
      <c r="O104" s="1185"/>
      <c r="P104" s="1175"/>
      <c r="Q104" s="926"/>
    </row>
    <row r="105" spans="1:17" ht="14.25" thickTop="1">
      <c r="A105" s="127"/>
      <c r="B105" s="917" t="s">
        <v>90</v>
      </c>
      <c r="C105" s="86" t="s">
        <v>2990</v>
      </c>
      <c r="D105" s="86" t="s">
        <v>2991</v>
      </c>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t="s">
        <v>2994</v>
      </c>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2954</v>
      </c>
      <c r="D109" s="86" t="s">
        <v>2992</v>
      </c>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t="s">
        <v>2956</v>
      </c>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2544</v>
      </c>
      <c r="C116" s="86" t="s">
        <v>2957</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2959</v>
      </c>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2954</v>
      </c>
      <c r="D122" s="86" t="s">
        <v>2962</v>
      </c>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2197</v>
      </c>
    </row>
    <row r="137" spans="1:17" ht="14.25">
      <c r="B137" s="2182" t="s">
        <v>2178</v>
      </c>
      <c r="C137" s="2183"/>
      <c r="D137" s="2183"/>
      <c r="E137" s="2183"/>
      <c r="F137" s="2183"/>
      <c r="G137" s="2184"/>
      <c r="H137" s="2185"/>
      <c r="I137" s="2186" t="s">
        <v>2179</v>
      </c>
      <c r="J137" s="2183"/>
      <c r="K137" s="2187"/>
    </row>
    <row r="138" spans="1:17" ht="14.25">
      <c r="B138" s="1937"/>
      <c r="C138" s="1612" t="s">
        <v>2180</v>
      </c>
      <c r="D138" s="1612" t="s">
        <v>2181</v>
      </c>
      <c r="E138" s="1941" t="s">
        <v>2182</v>
      </c>
      <c r="F138" s="1942" t="s">
        <v>2183</v>
      </c>
      <c r="G138" s="1612" t="s">
        <v>2181</v>
      </c>
      <c r="H138" s="1943" t="s">
        <v>2182</v>
      </c>
      <c r="I138" s="1944"/>
      <c r="J138" s="1612" t="s">
        <v>2184</v>
      </c>
      <c r="K138" s="1943" t="s">
        <v>2185</v>
      </c>
    </row>
    <row r="139" spans="1:17" ht="15">
      <c r="B139" s="1938">
        <v>6</v>
      </c>
      <c r="C139" s="1958">
        <v>96</v>
      </c>
      <c r="D139" s="1959" t="s">
        <v>2186</v>
      </c>
      <c r="E139" s="1960">
        <v>100</v>
      </c>
      <c r="F139" s="1961">
        <v>102.5</v>
      </c>
      <c r="G139" s="1959" t="s">
        <v>2186</v>
      </c>
      <c r="H139" s="1962">
        <v>105</v>
      </c>
      <c r="I139" s="1945" t="s">
        <v>2187</v>
      </c>
      <c r="J139" s="1958">
        <v>20</v>
      </c>
      <c r="K139" s="1948">
        <f>C145/(J139-2)</f>
        <v>4.0555555555555553E-3</v>
      </c>
    </row>
    <row r="140" spans="1:17" ht="15">
      <c r="B140" s="1939">
        <v>5</v>
      </c>
      <c r="C140" s="1963">
        <v>100</v>
      </c>
      <c r="D140" s="1964"/>
      <c r="E140" s="1965"/>
      <c r="F140" s="1966">
        <v>102</v>
      </c>
      <c r="G140" s="1964"/>
      <c r="H140" s="1967"/>
      <c r="I140" s="1946" t="s">
        <v>2188</v>
      </c>
      <c r="J140" s="434">
        <f>ROUNDUP((J139-1)/2,0)</f>
        <v>10</v>
      </c>
      <c r="K140" s="1949">
        <v>100</v>
      </c>
    </row>
    <row r="141" spans="1:17" ht="15">
      <c r="B141" s="1939">
        <v>4</v>
      </c>
      <c r="C141" s="1963">
        <v>102</v>
      </c>
      <c r="D141" s="1964"/>
      <c r="E141" s="1965"/>
      <c r="F141" s="1966">
        <v>101.5</v>
      </c>
      <c r="G141" s="1964"/>
      <c r="H141" s="1967"/>
      <c r="I141" s="1946" t="s">
        <v>2189</v>
      </c>
      <c r="J141" s="434">
        <v>1</v>
      </c>
      <c r="K141" s="1950">
        <f>ROUND(100+(J141-J140)*K139*100,1)</f>
        <v>96.4</v>
      </c>
    </row>
    <row r="142" spans="1:17" ht="15">
      <c r="B142" s="1939">
        <v>3</v>
      </c>
      <c r="C142" s="1963">
        <v>103</v>
      </c>
      <c r="D142" s="1964"/>
      <c r="E142" s="1965"/>
      <c r="F142" s="1966">
        <v>101</v>
      </c>
      <c r="G142" s="1964"/>
      <c r="H142" s="1967"/>
      <c r="I142" s="1946" t="s">
        <v>2190</v>
      </c>
      <c r="J142" s="434">
        <f>J139</f>
        <v>20</v>
      </c>
      <c r="K142" s="1969">
        <v>95</v>
      </c>
    </row>
    <row r="143" spans="1:17" ht="15">
      <c r="B143" s="1939">
        <v>2</v>
      </c>
      <c r="C143" s="1963">
        <v>100</v>
      </c>
      <c r="D143" s="1964"/>
      <c r="E143" s="1965"/>
      <c r="F143" s="1966">
        <v>100.5</v>
      </c>
      <c r="G143" s="1964"/>
      <c r="H143" s="1967"/>
      <c r="I143" s="1946" t="s">
        <v>2191</v>
      </c>
      <c r="J143" s="1963">
        <v>15</v>
      </c>
      <c r="K143" s="1950">
        <f>ROUND(100+(J143-J140)*K139*100,1)</f>
        <v>102</v>
      </c>
    </row>
    <row r="144" spans="1:17" ht="15">
      <c r="B144" s="1939">
        <v>1</v>
      </c>
      <c r="C144" s="1963">
        <v>98</v>
      </c>
      <c r="D144" s="1022" t="s">
        <v>2192</v>
      </c>
      <c r="E144" s="1965">
        <v>102</v>
      </c>
      <c r="F144" s="1968">
        <v>100</v>
      </c>
      <c r="G144" s="1022" t="s">
        <v>2192</v>
      </c>
      <c r="H144" s="1967">
        <v>105</v>
      </c>
      <c r="I144" s="1946" t="s">
        <v>2191</v>
      </c>
      <c r="J144" s="1963">
        <v>18</v>
      </c>
      <c r="K144" s="1950">
        <f>ROUND(100+(J144-J140)*K139*100,1)</f>
        <v>103.2</v>
      </c>
    </row>
    <row r="145" spans="2:11" ht="15.75" thickBot="1">
      <c r="B145" s="1940" t="s">
        <v>2193</v>
      </c>
      <c r="C145" s="1952">
        <f>ROUND(MAX(C139:C144)/MIN(C139:C144)-1,3)</f>
        <v>7.2999999999999995E-2</v>
      </c>
      <c r="D145" s="1953"/>
      <c r="E145" s="1954"/>
      <c r="F145" s="1955" t="s">
        <v>2196</v>
      </c>
      <c r="G145" s="1956"/>
      <c r="H145" s="1957"/>
      <c r="I145" s="1947" t="s">
        <v>2191</v>
      </c>
      <c r="J145" s="1970">
        <v>8</v>
      </c>
      <c r="K145" s="1951">
        <f>ROUND(100+(J145-J140)*K139*100,1)</f>
        <v>99.2</v>
      </c>
    </row>
    <row r="147" spans="2:11">
      <c r="B147" s="1936" t="s">
        <v>2216</v>
      </c>
    </row>
    <row r="148" spans="2:11">
      <c r="B148" s="1936" t="s">
        <v>2217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1" zoomScale="95" zoomScaleNormal="95" workbookViewId="0">
      <selection sqref="A1:J52"/>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731</v>
      </c>
      <c r="B1" s="2323" t="s">
        <v>217</v>
      </c>
      <c r="C1" s="379"/>
      <c r="D1" s="379"/>
      <c r="E1" s="379"/>
      <c r="F1" s="379"/>
      <c r="G1" s="380"/>
    </row>
    <row r="2" spans="1:7" s="381" customFormat="1" ht="18" customHeight="1">
      <c r="A2" s="382" t="s">
        <v>732</v>
      </c>
      <c r="B2" s="383">
        <f ca="1">IF(D2="——",IF(C2="元",C52,ROUND(C52/10000,0)),IF(C2="元",C52,ROUND(C52/10000,0))-E2)</f>
        <v>3985330</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733</v>
      </c>
      <c r="B3" s="385">
        <f ca="1">ROUND(C52/IF(B1="仅计算典型户型",'数据-取费表'!E5,'数据-取费表'!B5),0)</f>
        <v>70140</v>
      </c>
      <c r="C3" s="32" t="s">
        <v>772</v>
      </c>
      <c r="D3" s="380"/>
      <c r="E3" s="380"/>
      <c r="F3" s="380"/>
      <c r="G3" s="380"/>
    </row>
    <row r="4" spans="1:7" s="389" customFormat="1" ht="15.75">
      <c r="A4" s="386" t="s">
        <v>734</v>
      </c>
      <c r="B4" s="387"/>
      <c r="C4" s="387"/>
      <c r="D4" s="387"/>
      <c r="E4" s="387"/>
      <c r="F4" s="387"/>
      <c r="G4" s="388"/>
    </row>
    <row r="5" spans="1:7" s="392" customFormat="1" ht="13.5" customHeight="1">
      <c r="A5" s="421" t="s">
        <v>2247</v>
      </c>
      <c r="B5" s="390" t="s">
        <v>735</v>
      </c>
      <c r="C5" s="412">
        <f ca="1">C6+C7+C8</f>
        <v>2698724</v>
      </c>
      <c r="D5" s="412" t="s">
        <v>736</v>
      </c>
      <c r="E5" s="2640" t="s">
        <v>737</v>
      </c>
      <c r="F5" s="2640" t="s">
        <v>738</v>
      </c>
      <c r="G5" s="391"/>
    </row>
    <row r="6" spans="1:7" s="392" customFormat="1" ht="13.5" customHeight="1">
      <c r="A6" s="393" t="s">
        <v>2258</v>
      </c>
      <c r="B6" s="394" t="s">
        <v>739</v>
      </c>
      <c r="C6" s="2639">
        <f ca="1">基准地价修正!E29</f>
        <v>2610027</v>
      </c>
      <c r="D6" s="2641"/>
      <c r="E6" s="2642"/>
      <c r="F6" s="2642"/>
      <c r="G6" s="396"/>
    </row>
    <row r="7" spans="1:7" s="392" customFormat="1" ht="13.5" customHeight="1">
      <c r="A7" s="393" t="s">
        <v>2259</v>
      </c>
      <c r="B7" s="394" t="s">
        <v>361</v>
      </c>
      <c r="C7" s="416">
        <f ca="1">ROUND(C6*F7,0)</f>
        <v>79606</v>
      </c>
      <c r="D7" s="416"/>
      <c r="E7" s="2642"/>
      <c r="F7" s="2643">
        <f>'数据-取费表'!E36+'数据-取费表'!E37</f>
        <v>3.0499999999999999E-2</v>
      </c>
      <c r="G7" s="396"/>
    </row>
    <row r="8" spans="1:7" s="397" customFormat="1">
      <c r="A8" s="393" t="s">
        <v>2260</v>
      </c>
      <c r="B8" s="394" t="s">
        <v>740</v>
      </c>
      <c r="C8" s="416">
        <f>IF(G8="已包含在土地购买价格中","0",'数据-取费表'!E13)</f>
        <v>9091</v>
      </c>
      <c r="D8" s="2644"/>
      <c r="E8" s="416"/>
      <c r="F8" s="2643"/>
      <c r="G8" s="31" t="s">
        <v>2970</v>
      </c>
    </row>
    <row r="9" spans="1:7" s="392" customFormat="1" ht="13.5" customHeight="1">
      <c r="A9" s="2286" t="s">
        <v>2263</v>
      </c>
      <c r="B9" s="398" t="s">
        <v>741</v>
      </c>
      <c r="C9" s="2645">
        <f>ROUND(D9*E9,0)</f>
        <v>9091</v>
      </c>
      <c r="D9" s="2646">
        <f>IF('数据-取费表'!B10="住宅",IF(B1="仅计算典型户型",'数据-取费表'!E5,'数据-取费表'!B5),0)</f>
        <v>56.82</v>
      </c>
      <c r="E9" s="2645">
        <f>'数据-取费表'!E11</f>
        <v>160</v>
      </c>
      <c r="F9" s="2643"/>
      <c r="G9" s="399"/>
    </row>
    <row r="10" spans="1:7" s="392" customFormat="1" ht="13.5" customHeight="1">
      <c r="A10" s="2286" t="s">
        <v>2264</v>
      </c>
      <c r="B10" s="398" t="s">
        <v>742</v>
      </c>
      <c r="C10" s="2645">
        <f>ROUND(D10*E10,0)</f>
        <v>0</v>
      </c>
      <c r="D10" s="2646">
        <f>IF('数据-取费表'!B10&lt;&gt;"住宅",IF(B1="仅计算典型户型",'数据-取费表'!E5,'数据-取费表'!B5),0)</f>
        <v>0</v>
      </c>
      <c r="E10" s="2645">
        <f>'数据-取费表'!E12</f>
        <v>200</v>
      </c>
      <c r="F10" s="2643"/>
      <c r="G10" s="399"/>
    </row>
    <row r="11" spans="1:7" s="392" customFormat="1" ht="13.5" hidden="1" customHeight="1">
      <c r="A11" s="393" t="s">
        <v>27</v>
      </c>
      <c r="B11" s="394" t="s">
        <v>743</v>
      </c>
      <c r="C11" s="412"/>
      <c r="D11" s="416"/>
      <c r="E11" s="2642"/>
      <c r="F11" s="2642"/>
      <c r="G11" s="396"/>
    </row>
    <row r="12" spans="1:7" s="392" customFormat="1" ht="13.5" hidden="1" customHeight="1">
      <c r="A12" s="393" t="s">
        <v>28</v>
      </c>
      <c r="B12" s="394" t="s">
        <v>744</v>
      </c>
      <c r="C12" s="412">
        <v>0</v>
      </c>
      <c r="D12" s="416"/>
      <c r="E12" s="2647"/>
      <c r="F12" s="2643">
        <v>3.0499999999999999E-2</v>
      </c>
      <c r="G12" s="396"/>
    </row>
    <row r="13" spans="1:7" s="392" customFormat="1" ht="13.5" hidden="1" customHeight="1">
      <c r="A13" s="393" t="s">
        <v>29</v>
      </c>
      <c r="B13" s="394" t="s">
        <v>745</v>
      </c>
      <c r="C13" s="412"/>
      <c r="D13" s="416"/>
      <c r="E13" s="2642"/>
      <c r="F13" s="2642"/>
      <c r="G13" s="396"/>
    </row>
    <row r="14" spans="1:7" s="392" customFormat="1" ht="13.5" hidden="1" customHeight="1">
      <c r="A14" s="393" t="s">
        <v>30</v>
      </c>
      <c r="B14" s="394" t="s">
        <v>740</v>
      </c>
      <c r="C14" s="412"/>
      <c r="D14" s="416"/>
      <c r="E14" s="2642"/>
      <c r="F14" s="2642"/>
      <c r="G14" s="396" t="s">
        <v>746</v>
      </c>
    </row>
    <row r="15" spans="1:7" s="392" customFormat="1" ht="13.5" hidden="1" customHeight="1">
      <c r="A15" s="393" t="s">
        <v>31</v>
      </c>
      <c r="B15" s="394" t="s">
        <v>747</v>
      </c>
      <c r="C15" s="416"/>
      <c r="D15" s="416"/>
      <c r="E15" s="2642"/>
      <c r="F15" s="2642"/>
      <c r="G15" s="396" t="s">
        <v>748</v>
      </c>
    </row>
    <row r="16" spans="1:7" s="392" customFormat="1" ht="13.5" hidden="1" customHeight="1">
      <c r="A16" s="393" t="s">
        <v>32</v>
      </c>
      <c r="B16" s="394" t="s">
        <v>740</v>
      </c>
      <c r="C16" s="416"/>
      <c r="D16" s="416"/>
      <c r="E16" s="2642"/>
      <c r="F16" s="2642"/>
      <c r="G16" s="396"/>
    </row>
    <row r="17" spans="1:7" s="392" customFormat="1" ht="13.5" hidden="1" customHeight="1">
      <c r="A17" s="393" t="s">
        <v>33</v>
      </c>
      <c r="B17" s="394" t="s">
        <v>749</v>
      </c>
      <c r="C17" s="2648"/>
      <c r="D17" s="2648"/>
      <c r="E17" s="2648"/>
      <c r="F17" s="2648"/>
      <c r="G17" s="396" t="s">
        <v>748</v>
      </c>
    </row>
    <row r="18" spans="1:7" s="392" customFormat="1" ht="13.5" hidden="1" customHeight="1">
      <c r="A18" s="393" t="s">
        <v>34</v>
      </c>
      <c r="B18" s="394" t="s">
        <v>750</v>
      </c>
      <c r="C18" s="416">
        <v>0</v>
      </c>
      <c r="D18" s="416"/>
      <c r="E18" s="2642"/>
      <c r="F18" s="2643">
        <v>3.0499999999999999E-2</v>
      </c>
      <c r="G18" s="396" t="s">
        <v>751</v>
      </c>
    </row>
    <row r="19" spans="1:7" s="397" customFormat="1" ht="13.5" customHeight="1">
      <c r="A19" s="421" t="s">
        <v>2248</v>
      </c>
      <c r="B19" s="390" t="s">
        <v>1851</v>
      </c>
      <c r="C19" s="412" t="str">
        <f>IF(G19="已包含在土地取得成本中","0",ROUND(D19*E19,0))</f>
        <v>0</v>
      </c>
      <c r="D19" s="2649">
        <f>IF(B1="仅计算典型户型",'数据-取费表'!E5,'数据-取费表'!B5)</f>
        <v>56.82</v>
      </c>
      <c r="E19" s="412">
        <f>'数据-取费表'!E15</f>
        <v>200</v>
      </c>
      <c r="F19" s="413"/>
      <c r="G19" s="31" t="s">
        <v>2971</v>
      </c>
    </row>
    <row r="20" spans="1:7" s="392" customFormat="1" ht="13.5" customHeight="1">
      <c r="A20" s="421" t="s">
        <v>2249</v>
      </c>
      <c r="B20" s="390" t="s">
        <v>752</v>
      </c>
      <c r="C20" s="400">
        <f ca="1">ROUND((C5+C19)*F20,0)</f>
        <v>53974</v>
      </c>
      <c r="D20" s="400"/>
      <c r="E20" s="400"/>
      <c r="F20" s="404">
        <f>'数据-取费表'!E25</f>
        <v>0.02</v>
      </c>
      <c r="G20" s="2438" t="s">
        <v>2433</v>
      </c>
    </row>
    <row r="21" spans="1:7" s="392" customFormat="1" ht="13.5" customHeight="1">
      <c r="A21" s="421" t="s">
        <v>2250</v>
      </c>
      <c r="B21" s="390" t="s">
        <v>753</v>
      </c>
      <c r="C21" s="402">
        <f>F21</f>
        <v>0.02</v>
      </c>
      <c r="D21" s="403" t="s">
        <v>769</v>
      </c>
      <c r="E21" s="400"/>
      <c r="F21" s="404">
        <f>'数据-取费表'!E26</f>
        <v>0.02</v>
      </c>
      <c r="G21" s="401" t="s">
        <v>754</v>
      </c>
    </row>
    <row r="22" spans="1:7" s="392" customFormat="1" ht="13.5" customHeight="1">
      <c r="A22" s="421" t="s">
        <v>2251</v>
      </c>
      <c r="B22" s="390" t="s">
        <v>755</v>
      </c>
      <c r="C22" s="422">
        <f ca="1">ROUND(SUM(C23:C25),0)</f>
        <v>118568</v>
      </c>
      <c r="D22" s="402">
        <f ca="1">C26</f>
        <v>4.0000000000000002E-4</v>
      </c>
      <c r="E22" s="403" t="s">
        <v>769</v>
      </c>
      <c r="F22" s="404">
        <f ca="1">'数据-取费表'!E27</f>
        <v>4.3499999999999997E-2</v>
      </c>
      <c r="G22" s="2438" t="str">
        <f>IF('数据-取费表'!B23&lt;=1,"单利计息。","复利计息。")</f>
        <v>单利计息。</v>
      </c>
    </row>
    <row r="23" spans="1:7" s="392" customFormat="1" ht="13.5" customHeight="1">
      <c r="A23" s="393" t="s">
        <v>2258</v>
      </c>
      <c r="B23" s="394" t="s">
        <v>2429</v>
      </c>
      <c r="C23" s="2529">
        <f ca="1">ROUND(IF('数据-取费表'!B23&lt;=1,C5*F22*'数据-取费表'!B24,C5*(POWER((1+F22),'数据-取费表'!B24)-1)),0)</f>
        <v>117394</v>
      </c>
      <c r="D23" s="405"/>
      <c r="E23" s="405"/>
      <c r="F23" s="406"/>
      <c r="G23" s="407" t="s">
        <v>756</v>
      </c>
    </row>
    <row r="24" spans="1:7" s="392" customFormat="1" ht="13.5" customHeight="1">
      <c r="A24" s="393" t="s">
        <v>2259</v>
      </c>
      <c r="B24" s="394" t="s">
        <v>2430</v>
      </c>
      <c r="C24" s="2529">
        <f ca="1">ROUND(IF('数据-取费表'!B23&lt;=1,C19*F22*('数据-取费表'!B20/2+'数据-取费表'!B22),C19*(POWER((1+F22),('数据-取费表'!B20/2+'数据-取费表'!B22))-1)),0)</f>
        <v>0</v>
      </c>
      <c r="D24" s="405"/>
      <c r="E24" s="405"/>
      <c r="F24" s="406"/>
      <c r="G24" s="407" t="s">
        <v>757</v>
      </c>
    </row>
    <row r="25" spans="1:7" s="392" customFormat="1" ht="24">
      <c r="A25" s="393" t="s">
        <v>2260</v>
      </c>
      <c r="B25" s="394" t="s">
        <v>2431</v>
      </c>
      <c r="C25" s="2529">
        <f ca="1">ROUND(IF('数据-取费表'!B23&lt;=1,C20*F22*'数据-取费表'!B24/2,C20*(POWER((1+F22),'数据-取费表'!B24/2)-1)),0)</f>
        <v>1174</v>
      </c>
      <c r="D25" s="405"/>
      <c r="E25" s="408"/>
      <c r="F25" s="406"/>
      <c r="G25" s="409" t="s">
        <v>758</v>
      </c>
    </row>
    <row r="26" spans="1:7" s="392" customFormat="1">
      <c r="A26" s="393" t="s">
        <v>2261</v>
      </c>
      <c r="B26" s="394" t="s">
        <v>2432</v>
      </c>
      <c r="C26" s="405">
        <f ca="1">ROUND(IF('数据-取费表'!B23&lt;=1,F21*F22*'数据-取费表'!B24/2,F21*(POWER((1+F22),'数据-取费表'!B24/2)-1)),4)</f>
        <v>4.0000000000000002E-4</v>
      </c>
      <c r="D26" s="405"/>
      <c r="E26" s="408"/>
      <c r="F26" s="406"/>
      <c r="G26" s="410"/>
    </row>
    <row r="27" spans="1:7" s="392" customFormat="1" ht="25.5">
      <c r="A27" s="2287" t="s">
        <v>2252</v>
      </c>
      <c r="B27" s="411" t="s">
        <v>759</v>
      </c>
      <c r="C27" s="412">
        <f ca="1">C28</f>
        <v>688175</v>
      </c>
      <c r="D27" s="402">
        <f>C29</f>
        <v>5.0000000000000001E-3</v>
      </c>
      <c r="E27" s="403" t="s">
        <v>769</v>
      </c>
      <c r="F27" s="413">
        <f>'数据-取费表'!E28</f>
        <v>0.25</v>
      </c>
      <c r="G27" s="414" t="s">
        <v>2434</v>
      </c>
    </row>
    <row r="28" spans="1:7" s="392" customFormat="1" ht="13.5" customHeight="1">
      <c r="A28" s="393" t="s">
        <v>2258</v>
      </c>
      <c r="B28" s="415" t="s">
        <v>2436</v>
      </c>
      <c r="C28" s="416">
        <f ca="1">ROUND((C5+C19+C20)*F27*'数据-取费表'!B22/'数据-取费表'!B21,0)</f>
        <v>688175</v>
      </c>
      <c r="D28" s="402"/>
      <c r="E28" s="403"/>
      <c r="F28" s="413"/>
      <c r="G28" s="414"/>
    </row>
    <row r="29" spans="1:7" s="392" customFormat="1" ht="13.5" customHeight="1">
      <c r="A29" s="393" t="s">
        <v>2259</v>
      </c>
      <c r="B29" s="415" t="s">
        <v>2437</v>
      </c>
      <c r="C29" s="405">
        <f>ROUND(C21*F27*'数据-取费表'!B22/'数据-取费表'!B21,4)</f>
        <v>5.0000000000000001E-3</v>
      </c>
      <c r="D29" s="402"/>
      <c r="E29" s="403"/>
      <c r="F29" s="413"/>
      <c r="G29" s="414"/>
    </row>
    <row r="30" spans="1:7" s="392" customFormat="1" ht="13.5" customHeight="1">
      <c r="A30" s="2287" t="s">
        <v>2253</v>
      </c>
      <c r="B30" s="390" t="s">
        <v>362</v>
      </c>
      <c r="C30" s="402">
        <f>ROUND(F30/(1+'数据-取费表'!F30),4)</f>
        <v>5.33E-2</v>
      </c>
      <c r="D30" s="403" t="s">
        <v>2807</v>
      </c>
      <c r="E30" s="408"/>
      <c r="F30" s="404">
        <f>'数据-取费表'!E29</f>
        <v>5.6000000000000001E-2</v>
      </c>
      <c r="G30" s="2438" t="s">
        <v>2808</v>
      </c>
    </row>
    <row r="31" spans="1:7" ht="16.5" customHeight="1">
      <c r="A31" s="421">
        <v>1</v>
      </c>
      <c r="B31" s="390" t="s">
        <v>770</v>
      </c>
      <c r="C31" s="412">
        <f ca="1">ROUND((C5+C19+C20+C22+C27)/(1-C21-D22-D27-C30),0)</f>
        <v>3863498</v>
      </c>
      <c r="D31" s="2649"/>
      <c r="E31" s="412"/>
      <c r="F31" s="2650"/>
      <c r="G31" s="2438" t="s">
        <v>2435</v>
      </c>
    </row>
    <row r="32" spans="1:7" s="389" customFormat="1" ht="15.75">
      <c r="A32" s="418" t="s">
        <v>760</v>
      </c>
      <c r="B32" s="419"/>
      <c r="C32" s="2651"/>
      <c r="D32" s="2651"/>
      <c r="E32" s="2651"/>
      <c r="F32" s="2651"/>
      <c r="G32" s="420"/>
    </row>
    <row r="33" spans="1:7" s="392" customFormat="1" ht="13.5" customHeight="1">
      <c r="A33" s="421" t="s">
        <v>2254</v>
      </c>
      <c r="B33" s="390" t="s">
        <v>761</v>
      </c>
      <c r="C33" s="422">
        <f>SUM(C34:C38)</f>
        <v>144215</v>
      </c>
      <c r="D33" s="400"/>
      <c r="E33" s="2640"/>
      <c r="F33" s="408"/>
      <c r="G33" s="401"/>
    </row>
    <row r="34" spans="1:7" s="423" customFormat="1" ht="13.5" customHeight="1">
      <c r="A34" s="393" t="s">
        <v>2258</v>
      </c>
      <c r="B34" s="394" t="s">
        <v>363</v>
      </c>
      <c r="C34" s="416">
        <f>IF(B1="仅计算典型户型",'数据-取费表'!F18,'数据-取费表'!E18)</f>
        <v>117049</v>
      </c>
      <c r="D34" s="2641"/>
      <c r="E34" s="416"/>
      <c r="F34" s="2652" t="str">
        <f>IF('数据-取费表'!B25=0,"",'数据-取费表'!E20)</f>
        <v/>
      </c>
      <c r="G34" s="396"/>
    </row>
    <row r="35" spans="1:7" ht="13.5" customHeight="1">
      <c r="A35" s="393" t="s">
        <v>2259</v>
      </c>
      <c r="B35" s="394" t="s">
        <v>364</v>
      </c>
      <c r="C35" s="416">
        <f>ROUND(C34*F35,0)</f>
        <v>4682</v>
      </c>
      <c r="D35" s="416"/>
      <c r="E35" s="416"/>
      <c r="F35" s="2653">
        <f>'数据-取费表'!E21</f>
        <v>0.04</v>
      </c>
      <c r="G35" s="396" t="s">
        <v>762</v>
      </c>
    </row>
    <row r="36" spans="1:7" ht="24">
      <c r="A36" s="393" t="s">
        <v>2260</v>
      </c>
      <c r="B36" s="394" t="s">
        <v>365</v>
      </c>
      <c r="C36" s="416">
        <f>ROUND(IF('数据-取费表'!B10="住宅",C34*F36,0),0)</f>
        <v>9364</v>
      </c>
      <c r="D36" s="416"/>
      <c r="E36" s="416"/>
      <c r="F36" s="2653">
        <f>'数据-取费表'!E22</f>
        <v>0.08</v>
      </c>
      <c r="G36" s="424" t="s">
        <v>366</v>
      </c>
    </row>
    <row r="37" spans="1:7" s="423" customFormat="1" ht="13.5" customHeight="1">
      <c r="A37" s="393" t="s">
        <v>2261</v>
      </c>
      <c r="B37" s="394" t="s">
        <v>763</v>
      </c>
      <c r="C37" s="416">
        <f>ROUND(E37*D37,0)</f>
        <v>11364</v>
      </c>
      <c r="D37" s="2641">
        <f>IF(B1="仅计算典型户型",'数据-取费表'!E5,'数据-取费表'!B5)</f>
        <v>56.82</v>
      </c>
      <c r="E37" s="416">
        <f>'数据-取费表'!E23</f>
        <v>200</v>
      </c>
      <c r="F37" s="2653"/>
      <c r="G37" s="425" t="s">
        <v>764</v>
      </c>
    </row>
    <row r="38" spans="1:7" ht="13.5" customHeight="1">
      <c r="A38" s="393" t="s">
        <v>2262</v>
      </c>
      <c r="B38" s="394" t="s">
        <v>367</v>
      </c>
      <c r="C38" s="416">
        <f>ROUND(C34*F38,0)</f>
        <v>1756</v>
      </c>
      <c r="D38" s="416"/>
      <c r="E38" s="416"/>
      <c r="F38" s="2653">
        <f>'数据-取费表'!E24</f>
        <v>1.4999999999999999E-2</v>
      </c>
      <c r="G38" s="396" t="s">
        <v>762</v>
      </c>
    </row>
    <row r="39" spans="1:7" s="392" customFormat="1" ht="13.5" customHeight="1">
      <c r="A39" s="421" t="s">
        <v>2248</v>
      </c>
      <c r="B39" s="390" t="s">
        <v>752</v>
      </c>
      <c r="C39" s="400">
        <f>ROUND(C33*F20,0)</f>
        <v>2884</v>
      </c>
      <c r="D39" s="400"/>
      <c r="E39" s="400"/>
      <c r="F39" s="404"/>
      <c r="G39" s="2438" t="s">
        <v>2440</v>
      </c>
    </row>
    <row r="40" spans="1:7" s="392" customFormat="1" ht="13.5" customHeight="1">
      <c r="A40" s="421" t="s">
        <v>2249</v>
      </c>
      <c r="B40" s="390" t="s">
        <v>753</v>
      </c>
      <c r="C40" s="3003">
        <f>F21</f>
        <v>0.02</v>
      </c>
      <c r="D40" s="403" t="s">
        <v>771</v>
      </c>
      <c r="E40" s="400"/>
      <c r="F40" s="404"/>
      <c r="G40" s="401" t="s">
        <v>765</v>
      </c>
    </row>
    <row r="41" spans="1:7" s="392" customFormat="1" ht="13.5" customHeight="1">
      <c r="A41" s="421" t="s">
        <v>2250</v>
      </c>
      <c r="B41" s="390" t="s">
        <v>755</v>
      </c>
      <c r="C41" s="400">
        <f ca="1">ROUND(SUM(C42:C43),0)</f>
        <v>3200</v>
      </c>
      <c r="D41" s="402">
        <f ca="1">C44</f>
        <v>4.0000000000000002E-4</v>
      </c>
      <c r="E41" s="403" t="s">
        <v>771</v>
      </c>
      <c r="F41" s="404"/>
      <c r="G41" s="2438" t="str">
        <f>IF('数据-取费表'!B23&lt;=1,"单利计息。","复利计息。")</f>
        <v>单利计息。</v>
      </c>
    </row>
    <row r="42" spans="1:7" ht="13.5" customHeight="1">
      <c r="A42" s="393" t="s">
        <v>2258</v>
      </c>
      <c r="B42" s="394" t="s">
        <v>2429</v>
      </c>
      <c r="C42" s="405">
        <f ca="1">ROUND(IF('数据-取费表'!B23&lt;=1,C33*F22*'数据-取费表'!B22/2,C33*(POWER((1+F22),'数据-取费表'!B22/2)-1)),0)</f>
        <v>3137</v>
      </c>
      <c r="D42" s="405"/>
      <c r="E42" s="405"/>
      <c r="F42" s="406"/>
      <c r="G42" s="3431" t="s">
        <v>2523</v>
      </c>
    </row>
    <row r="43" spans="1:7" ht="13.5" customHeight="1">
      <c r="A43" s="393" t="s">
        <v>2259</v>
      </c>
      <c r="B43" s="394" t="s">
        <v>2430</v>
      </c>
      <c r="C43" s="405">
        <f ca="1">ROUND(IF('数据-取费表'!B23&lt;=1,C39*F22*'数据-取费表'!B22/2,C39*(POWER((1+F22),'数据-取费表'!B22/2)-1)),0)</f>
        <v>63</v>
      </c>
      <c r="D43" s="405"/>
      <c r="E43" s="405"/>
      <c r="F43" s="406"/>
      <c r="G43" s="3432"/>
    </row>
    <row r="44" spans="1:7" ht="13.5" customHeight="1">
      <c r="A44" s="393" t="s">
        <v>2260</v>
      </c>
      <c r="B44" s="394" t="s">
        <v>2431</v>
      </c>
      <c r="C44" s="405">
        <f ca="1">ROUND(IF('数据-取费表'!B23&lt;=1,C40*F22*'数据-取费表'!B22/2,C40*(POWER((1+F22),'数据-取费表'!B22/2)-1)),4)</f>
        <v>4.0000000000000002E-4</v>
      </c>
      <c r="D44" s="405"/>
      <c r="E44" s="405"/>
      <c r="F44" s="406"/>
      <c r="G44" s="3433"/>
    </row>
    <row r="45" spans="1:7" s="392" customFormat="1" ht="13.5" customHeight="1">
      <c r="A45" s="421" t="s">
        <v>2251</v>
      </c>
      <c r="B45" s="411" t="s">
        <v>759</v>
      </c>
      <c r="C45" s="412">
        <f>C46</f>
        <v>36775</v>
      </c>
      <c r="D45" s="402">
        <f>C47</f>
        <v>5.0000000000000001E-3</v>
      </c>
      <c r="E45" s="403" t="s">
        <v>771</v>
      </c>
      <c r="F45" s="413"/>
      <c r="G45" s="414" t="s">
        <v>2441</v>
      </c>
    </row>
    <row r="46" spans="1:7" s="392" customFormat="1" ht="13.5" customHeight="1">
      <c r="A46" s="393" t="s">
        <v>2258</v>
      </c>
      <c r="B46" s="415" t="s">
        <v>2438</v>
      </c>
      <c r="C46" s="416">
        <f>ROUND((C33+C39)*F27,0)</f>
        <v>36775</v>
      </c>
      <c r="D46" s="426"/>
      <c r="E46" s="403"/>
      <c r="F46" s="413"/>
      <c r="G46" s="414"/>
    </row>
    <row r="47" spans="1:7" s="392" customFormat="1" ht="13.5" customHeight="1">
      <c r="A47" s="393" t="s">
        <v>2259</v>
      </c>
      <c r="B47" s="415" t="s">
        <v>2439</v>
      </c>
      <c r="C47" s="405">
        <f>ROUND(C40*F27,4)</f>
        <v>5.0000000000000001E-3</v>
      </c>
      <c r="D47" s="426"/>
      <c r="E47" s="403"/>
      <c r="F47" s="413"/>
      <c r="G47" s="414"/>
    </row>
    <row r="48" spans="1:7" s="392" customFormat="1" ht="13.5" customHeight="1">
      <c r="A48" s="2287" t="s">
        <v>2252</v>
      </c>
      <c r="B48" s="390" t="s">
        <v>766</v>
      </c>
      <c r="C48" s="3003">
        <f>ROUND(F30/(1+'数据-取费表'!F30),4)</f>
        <v>5.33E-2</v>
      </c>
      <c r="D48" s="403" t="s">
        <v>2809</v>
      </c>
      <c r="E48" s="400"/>
      <c r="F48" s="404"/>
      <c r="G48" s="2438" t="s">
        <v>2810</v>
      </c>
    </row>
    <row r="49" spans="1:7" ht="16.5" customHeight="1">
      <c r="A49" s="2287" t="s">
        <v>2255</v>
      </c>
      <c r="B49" s="390" t="s">
        <v>1850</v>
      </c>
      <c r="C49" s="400">
        <f ca="1">ROUND((C33+C39+C41+C45)/(1-C40-D41-D45-C48),0)</f>
        <v>203054</v>
      </c>
      <c r="D49" s="400"/>
      <c r="E49" s="400"/>
      <c r="F49" s="427"/>
      <c r="G49" s="2438" t="s">
        <v>2442</v>
      </c>
    </row>
    <row r="50" spans="1:7" s="423" customFormat="1" ht="24">
      <c r="A50" s="2287" t="s">
        <v>2256</v>
      </c>
      <c r="B50" s="390" t="s">
        <v>767</v>
      </c>
      <c r="C50" s="400"/>
      <c r="D50" s="400"/>
      <c r="E50" s="400"/>
      <c r="F50" s="427">
        <f>IF('数据-取费表'!B25=0,'数据-取费表'!E20,1)</f>
        <v>0.6</v>
      </c>
      <c r="G50" s="414" t="s">
        <v>768</v>
      </c>
    </row>
    <row r="51" spans="1:7" ht="16.5" customHeight="1">
      <c r="A51" s="2287" t="s">
        <v>2257</v>
      </c>
      <c r="B51" s="390" t="s">
        <v>1852</v>
      </c>
      <c r="C51" s="400">
        <f ca="1">ROUND(C49*F50,0)</f>
        <v>121832</v>
      </c>
      <c r="D51" s="400"/>
      <c r="E51" s="400"/>
      <c r="F51" s="427"/>
      <c r="G51" s="401" t="s">
        <v>368</v>
      </c>
    </row>
    <row r="52" spans="1:7" s="389" customFormat="1" ht="16.5" thickBot="1">
      <c r="A52" s="428" t="s">
        <v>369</v>
      </c>
      <c r="B52" s="429"/>
      <c r="C52" s="430">
        <f ca="1">C31+C51</f>
        <v>3985330</v>
      </c>
      <c r="D52" s="429"/>
      <c r="E52" s="429"/>
      <c r="F52" s="429"/>
      <c r="G52" s="431"/>
    </row>
    <row r="55" spans="1:7" ht="15">
      <c r="B55" s="433" t="s">
        <v>370</v>
      </c>
      <c r="C55" s="434"/>
    </row>
    <row r="56" spans="1:7">
      <c r="B56" s="436" t="s">
        <v>371</v>
      </c>
      <c r="C56" s="437">
        <f ca="1">ROUND(C51/C52,3)</f>
        <v>3.1E-2</v>
      </c>
    </row>
    <row r="57" spans="1:7">
      <c r="B57" s="436" t="s">
        <v>372</v>
      </c>
      <c r="C57" s="438">
        <f ca="1">1-C56</f>
        <v>0.96899999999999997</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773</v>
      </c>
      <c r="B1" s="439"/>
      <c r="C1" s="2323" t="s">
        <v>2292</v>
      </c>
      <c r="D1" s="2524"/>
      <c r="E1" s="2128"/>
      <c r="F1" s="2128"/>
      <c r="G1" s="2128"/>
      <c r="H1" s="2128"/>
      <c r="I1" s="2128"/>
      <c r="J1" s="2128"/>
      <c r="K1" s="2128"/>
    </row>
    <row r="2" spans="1:33" s="440" customFormat="1" ht="18" customHeight="1">
      <c r="A2" s="382" t="s">
        <v>732</v>
      </c>
      <c r="B2" s="385">
        <f ca="1">IF(C2="元",C32,ROUND(C32/10000,0))</f>
        <v>9011</v>
      </c>
      <c r="C2" s="35" t="str">
        <f>'数据-取费表'!B3</f>
        <v>元</v>
      </c>
      <c r="D2" s="2128"/>
      <c r="E2" s="2128"/>
      <c r="F2" s="2128"/>
      <c r="G2" s="2128"/>
      <c r="H2" s="2128"/>
      <c r="I2" s="2128"/>
      <c r="J2" s="2128"/>
      <c r="K2" s="2128"/>
    </row>
    <row r="3" spans="1:33" s="440" customFormat="1" ht="18" customHeight="1" thickBot="1">
      <c r="A3" s="384" t="s">
        <v>733</v>
      </c>
      <c r="B3" s="385" t="e">
        <f ca="1">ROUND(C32/IF(C1="仅计算典型户型",'数据-取费表'!E5,'数据-取费表'!B5),0)</f>
        <v>#DIV/0!</v>
      </c>
      <c r="C3" s="35" t="s">
        <v>772</v>
      </c>
      <c r="D3" s="2128"/>
      <c r="E3" s="2128"/>
      <c r="F3" s="2128"/>
      <c r="G3" s="2128"/>
      <c r="H3" s="2128"/>
      <c r="I3" s="2128"/>
      <c r="J3" s="2128"/>
      <c r="K3" s="2128"/>
    </row>
    <row r="4" spans="1:33" s="444" customFormat="1" ht="16.5" customHeight="1">
      <c r="A4" s="441" t="s">
        <v>774</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775</v>
      </c>
      <c r="B5" s="446" t="s">
        <v>776</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2265</v>
      </c>
      <c r="B6" s="448" t="s">
        <v>777</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2266</v>
      </c>
      <c r="B7" s="448" t="s">
        <v>778</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2267</v>
      </c>
      <c r="B8" s="448" t="s">
        <v>779</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780</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775</v>
      </c>
      <c r="B10" s="457" t="s">
        <v>776</v>
      </c>
      <c r="C10" s="458" t="s">
        <v>781</v>
      </c>
      <c r="D10" s="459" t="s">
        <v>782</v>
      </c>
      <c r="E10" s="459" t="s">
        <v>783</v>
      </c>
      <c r="F10" s="459" t="s">
        <v>784</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785</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786</v>
      </c>
      <c r="C12" s="197">
        <f>ROUND(C11*F12,0)</f>
        <v>0</v>
      </c>
      <c r="D12" s="465"/>
      <c r="E12" s="287"/>
      <c r="F12" s="468">
        <f>'数据-取费表'!E21</f>
        <v>0.04</v>
      </c>
      <c r="G12" s="457" t="s">
        <v>787</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788</v>
      </c>
      <c r="C13" s="197">
        <f>ROUND(IF('数据-取费表'!B10="住宅",C11*F13,0),0)</f>
        <v>0</v>
      </c>
      <c r="D13" s="465"/>
      <c r="E13" s="287"/>
      <c r="F13" s="468">
        <f>'数据-取费表'!E22</f>
        <v>0.08</v>
      </c>
      <c r="G13" s="457" t="s">
        <v>789</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790</v>
      </c>
      <c r="C14" s="197">
        <f>ROUND(D14*E14*F11,0)</f>
        <v>0</v>
      </c>
      <c r="D14" s="465">
        <f>IF(C1="仅计算典型户型",'数据-取费表'!E5,'数据-取费表'!B5)</f>
        <v>0</v>
      </c>
      <c r="E14" s="197">
        <f>'数据-取费表'!E23</f>
        <v>200</v>
      </c>
      <c r="F14" s="468"/>
      <c r="G14" s="457" t="s">
        <v>791</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798</v>
      </c>
      <c r="C15" s="476">
        <f>ROUND(C11*F15,0)</f>
        <v>0</v>
      </c>
      <c r="D15" s="470"/>
      <c r="E15" s="476"/>
      <c r="F15" s="477">
        <f>'数据-取费表'!E24</f>
        <v>1.4999999999999999E-2</v>
      </c>
      <c r="G15" s="448" t="s">
        <v>799</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792</v>
      </c>
      <c r="C17" s="197">
        <f>ROUND(D17*E17,0)</f>
        <v>0</v>
      </c>
      <c r="D17" s="465">
        <f>IF(C1="仅计算典型户型",'数据-取费表'!E5,'数据-取费表'!B5)</f>
        <v>0</v>
      </c>
      <c r="E17" s="197">
        <f>'数据-取费表'!E16</f>
        <v>0</v>
      </c>
      <c r="F17" s="470"/>
      <c r="G17" s="448" t="s">
        <v>793</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794</v>
      </c>
      <c r="C18" s="197">
        <f>C19+C20-'数据-取费表'!E13</f>
        <v>-9091</v>
      </c>
      <c r="D18" s="465"/>
      <c r="E18" s="197"/>
      <c r="F18" s="468"/>
      <c r="G18" s="448" t="s">
        <v>795</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2270</v>
      </c>
      <c r="B19" s="463" t="s">
        <v>796</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2271</v>
      </c>
      <c r="B20" s="463" t="s">
        <v>797</v>
      </c>
      <c r="C20" s="197">
        <f>ROUND(D20*E20,0)</f>
        <v>0</v>
      </c>
      <c r="D20" s="465">
        <f>IF('数据-取费表'!B10&lt;&gt;"住宅",IF(C1="仅计算典型户型",'数据-取费表'!E5,'数据-取费表'!B5),0)</f>
        <v>0</v>
      </c>
      <c r="E20" s="197">
        <f>'数据-取费表'!E12</f>
        <v>200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2265</v>
      </c>
      <c r="B21" s="478" t="s">
        <v>800</v>
      </c>
      <c r="C21" s="479">
        <f>C16+C17+C18</f>
        <v>-9091</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2266</v>
      </c>
      <c r="B22" s="478" t="s">
        <v>801</v>
      </c>
      <c r="C22" s="479">
        <f>ROUND(C21*F22,0)</f>
        <v>-182</v>
      </c>
      <c r="D22" s="481"/>
      <c r="E22" s="481"/>
      <c r="F22" s="482">
        <f>'数据-取费表'!E25</f>
        <v>0.02</v>
      </c>
      <c r="G22" s="457" t="s">
        <v>802</v>
      </c>
      <c r="H22" s="460"/>
      <c r="I22" s="460"/>
      <c r="J22" s="460"/>
      <c r="K22" s="461"/>
      <c r="L22" s="483"/>
      <c r="M22" s="483"/>
      <c r="N22" s="483"/>
    </row>
    <row r="23" spans="1:33" s="467" customFormat="1" ht="13.5" customHeight="1">
      <c r="A23" s="2289" t="s">
        <v>2267</v>
      </c>
      <c r="B23" s="478" t="s">
        <v>803</v>
      </c>
      <c r="C23" s="479">
        <f>ROUND(C4*F23*F11,0)</f>
        <v>0</v>
      </c>
      <c r="D23" s="481"/>
      <c r="E23" s="481"/>
      <c r="F23" s="482">
        <f>'数据-取费表'!E26</f>
        <v>0.02</v>
      </c>
      <c r="G23" s="457" t="s">
        <v>804</v>
      </c>
      <c r="H23" s="460"/>
      <c r="I23" s="460"/>
      <c r="J23" s="460"/>
      <c r="K23" s="461"/>
    </row>
    <row r="24" spans="1:33" s="467" customFormat="1" ht="13.5" customHeight="1">
      <c r="A24" s="2289" t="s">
        <v>2272</v>
      </c>
      <c r="B24" s="478" t="s">
        <v>805</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2273</v>
      </c>
      <c r="B25" s="480" t="s">
        <v>806</v>
      </c>
      <c r="C25" s="489">
        <f ca="1">C27</f>
        <v>0</v>
      </c>
      <c r="D25" s="484">
        <f ca="1">C26</f>
        <v>0</v>
      </c>
      <c r="E25" s="490" t="s">
        <v>35</v>
      </c>
      <c r="F25" s="491">
        <f ca="1">'数据-取费表'!E27</f>
        <v>4.3499999999999997E-2</v>
      </c>
      <c r="G25" s="448" t="s">
        <v>818</v>
      </c>
      <c r="H25" s="487"/>
      <c r="I25" s="487"/>
      <c r="J25" s="487"/>
      <c r="K25" s="488"/>
    </row>
    <row r="26" spans="1:33" s="497" customFormat="1" ht="13.5" customHeight="1">
      <c r="A26" s="2291" t="s">
        <v>2268</v>
      </c>
      <c r="B26" s="492" t="s">
        <v>807</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2269</v>
      </c>
      <c r="B27" s="492" t="s">
        <v>808</v>
      </c>
      <c r="C27" s="498">
        <f ca="1">ROUND(IF('数据-取费表'!B23&lt;=1,(C21+C22+C23)*F25*'数据-取费表'!B25/2,(C21+C22+C23)*(POWER((1+F25),'数据-取费表'!B25/2)-1)),0)</f>
        <v>0</v>
      </c>
      <c r="D27" s="494"/>
      <c r="E27" s="495"/>
      <c r="F27" s="496"/>
      <c r="G27" s="448" t="s">
        <v>809</v>
      </c>
      <c r="H27" s="471"/>
      <c r="I27" s="471"/>
      <c r="J27" s="471"/>
      <c r="K27" s="472"/>
    </row>
    <row r="28" spans="1:33" s="502" customFormat="1" ht="13.5" customHeight="1">
      <c r="A28" s="2289" t="s">
        <v>2274</v>
      </c>
      <c r="B28" s="499" t="s">
        <v>810</v>
      </c>
      <c r="C28" s="500">
        <f>C30</f>
        <v>-2318</v>
      </c>
      <c r="D28" s="484">
        <f>C29</f>
        <v>0.25729999999999997</v>
      </c>
      <c r="E28" s="490" t="s">
        <v>35</v>
      </c>
      <c r="F28" s="501">
        <f>'数据-取费表'!E28</f>
        <v>0.25</v>
      </c>
      <c r="G28" s="486"/>
      <c r="H28" s="487"/>
      <c r="I28" s="487"/>
      <c r="J28" s="487"/>
      <c r="K28" s="488"/>
    </row>
    <row r="29" spans="1:33" s="505" customFormat="1" ht="13.5" customHeight="1">
      <c r="A29" s="2291" t="s">
        <v>2268</v>
      </c>
      <c r="B29" s="503" t="s">
        <v>811</v>
      </c>
      <c r="C29" s="494">
        <f>ROUND((1+C24)*F28,4)</f>
        <v>0.25729999999999997</v>
      </c>
      <c r="D29" s="494"/>
      <c r="E29" s="495"/>
      <c r="F29" s="504"/>
      <c r="G29" s="448" t="s">
        <v>812</v>
      </c>
      <c r="H29" s="471"/>
      <c r="I29" s="471"/>
      <c r="J29" s="471"/>
      <c r="K29" s="472"/>
    </row>
    <row r="30" spans="1:33" s="505" customFormat="1" ht="13.5" customHeight="1">
      <c r="A30" s="2291" t="s">
        <v>2269</v>
      </c>
      <c r="B30" s="503" t="s">
        <v>813</v>
      </c>
      <c r="C30" s="506">
        <f>ROUND((C21+C22+C23)*F28,0)</f>
        <v>-2318</v>
      </c>
      <c r="D30" s="494"/>
      <c r="E30" s="507"/>
      <c r="F30" s="504"/>
      <c r="G30" s="448"/>
      <c r="H30" s="471"/>
      <c r="I30" s="471"/>
      <c r="J30" s="471"/>
      <c r="K30" s="472"/>
    </row>
    <row r="31" spans="1:33" s="483" customFormat="1" ht="13.5" customHeight="1" thickBot="1">
      <c r="A31" s="2292" t="s">
        <v>2275</v>
      </c>
      <c r="B31" s="478" t="s">
        <v>814</v>
      </c>
      <c r="C31" s="508">
        <f>ROUND(C4*F31/(1+'数据-取费表'!F30),0)</f>
        <v>0</v>
      </c>
      <c r="D31" s="453"/>
      <c r="E31" s="509"/>
      <c r="F31" s="510">
        <f>'数据-取费表'!E29</f>
        <v>5.6000000000000001E-2</v>
      </c>
      <c r="G31" s="511" t="s">
        <v>815</v>
      </c>
      <c r="H31" s="512"/>
      <c r="I31" s="512"/>
      <c r="J31" s="512"/>
      <c r="K31" s="513"/>
    </row>
    <row r="32" spans="1:33" s="462" customFormat="1" ht="13.5" customHeight="1" thickBot="1">
      <c r="A32" s="514" t="s">
        <v>816</v>
      </c>
      <c r="B32" s="515"/>
      <c r="C32" s="516">
        <f ca="1">ROUND((C4-C21-C22-C23-C25-C28-C31)/(1+C24+D25+D28),0)</f>
        <v>9011</v>
      </c>
      <c r="D32" s="515"/>
      <c r="E32" s="515"/>
      <c r="F32" s="515"/>
      <c r="G32" s="517" t="s">
        <v>817</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2211</v>
      </c>
      <c r="B8" s="2027" t="s">
        <v>2210</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2211</v>
      </c>
      <c r="B11" s="2027" t="s">
        <v>2212</v>
      </c>
      <c r="C11" s="1747"/>
    </row>
    <row r="12" spans="1:7">
      <c r="A12" s="2025"/>
      <c r="B12" s="1861">
        <f>项目基本情况!B4</f>
        <v>0</v>
      </c>
      <c r="C12" s="1747"/>
    </row>
    <row r="13" spans="1:7">
      <c r="A13" s="2025"/>
      <c r="B13" s="1861"/>
      <c r="C13" s="1747"/>
    </row>
    <row r="14" spans="1:7">
      <c r="A14" s="2028" t="s">
        <v>2211</v>
      </c>
      <c r="B14" s="2027" t="s">
        <v>2213</v>
      </c>
      <c r="C14" s="1747"/>
    </row>
    <row r="15" spans="1:7">
      <c r="A15" s="2025"/>
      <c r="B15" s="1861" t="s">
        <v>1945</v>
      </c>
      <c r="C15" s="1747"/>
    </row>
    <row r="16" spans="1:7">
      <c r="A16" s="2025"/>
      <c r="B16" s="1861"/>
      <c r="C16" s="1747"/>
    </row>
    <row r="17" spans="1:5">
      <c r="A17" s="2028" t="s">
        <v>2211</v>
      </c>
      <c r="B17" s="2027" t="s">
        <v>2214</v>
      </c>
      <c r="C17" s="1747"/>
    </row>
    <row r="18" spans="1:5" s="1751" customFormat="1">
      <c r="A18" s="2026"/>
      <c r="B18" s="1861" t="str">
        <f ca="1">CONCATENATE(项目基本情况!B3,"（注册号:",项目基本情况!C3,"）、",项目基本情况!D3,"（注册号:",项目基本情况!E3,")")</f>
        <v>陈颖（注册号:1120060040）、叶凌（注册号:1119970111)</v>
      </c>
      <c r="C18" s="1750"/>
      <c r="E18" s="1750"/>
    </row>
    <row r="19" spans="1:5">
      <c r="A19" s="2025"/>
      <c r="B19" s="1861"/>
      <c r="C19" s="1747"/>
    </row>
    <row r="20" spans="1:5">
      <c r="A20" s="2028" t="s">
        <v>2211</v>
      </c>
      <c r="B20" s="2027" t="s">
        <v>2215</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 sqref="C5:J6"/>
    </sheetView>
  </sheetViews>
  <sheetFormatPr defaultRowHeight="13.5"/>
  <cols>
    <col min="1" max="1" width="10.5" customWidth="1"/>
    <col min="2" max="2" width="12.875" customWidth="1"/>
    <col min="3" max="3" width="8.75" customWidth="1"/>
  </cols>
  <sheetData>
    <row r="1" spans="1:9" ht="14.25">
      <c r="A1" s="3434" t="s">
        <v>2505</v>
      </c>
      <c r="B1" s="3435"/>
      <c r="C1" s="3436"/>
      <c r="D1" s="3437">
        <f>SUM(I10,I15,I20,I21,I23)</f>
        <v>0</v>
      </c>
      <c r="E1" s="3437"/>
      <c r="F1" s="3437"/>
      <c r="G1" s="3437"/>
      <c r="H1" s="3437"/>
      <c r="I1" s="3438"/>
    </row>
    <row r="2" spans="1:9">
      <c r="A2" s="3439" t="s">
        <v>2506</v>
      </c>
      <c r="B2" s="3440" t="s">
        <v>2455</v>
      </c>
      <c r="C2" s="3440"/>
      <c r="D2" s="2459" t="s">
        <v>2456</v>
      </c>
      <c r="E2" s="2459" t="s">
        <v>2457</v>
      </c>
      <c r="F2" s="2459" t="s">
        <v>2458</v>
      </c>
      <c r="G2" s="2459" t="s">
        <v>2459</v>
      </c>
      <c r="H2" s="2459" t="s">
        <v>2460</v>
      </c>
      <c r="I2" s="2460" t="s">
        <v>2461</v>
      </c>
    </row>
    <row r="3" spans="1:9">
      <c r="A3" s="3439"/>
      <c r="B3" s="3440" t="s">
        <v>2462</v>
      </c>
      <c r="C3" s="3440"/>
      <c r="D3" s="2461"/>
      <c r="E3" s="2459"/>
      <c r="F3" s="2462"/>
      <c r="G3" s="2462"/>
      <c r="H3" s="2463"/>
      <c r="I3" s="2464">
        <f>ROUND(D3*E3*F3*G3*H3/10000,0)</f>
        <v>0</v>
      </c>
    </row>
    <row r="4" spans="1:9">
      <c r="A4" s="3439"/>
      <c r="B4" s="3440" t="s">
        <v>2463</v>
      </c>
      <c r="C4" s="3440"/>
      <c r="D4" s="2461"/>
      <c r="E4" s="2459"/>
      <c r="F4" s="2462"/>
      <c r="G4" s="2462"/>
      <c r="H4" s="2463"/>
      <c r="I4" s="2464">
        <f t="shared" ref="I4:I9" si="0">ROUND(D4*E4*F4*G4*H4/10000,0)</f>
        <v>0</v>
      </c>
    </row>
    <row r="5" spans="1:9">
      <c r="A5" s="3439"/>
      <c r="B5" s="3440" t="s">
        <v>2464</v>
      </c>
      <c r="C5" s="3440"/>
      <c r="D5" s="2461"/>
      <c r="E5" s="2459"/>
      <c r="F5" s="2462"/>
      <c r="G5" s="2462"/>
      <c r="H5" s="2463"/>
      <c r="I5" s="2464">
        <f t="shared" si="0"/>
        <v>0</v>
      </c>
    </row>
    <row r="6" spans="1:9">
      <c r="A6" s="3439"/>
      <c r="B6" s="3440" t="s">
        <v>2465</v>
      </c>
      <c r="C6" s="3440"/>
      <c r="D6" s="2461"/>
      <c r="E6" s="2459"/>
      <c r="F6" s="2462"/>
      <c r="G6" s="2462"/>
      <c r="H6" s="2463"/>
      <c r="I6" s="2464">
        <f t="shared" si="0"/>
        <v>0</v>
      </c>
    </row>
    <row r="7" spans="1:9">
      <c r="A7" s="3439"/>
      <c r="B7" s="3440" t="s">
        <v>2466</v>
      </c>
      <c r="C7" s="3440"/>
      <c r="D7" s="2461"/>
      <c r="E7" s="2459"/>
      <c r="F7" s="2462"/>
      <c r="G7" s="2462"/>
      <c r="H7" s="2463"/>
      <c r="I7" s="2464">
        <f t="shared" si="0"/>
        <v>0</v>
      </c>
    </row>
    <row r="8" spans="1:9">
      <c r="A8" s="3439"/>
      <c r="B8" s="3440" t="s">
        <v>2467</v>
      </c>
      <c r="C8" s="3440"/>
      <c r="D8" s="2461"/>
      <c r="E8" s="2459"/>
      <c r="F8" s="2462"/>
      <c r="G8" s="2462"/>
      <c r="H8" s="2463"/>
      <c r="I8" s="2464">
        <f t="shared" si="0"/>
        <v>0</v>
      </c>
    </row>
    <row r="9" spans="1:9">
      <c r="A9" s="3439"/>
      <c r="B9" s="3440" t="s">
        <v>2468</v>
      </c>
      <c r="C9" s="3440"/>
      <c r="D9" s="2461"/>
      <c r="E9" s="2459"/>
      <c r="F9" s="2462"/>
      <c r="G9" s="2462"/>
      <c r="H9" s="2463"/>
      <c r="I9" s="2464">
        <f t="shared" si="0"/>
        <v>0</v>
      </c>
    </row>
    <row r="10" spans="1:9">
      <c r="A10" s="3439"/>
      <c r="B10" s="3441" t="s">
        <v>2469</v>
      </c>
      <c r="C10" s="3441"/>
      <c r="D10" s="2465">
        <v>527</v>
      </c>
      <c r="E10" s="2465" t="e">
        <f>ROUND(D1*10000/D10/H9,0)</f>
        <v>#DIV/0!</v>
      </c>
      <c r="F10" s="2466"/>
      <c r="G10" s="2466"/>
      <c r="H10" s="2467"/>
      <c r="I10" s="2468">
        <f>SUM(I3:I9)</f>
        <v>0</v>
      </c>
    </row>
    <row r="11" spans="1:9" ht="14.25">
      <c r="A11" s="3439" t="s">
        <v>2507</v>
      </c>
      <c r="B11" s="3440" t="s">
        <v>2470</v>
      </c>
      <c r="C11" s="3440"/>
      <c r="D11" s="2461" t="s">
        <v>2471</v>
      </c>
      <c r="E11" s="2461" t="s">
        <v>2472</v>
      </c>
      <c r="F11" s="2462" t="s">
        <v>2473</v>
      </c>
      <c r="G11" s="2462" t="s">
        <v>2460</v>
      </c>
      <c r="H11" s="2469" t="s">
        <v>2474</v>
      </c>
      <c r="I11" s="2460" t="s">
        <v>2461</v>
      </c>
    </row>
    <row r="12" spans="1:9">
      <c r="A12" s="3439"/>
      <c r="B12" s="3440" t="s">
        <v>2475</v>
      </c>
      <c r="C12" s="3440"/>
      <c r="D12" s="2461"/>
      <c r="E12" s="2461"/>
      <c r="F12" s="2462"/>
      <c r="G12" s="2463"/>
      <c r="H12" s="2470"/>
      <c r="I12" s="2460">
        <f>ROUND(D12*E12*F12*G12/10000,0)</f>
        <v>0</v>
      </c>
    </row>
    <row r="13" spans="1:9">
      <c r="A13" s="3439"/>
      <c r="B13" s="3440" t="s">
        <v>2476</v>
      </c>
      <c r="C13" s="3440"/>
      <c r="D13" s="2461"/>
      <c r="E13" s="2461"/>
      <c r="F13" s="2462"/>
      <c r="G13" s="2463"/>
      <c r="H13" s="2470"/>
      <c r="I13" s="2460">
        <f>ROUND(D13*E13*F13*G13/10000,0)</f>
        <v>0</v>
      </c>
    </row>
    <row r="14" spans="1:9">
      <c r="A14" s="3439"/>
      <c r="B14" s="3440" t="s">
        <v>2477</v>
      </c>
      <c r="C14" s="3440"/>
      <c r="D14" s="2461"/>
      <c r="E14" s="2461"/>
      <c r="F14" s="2462"/>
      <c r="G14" s="2463"/>
      <c r="H14" s="2470"/>
      <c r="I14" s="2460">
        <f>ROUND(D14*E14*F14*G14/10000,0)</f>
        <v>0</v>
      </c>
    </row>
    <row r="15" spans="1:9">
      <c r="A15" s="3439"/>
      <c r="B15" s="3441" t="s">
        <v>2469</v>
      </c>
      <c r="C15" s="3441"/>
      <c r="D15" s="2465"/>
      <c r="E15" s="2465">
        <f>SUM(E12:E14)</f>
        <v>0</v>
      </c>
      <c r="F15" s="2466"/>
      <c r="G15" s="2463"/>
      <c r="H15" s="2470"/>
      <c r="I15" s="2471">
        <f>SUM(I12:I14)</f>
        <v>0</v>
      </c>
    </row>
    <row r="16" spans="1:9" ht="24">
      <c r="A16" s="3439" t="s">
        <v>2508</v>
      </c>
      <c r="B16" s="3440" t="s">
        <v>2478</v>
      </c>
      <c r="C16" s="3440"/>
      <c r="D16" s="2461" t="s">
        <v>2456</v>
      </c>
      <c r="E16" s="2472" t="s">
        <v>2479</v>
      </c>
      <c r="F16" s="2462" t="s">
        <v>2480</v>
      </c>
      <c r="G16" s="2463" t="s">
        <v>2460</v>
      </c>
      <c r="H16" s="2469" t="s">
        <v>2474</v>
      </c>
      <c r="I16" s="2460" t="s">
        <v>2461</v>
      </c>
    </row>
    <row r="17" spans="1:9" ht="14.25">
      <c r="A17" s="3439"/>
      <c r="B17" s="3440" t="s">
        <v>2481</v>
      </c>
      <c r="C17" s="3440"/>
      <c r="D17" s="2461"/>
      <c r="E17" s="2461"/>
      <c r="F17" s="2462"/>
      <c r="G17" s="2463"/>
      <c r="H17" s="2473"/>
      <c r="I17" s="2474">
        <f>ROUND(D17*E17*F17*G17/10000,0)</f>
        <v>0</v>
      </c>
    </row>
    <row r="18" spans="1:9" ht="14.25">
      <c r="A18" s="3439"/>
      <c r="B18" s="3440" t="s">
        <v>2482</v>
      </c>
      <c r="C18" s="3440"/>
      <c r="D18" s="2461"/>
      <c r="E18" s="2461"/>
      <c r="F18" s="2462"/>
      <c r="G18" s="2463"/>
      <c r="H18" s="2473"/>
      <c r="I18" s="2474">
        <f>ROUND(D18*E18*F18*G18/10000,0)</f>
        <v>0</v>
      </c>
    </row>
    <row r="19" spans="1:9" ht="14.25">
      <c r="A19" s="3439"/>
      <c r="B19" s="3440" t="s">
        <v>2483</v>
      </c>
      <c r="C19" s="3440"/>
      <c r="D19" s="2461"/>
      <c r="E19" s="2461"/>
      <c r="F19" s="2462"/>
      <c r="G19" s="2463"/>
      <c r="H19" s="2473"/>
      <c r="I19" s="2474">
        <f>ROUND(D19*E19*F19*G19/10000,0)</f>
        <v>0</v>
      </c>
    </row>
    <row r="20" spans="1:9">
      <c r="A20" s="3439"/>
      <c r="B20" s="3441" t="s">
        <v>2469</v>
      </c>
      <c r="C20" s="3441"/>
      <c r="D20" s="2465">
        <f>SUM(D17:D19)</f>
        <v>0</v>
      </c>
      <c r="E20" s="2465"/>
      <c r="F20" s="2466"/>
      <c r="G20" s="2463"/>
      <c r="H20" s="2470"/>
      <c r="I20" s="2471">
        <f>SUM(I17:I19)</f>
        <v>0</v>
      </c>
    </row>
    <row r="21" spans="1:9">
      <c r="A21" s="3439" t="s">
        <v>2509</v>
      </c>
      <c r="B21" s="3443"/>
      <c r="C21" s="3443"/>
      <c r="D21" s="3443"/>
      <c r="E21" s="3443"/>
      <c r="F21" s="3443"/>
      <c r="G21" s="3443"/>
      <c r="H21" s="2475">
        <v>0.1</v>
      </c>
      <c r="I21" s="2468">
        <f>ROUND(I10*H21,0)</f>
        <v>0</v>
      </c>
    </row>
    <row r="22" spans="1:9" ht="14.25">
      <c r="A22" s="3444" t="s">
        <v>2510</v>
      </c>
      <c r="B22" s="3445"/>
      <c r="C22" s="3446"/>
      <c r="D22" s="2476" t="s">
        <v>2484</v>
      </c>
      <c r="E22" s="2476" t="s">
        <v>2485</v>
      </c>
      <c r="F22" s="2477" t="s">
        <v>2460</v>
      </c>
      <c r="G22" s="2477" t="s">
        <v>2486</v>
      </c>
      <c r="H22" s="2469" t="s">
        <v>2474</v>
      </c>
      <c r="I22" s="2460" t="s">
        <v>2461</v>
      </c>
    </row>
    <row r="23" spans="1:9" ht="14.25" thickBot="1">
      <c r="A23" s="3447"/>
      <c r="B23" s="3448"/>
      <c r="C23" s="3449"/>
      <c r="D23" s="2478"/>
      <c r="E23" s="2478"/>
      <c r="F23" s="2478"/>
      <c r="G23" s="2479"/>
      <c r="H23" s="2480"/>
      <c r="I23" s="2481">
        <f>ROUND(E23*D23*F23*(1-G23)/10000,0)</f>
        <v>0</v>
      </c>
    </row>
    <row r="26" spans="1:9">
      <c r="A26" s="2482" t="s">
        <v>2487</v>
      </c>
      <c r="B26" s="2482"/>
      <c r="C26" s="2482"/>
      <c r="D26" s="2482"/>
      <c r="E26" s="3450">
        <f>C27-C30-C31-C32</f>
        <v>0</v>
      </c>
      <c r="F26" s="3450"/>
      <c r="G26" s="3450"/>
      <c r="H26" s="3016" t="s">
        <v>2813</v>
      </c>
    </row>
    <row r="27" spans="1:9">
      <c r="A27" s="2483">
        <v>1</v>
      </c>
      <c r="B27" s="2484" t="s">
        <v>2488</v>
      </c>
      <c r="C27" s="2484">
        <f>C28+C29</f>
        <v>0</v>
      </c>
      <c r="D27" s="2484"/>
      <c r="E27" s="3451"/>
      <c r="F27" s="3451"/>
      <c r="G27" s="3451"/>
    </row>
    <row r="28" spans="1:9">
      <c r="A28" s="2485" t="s">
        <v>2489</v>
      </c>
      <c r="B28" s="2484" t="s">
        <v>2490</v>
      </c>
      <c r="C28" s="2484"/>
      <c r="D28" s="2484"/>
      <c r="E28" s="3451"/>
      <c r="F28" s="3451"/>
      <c r="G28" s="3451"/>
    </row>
    <row r="29" spans="1:9">
      <c r="A29" s="2485" t="s">
        <v>2491</v>
      </c>
      <c r="B29" s="2484" t="s">
        <v>2492</v>
      </c>
      <c r="C29" s="2484"/>
      <c r="D29" s="2484"/>
      <c r="E29" s="2484" t="s">
        <v>2493</v>
      </c>
      <c r="F29" s="2484"/>
      <c r="G29" s="2484"/>
    </row>
    <row r="30" spans="1:9">
      <c r="A30" s="2483">
        <v>2</v>
      </c>
      <c r="B30" s="2484" t="s">
        <v>2494</v>
      </c>
      <c r="C30" s="2484">
        <f>C27*D30</f>
        <v>0</v>
      </c>
      <c r="D30" s="2486">
        <v>0.2</v>
      </c>
      <c r="E30" s="2484" t="s">
        <v>2495</v>
      </c>
      <c r="F30" s="2484"/>
      <c r="G30" s="2484"/>
    </row>
    <row r="31" spans="1:9">
      <c r="A31" s="2483">
        <v>3</v>
      </c>
      <c r="B31" s="2484" t="s">
        <v>2496</v>
      </c>
      <c r="C31" s="2484">
        <f>C25*D31</f>
        <v>0</v>
      </c>
      <c r="D31" s="2486">
        <v>0.15</v>
      </c>
      <c r="E31" s="2484" t="s">
        <v>2497</v>
      </c>
      <c r="F31" s="2484"/>
      <c r="G31" s="2484"/>
    </row>
    <row r="32" spans="1:9">
      <c r="A32" s="2483">
        <v>4</v>
      </c>
      <c r="B32" s="2484" t="s">
        <v>2498</v>
      </c>
      <c r="C32" s="2484">
        <f>C27*D32</f>
        <v>0</v>
      </c>
      <c r="D32" s="2486">
        <v>0.05</v>
      </c>
      <c r="E32" s="3442"/>
      <c r="F32" s="3442"/>
      <c r="G32" s="3442"/>
    </row>
    <row r="33" spans="1:7" hidden="1">
      <c r="A33" s="3452" t="s">
        <v>2499</v>
      </c>
      <c r="B33" s="3453"/>
      <c r="C33" s="3453"/>
      <c r="D33" s="3454"/>
      <c r="E33" s="3450"/>
      <c r="F33" s="3450"/>
      <c r="G33" s="3450"/>
    </row>
    <row r="34" spans="1:7" hidden="1">
      <c r="A34" s="2487">
        <v>1</v>
      </c>
      <c r="B34" s="2484" t="s">
        <v>2500</v>
      </c>
      <c r="C34" s="2484"/>
      <c r="D34" s="2484"/>
      <c r="E34" s="3451"/>
      <c r="F34" s="3451"/>
      <c r="G34" s="3451"/>
    </row>
    <row r="35" spans="1:7" hidden="1">
      <c r="A35" s="2487">
        <v>2</v>
      </c>
      <c r="B35" s="2484" t="s">
        <v>2501</v>
      </c>
      <c r="C35" s="2484"/>
      <c r="D35" s="2484"/>
      <c r="E35" s="3451"/>
      <c r="F35" s="3451"/>
      <c r="G35" s="3451"/>
    </row>
    <row r="36" spans="1:7" hidden="1">
      <c r="A36" s="2487">
        <v>3</v>
      </c>
      <c r="B36" s="2484" t="s">
        <v>2502</v>
      </c>
      <c r="C36" s="2484"/>
      <c r="D36" s="2484"/>
      <c r="E36" s="3451"/>
      <c r="F36" s="3451"/>
      <c r="G36" s="3451"/>
    </row>
    <row r="37" spans="1:7" hidden="1">
      <c r="A37" s="2487">
        <v>4</v>
      </c>
      <c r="B37" s="2484" t="s">
        <v>2503</v>
      </c>
      <c r="C37" s="2484"/>
      <c r="D37" s="2484"/>
      <c r="E37" s="3451"/>
      <c r="F37" s="3451"/>
      <c r="G37" s="3451"/>
    </row>
    <row r="38" spans="1:7" hidden="1">
      <c r="A38" s="3452" t="s">
        <v>2504</v>
      </c>
      <c r="B38" s="3453"/>
      <c r="C38" s="3453"/>
      <c r="D38" s="3454"/>
      <c r="E38" s="3450"/>
      <c r="F38" s="3450"/>
      <c r="G38" s="345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C5" sqref="C5:J6"/>
      <selection pane="bottomLeft" activeCell="C5" sqref="C5:J6"/>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2201</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2209</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58" t="s">
        <v>534</v>
      </c>
      <c r="D4" s="3459"/>
      <c r="E4" s="3459"/>
      <c r="F4" s="3459"/>
      <c r="G4" s="3459"/>
      <c r="H4" s="3459"/>
      <c r="I4" s="3459"/>
      <c r="J4" s="3459"/>
      <c r="K4" s="3459"/>
      <c r="L4" s="3459"/>
      <c r="M4" s="3459"/>
      <c r="N4" s="3459"/>
      <c r="O4" s="3459"/>
      <c r="P4" s="3459"/>
      <c r="Q4" s="3459"/>
      <c r="R4" s="3459"/>
      <c r="S4" s="346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2224</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2225</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2226</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2227</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2297</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2298</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2296</v>
      </c>
      <c r="B20" s="2329" t="s">
        <v>2295</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2207</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2208</v>
      </c>
      <c r="B24" s="526" t="e">
        <f>R25</f>
        <v>#DIV/0!</v>
      </c>
      <c r="C24" s="1971"/>
      <c r="D24" s="301"/>
      <c r="E24" s="301"/>
      <c r="F24" s="301"/>
      <c r="G24" s="301"/>
      <c r="H24" s="301"/>
      <c r="I24" s="301"/>
      <c r="J24" s="301"/>
      <c r="K24" s="301"/>
      <c r="L24" s="301"/>
      <c r="M24" s="301"/>
      <c r="N24" s="301"/>
      <c r="O24" s="301"/>
      <c r="P24" s="301"/>
      <c r="Q24" s="301"/>
      <c r="R24" s="1209"/>
      <c r="S24" s="2014" t="s">
        <v>2199</v>
      </c>
      <c r="T24" s="2346" t="s">
        <v>2198</v>
      </c>
      <c r="U24" s="2349" t="s">
        <v>2283</v>
      </c>
      <c r="V24" s="2350"/>
      <c r="W24" s="2348" t="s">
        <v>2286</v>
      </c>
      <c r="X24" s="2349" t="s">
        <v>2281</v>
      </c>
      <c r="Y24" s="2350"/>
      <c r="Z24" s="2347" t="s">
        <v>2286</v>
      </c>
    </row>
    <row r="25" spans="1:45">
      <c r="A25" s="552" t="s">
        <v>537</v>
      </c>
      <c r="B25" s="197">
        <f>SUM(B27:B10000)</f>
        <v>0</v>
      </c>
      <c r="C25" s="3455" t="s">
        <v>174</v>
      </c>
      <c r="D25" s="3456"/>
      <c r="E25" s="3456"/>
      <c r="F25" s="3456"/>
      <c r="G25" s="3456"/>
      <c r="H25" s="3456"/>
      <c r="I25" s="3456"/>
      <c r="J25" s="3456"/>
      <c r="K25" s="3456"/>
      <c r="L25" s="3456"/>
      <c r="M25" s="3456"/>
      <c r="N25" s="3456"/>
      <c r="O25" s="3456"/>
      <c r="P25" s="3456"/>
      <c r="Q25" s="345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2200</v>
      </c>
      <c r="U26" s="2308" t="s">
        <v>2284</v>
      </c>
      <c r="V26" s="2309" t="s">
        <v>2285</v>
      </c>
      <c r="W26" s="2302" t="s">
        <v>2282</v>
      </c>
      <c r="X26" s="2308" t="s">
        <v>2284</v>
      </c>
      <c r="Y26" s="2309" t="s">
        <v>2285</v>
      </c>
      <c r="Z26" s="2302" t="s">
        <v>2282</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56.82</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386" t="s">
        <v>50</v>
      </c>
      <c r="D4" s="3387"/>
      <c r="E4" s="3388" t="s">
        <v>51</v>
      </c>
      <c r="F4" s="3389"/>
      <c r="G4" s="3386" t="s">
        <v>52</v>
      </c>
      <c r="H4" s="3387"/>
      <c r="I4" s="3386" t="s">
        <v>53</v>
      </c>
      <c r="J4" s="3387"/>
      <c r="K4" s="139" t="s">
        <v>54</v>
      </c>
      <c r="L4" s="2164"/>
      <c r="M4" s="2165"/>
      <c r="N4" s="2165"/>
      <c r="O4" s="2165"/>
      <c r="P4" s="3390" t="s">
        <v>49</v>
      </c>
      <c r="Q4" s="3391"/>
      <c r="R4" s="3396" t="s">
        <v>51</v>
      </c>
      <c r="S4" s="3397"/>
      <c r="T4" s="3396" t="s">
        <v>52</v>
      </c>
      <c r="U4" s="3397"/>
      <c r="V4" s="3402" t="s">
        <v>53</v>
      </c>
      <c r="W4" s="3402"/>
      <c r="X4" s="1133"/>
      <c r="Y4" s="3396" t="s">
        <v>49</v>
      </c>
      <c r="Z4" s="3397"/>
      <c r="AA4" s="3383" t="s">
        <v>51</v>
      </c>
      <c r="AB4" s="3402" t="s">
        <v>52</v>
      </c>
      <c r="AC4" s="3383" t="s">
        <v>53</v>
      </c>
    </row>
    <row r="5" spans="1:29">
      <c r="A5" s="93"/>
      <c r="B5" s="94"/>
      <c r="C5" s="3405" t="s">
        <v>55</v>
      </c>
      <c r="D5" s="3406"/>
      <c r="E5" s="3403" t="s">
        <v>56</v>
      </c>
      <c r="F5" s="3404"/>
      <c r="G5" s="3405" t="s">
        <v>57</v>
      </c>
      <c r="H5" s="3406"/>
      <c r="I5" s="3405" t="s">
        <v>58</v>
      </c>
      <c r="J5" s="3406"/>
      <c r="K5" s="139"/>
      <c r="L5" s="2164"/>
      <c r="M5" s="2165"/>
      <c r="N5" s="2165"/>
      <c r="O5" s="2165"/>
      <c r="P5" s="3392"/>
      <c r="Q5" s="3393"/>
      <c r="R5" s="3398"/>
      <c r="S5" s="3399"/>
      <c r="T5" s="3398"/>
      <c r="U5" s="3399"/>
      <c r="V5" s="3402"/>
      <c r="W5" s="3402"/>
      <c r="X5" s="1133"/>
      <c r="Y5" s="3398"/>
      <c r="Z5" s="3399"/>
      <c r="AA5" s="3384"/>
      <c r="AB5" s="3402"/>
      <c r="AC5" s="3384"/>
    </row>
    <row r="6" spans="1:29" ht="14.25" thickBot="1">
      <c r="A6" s="95"/>
      <c r="B6" s="96"/>
      <c r="C6" s="3407" t="s">
        <v>59</v>
      </c>
      <c r="D6" s="3408"/>
      <c r="E6" s="3409" t="s">
        <v>59</v>
      </c>
      <c r="F6" s="3410"/>
      <c r="G6" s="3407" t="s">
        <v>59</v>
      </c>
      <c r="H6" s="3408"/>
      <c r="I6" s="3407" t="s">
        <v>59</v>
      </c>
      <c r="J6" s="3408"/>
      <c r="K6" s="139" t="s">
        <v>119</v>
      </c>
      <c r="L6" s="2164"/>
      <c r="M6" s="2165"/>
      <c r="N6" s="2165"/>
      <c r="O6" s="2165"/>
      <c r="P6" s="3394"/>
      <c r="Q6" s="3395"/>
      <c r="R6" s="3398"/>
      <c r="S6" s="3399"/>
      <c r="T6" s="3400"/>
      <c r="U6" s="3401"/>
      <c r="V6" s="3402"/>
      <c r="W6" s="3402"/>
      <c r="X6" s="1133"/>
      <c r="Y6" s="3400"/>
      <c r="Z6" s="3401"/>
      <c r="AA6" s="3385"/>
      <c r="AB6" s="3402"/>
      <c r="AC6" s="3385"/>
    </row>
    <row r="7" spans="1:29" s="11" customFormat="1" ht="15" thickBot="1">
      <c r="A7" s="872" t="s">
        <v>60</v>
      </c>
      <c r="B7" s="873"/>
      <c r="C7" s="874">
        <f>'数据-取费表'!B2</f>
        <v>42934</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18" t="s">
        <v>60</v>
      </c>
      <c r="Q7" s="3420"/>
      <c r="R7" s="1135" t="s">
        <v>61</v>
      </c>
      <c r="S7" s="1136">
        <f t="shared" ref="S7:S15" si="0">F7</f>
        <v>0</v>
      </c>
      <c r="T7" s="1135" t="s">
        <v>61</v>
      </c>
      <c r="U7" s="1136">
        <f t="shared" ref="U7:U15" si="1">H7</f>
        <v>0</v>
      </c>
      <c r="V7" s="1135" t="s">
        <v>61</v>
      </c>
      <c r="W7" s="1136">
        <f t="shared" ref="W7:W15" si="2">J7</f>
        <v>0</v>
      </c>
      <c r="X7" s="184"/>
      <c r="Y7" s="3418" t="s">
        <v>60</v>
      </c>
      <c r="Z7" s="3419"/>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18" t="s">
        <v>931</v>
      </c>
      <c r="Q8" s="3419"/>
      <c r="R8" s="1135" t="s">
        <v>61</v>
      </c>
      <c r="S8" s="1136">
        <f t="shared" si="0"/>
        <v>0</v>
      </c>
      <c r="T8" s="1135" t="s">
        <v>61</v>
      </c>
      <c r="U8" s="1136">
        <f t="shared" si="1"/>
        <v>0</v>
      </c>
      <c r="V8" s="1135" t="s">
        <v>61</v>
      </c>
      <c r="W8" s="1136">
        <f t="shared" si="2"/>
        <v>0</v>
      </c>
      <c r="X8" s="184"/>
      <c r="Y8" s="3418" t="s">
        <v>931</v>
      </c>
      <c r="Z8" s="3419"/>
      <c r="AA8" s="1137" t="e">
        <f t="shared" ref="AA8:AA46" si="3">D8/F8</f>
        <v>#DIV/0!</v>
      </c>
      <c r="AB8" s="1137" t="e">
        <f t="shared" ref="AB8:AB46" si="4">D8/H8</f>
        <v>#DIV/0!</v>
      </c>
      <c r="AC8" s="1137" t="e">
        <f t="shared" ref="AC8:AC46" si="5">D8/J8</f>
        <v>#DIV/0!</v>
      </c>
    </row>
    <row r="9" spans="1:29" s="11" customFormat="1" ht="14.25">
      <c r="A9" s="879" t="s">
        <v>932</v>
      </c>
      <c r="B9" s="20" t="s">
        <v>933</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21" t="s">
        <v>63</v>
      </c>
      <c r="Q9" s="2" t="str">
        <f t="shared" ref="Q9:Q15" si="6">B9</f>
        <v>用途</v>
      </c>
      <c r="R9" s="1135" t="s">
        <v>61</v>
      </c>
      <c r="S9" s="1136">
        <f t="shared" si="0"/>
        <v>100</v>
      </c>
      <c r="T9" s="1135" t="s">
        <v>61</v>
      </c>
      <c r="U9" s="1136">
        <f t="shared" si="1"/>
        <v>100</v>
      </c>
      <c r="V9" s="1135" t="s">
        <v>61</v>
      </c>
      <c r="W9" s="1136">
        <f t="shared" si="2"/>
        <v>100</v>
      </c>
      <c r="X9" s="184"/>
      <c r="Y9" s="325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21"/>
      <c r="Q10" s="2" t="str">
        <f t="shared" si="6"/>
        <v>土地使用年限（年）</v>
      </c>
      <c r="R10" s="1135" t="s">
        <v>61</v>
      </c>
      <c r="S10" s="1136">
        <f t="shared" si="0"/>
        <v>100</v>
      </c>
      <c r="T10" s="1135" t="s">
        <v>61</v>
      </c>
      <c r="U10" s="1136">
        <f t="shared" si="1"/>
        <v>100</v>
      </c>
      <c r="V10" s="1135" t="s">
        <v>61</v>
      </c>
      <c r="W10" s="1136">
        <f t="shared" si="2"/>
        <v>100</v>
      </c>
      <c r="X10" s="184"/>
      <c r="Y10" s="3254"/>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21"/>
      <c r="Q11" s="2" t="str">
        <f t="shared" si="6"/>
        <v>容积率</v>
      </c>
      <c r="R11" s="1135" t="s">
        <v>61</v>
      </c>
      <c r="S11" s="1136" t="e">
        <f t="shared" si="0"/>
        <v>#N/A</v>
      </c>
      <c r="T11" s="1135" t="s">
        <v>61</v>
      </c>
      <c r="U11" s="1136" t="e">
        <f t="shared" si="1"/>
        <v>#N/A</v>
      </c>
      <c r="V11" s="1135" t="s">
        <v>61</v>
      </c>
      <c r="W11" s="1136" t="e">
        <f t="shared" si="2"/>
        <v>#N/A</v>
      </c>
      <c r="X11" s="184"/>
      <c r="Y11" s="325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21"/>
      <c r="Q12" s="2">
        <f t="shared" si="6"/>
        <v>111</v>
      </c>
      <c r="R12" s="1135" t="s">
        <v>61</v>
      </c>
      <c r="S12" s="1136">
        <f t="shared" si="0"/>
        <v>100</v>
      </c>
      <c r="T12" s="1135" t="s">
        <v>61</v>
      </c>
      <c r="U12" s="1136">
        <f t="shared" si="1"/>
        <v>100</v>
      </c>
      <c r="V12" s="1135" t="s">
        <v>61</v>
      </c>
      <c r="W12" s="1136">
        <f t="shared" si="2"/>
        <v>100</v>
      </c>
      <c r="X12" s="184"/>
      <c r="Y12" s="3254"/>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21"/>
      <c r="Q13" s="2">
        <f t="shared" si="6"/>
        <v>111</v>
      </c>
      <c r="R13" s="1135" t="s">
        <v>61</v>
      </c>
      <c r="S13" s="1136">
        <f t="shared" si="0"/>
        <v>100</v>
      </c>
      <c r="T13" s="1135" t="s">
        <v>61</v>
      </c>
      <c r="U13" s="1136">
        <f t="shared" si="1"/>
        <v>100</v>
      </c>
      <c r="V13" s="1135" t="s">
        <v>61</v>
      </c>
      <c r="W13" s="1136">
        <f t="shared" si="2"/>
        <v>100</v>
      </c>
      <c r="X13" s="184"/>
      <c r="Y13" s="3254"/>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21"/>
      <c r="Q14" s="2">
        <f t="shared" si="6"/>
        <v>111</v>
      </c>
      <c r="R14" s="1135" t="s">
        <v>61</v>
      </c>
      <c r="S14" s="1136">
        <f t="shared" si="0"/>
        <v>100</v>
      </c>
      <c r="T14" s="1135" t="s">
        <v>61</v>
      </c>
      <c r="U14" s="1136">
        <f t="shared" si="1"/>
        <v>100</v>
      </c>
      <c r="V14" s="1135" t="s">
        <v>61</v>
      </c>
      <c r="W14" s="1136">
        <f t="shared" si="2"/>
        <v>100</v>
      </c>
      <c r="X14" s="184"/>
      <c r="Y14" s="3254"/>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24" t="s">
        <v>65</v>
      </c>
      <c r="Q15" s="1145" t="str">
        <f t="shared" si="6"/>
        <v>商业繁华度</v>
      </c>
      <c r="R15" s="1146" t="s">
        <v>61</v>
      </c>
      <c r="S15" s="1147">
        <f t="shared" si="0"/>
        <v>100</v>
      </c>
      <c r="T15" s="1146" t="s">
        <v>61</v>
      </c>
      <c r="U15" s="1147">
        <f t="shared" si="1"/>
        <v>100</v>
      </c>
      <c r="V15" s="1146" t="s">
        <v>61</v>
      </c>
      <c r="W15" s="1147">
        <f t="shared" si="2"/>
        <v>100</v>
      </c>
      <c r="X15" s="1133"/>
      <c r="Y15" s="3411"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25"/>
      <c r="Q16" s="1145"/>
      <c r="R16" s="1146"/>
      <c r="S16" s="1147"/>
      <c r="T16" s="1146"/>
      <c r="U16" s="1147"/>
      <c r="V16" s="1146"/>
      <c r="W16" s="1147"/>
      <c r="X16" s="1133"/>
      <c r="Y16" s="3412"/>
      <c r="Z16" s="1148"/>
      <c r="AA16" s="1149">
        <v>1</v>
      </c>
      <c r="AB16" s="1149">
        <v>1</v>
      </c>
      <c r="AC16" s="1149">
        <v>1</v>
      </c>
    </row>
    <row r="17" spans="1:29" ht="175.5">
      <c r="A17" s="98"/>
      <c r="B17" s="1150" t="s">
        <v>67</v>
      </c>
      <c r="C17" s="108" t="str">
        <f>估价对象房地状况!C6</f>
        <v>以估价对象为圆心，半径1公里内有75、95、112、115、411路等10余条公共线路及地铁6号线（青年路站）、八通线（四惠东站）、小区内有地下车库，综合评价交通便捷度较好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25"/>
      <c r="Q17" s="1145" t="str">
        <f>B17</f>
        <v>交通便捷度</v>
      </c>
      <c r="R17" s="1146" t="s">
        <v>61</v>
      </c>
      <c r="S17" s="1147">
        <f>F17</f>
        <v>100</v>
      </c>
      <c r="T17" s="1146" t="s">
        <v>61</v>
      </c>
      <c r="U17" s="1147">
        <f>H17</f>
        <v>100</v>
      </c>
      <c r="V17" s="1146" t="s">
        <v>61</v>
      </c>
      <c r="W17" s="1147">
        <f>J17</f>
        <v>100</v>
      </c>
      <c r="X17" s="1133"/>
      <c r="Y17" s="3412"/>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25"/>
      <c r="Q18" s="1145"/>
      <c r="R18" s="1146"/>
      <c r="S18" s="1147"/>
      <c r="T18" s="1146"/>
      <c r="U18" s="1147"/>
      <c r="V18" s="1146"/>
      <c r="W18" s="1147"/>
      <c r="X18" s="1133"/>
      <c r="Y18" s="3412"/>
      <c r="Z18" s="1148"/>
      <c r="AA18" s="1149">
        <v>1</v>
      </c>
      <c r="AB18" s="1149">
        <v>1</v>
      </c>
      <c r="AC18" s="1149">
        <v>1</v>
      </c>
    </row>
    <row r="19" spans="1:29" ht="40.5">
      <c r="A19" s="98"/>
      <c r="B19" s="1150" t="s">
        <v>2550</v>
      </c>
      <c r="C19" s="108" t="str">
        <f>估价对象房地状况!C7</f>
        <v>较好——有餐饮、医院、超市、学校等</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25"/>
      <c r="Q19" s="1145" t="str">
        <f>B19</f>
        <v>公共配套设施</v>
      </c>
      <c r="R19" s="1146" t="s">
        <v>61</v>
      </c>
      <c r="S19" s="1147">
        <f>F19</f>
        <v>100</v>
      </c>
      <c r="T19" s="1146" t="s">
        <v>61</v>
      </c>
      <c r="U19" s="1147">
        <f>H19</f>
        <v>100</v>
      </c>
      <c r="V19" s="1146" t="s">
        <v>61</v>
      </c>
      <c r="W19" s="1147">
        <f>J19</f>
        <v>100</v>
      </c>
      <c r="X19" s="1133"/>
      <c r="Y19" s="3412"/>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25"/>
      <c r="Q20" s="1145"/>
      <c r="R20" s="1146"/>
      <c r="S20" s="1147"/>
      <c r="T20" s="1146"/>
      <c r="U20" s="1147"/>
      <c r="V20" s="1146"/>
      <c r="W20" s="1147"/>
      <c r="X20" s="1133"/>
      <c r="Y20" s="3412"/>
      <c r="Z20" s="1148"/>
      <c r="AA20" s="1149">
        <v>1</v>
      </c>
      <c r="AB20" s="1149">
        <v>1</v>
      </c>
      <c r="AC20" s="1149">
        <v>1</v>
      </c>
    </row>
    <row r="21" spans="1:29" ht="15">
      <c r="A21" s="98"/>
      <c r="B21" s="1205" t="s">
        <v>2551</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25"/>
      <c r="Q21" s="2550" t="str">
        <f>B21</f>
        <v>基础设施水平</v>
      </c>
      <c r="R21" s="1146" t="s">
        <v>61</v>
      </c>
      <c r="S21" s="1147">
        <f>F21</f>
        <v>100</v>
      </c>
      <c r="T21" s="1146" t="s">
        <v>61</v>
      </c>
      <c r="U21" s="1147">
        <f>H21</f>
        <v>100</v>
      </c>
      <c r="V21" s="1146" t="s">
        <v>61</v>
      </c>
      <c r="W21" s="1147">
        <f>J21</f>
        <v>100</v>
      </c>
      <c r="X21" s="2548"/>
      <c r="Y21" s="3412"/>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25"/>
      <c r="Q22" s="2550"/>
      <c r="R22" s="1146"/>
      <c r="S22" s="1147"/>
      <c r="T22" s="1146"/>
      <c r="U22" s="1147"/>
      <c r="V22" s="1146"/>
      <c r="W22" s="1147"/>
      <c r="X22" s="2548"/>
      <c r="Y22" s="3412"/>
      <c r="Z22" s="2549"/>
      <c r="AA22" s="1149">
        <v>1</v>
      </c>
      <c r="AB22" s="1149">
        <v>1</v>
      </c>
      <c r="AC22" s="1149">
        <v>1</v>
      </c>
    </row>
    <row r="23" spans="1:29" ht="94.5">
      <c r="A23" s="98"/>
      <c r="B23" s="1150" t="s">
        <v>68</v>
      </c>
      <c r="C23" s="142" t="str">
        <f>估价对象房地状况!C9</f>
        <v>区域自然环境：兴隆公园、通惠河；人文环境：中国紫檀博物馆；综合评价环境状况较好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25"/>
      <c r="Q23" s="1145" t="str">
        <f>B23</f>
        <v>自然及人文环境</v>
      </c>
      <c r="R23" s="1146" t="s">
        <v>61</v>
      </c>
      <c r="S23" s="1147">
        <f>F23</f>
        <v>100</v>
      </c>
      <c r="T23" s="1146" t="s">
        <v>61</v>
      </c>
      <c r="U23" s="1147">
        <f>H23</f>
        <v>100</v>
      </c>
      <c r="V23" s="1146" t="s">
        <v>61</v>
      </c>
      <c r="W23" s="1147">
        <f>J23</f>
        <v>100</v>
      </c>
      <c r="X23" s="1133"/>
      <c r="Y23" s="3412"/>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25"/>
      <c r="Q24" s="1145"/>
      <c r="R24" s="1146"/>
      <c r="S24" s="1147"/>
      <c r="T24" s="1146"/>
      <c r="U24" s="1147"/>
      <c r="V24" s="1146"/>
      <c r="W24" s="1147"/>
      <c r="X24" s="1133"/>
      <c r="Y24" s="3412"/>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25"/>
      <c r="Q25" s="1145" t="str">
        <f t="shared" ref="Q25:Q46" si="11">B25</f>
        <v>临街状况</v>
      </c>
      <c r="R25" s="1146" t="s">
        <v>61</v>
      </c>
      <c r="S25" s="1147">
        <f>F25</f>
        <v>100</v>
      </c>
      <c r="T25" s="1146" t="s">
        <v>61</v>
      </c>
      <c r="U25" s="1147">
        <f>H25</f>
        <v>100</v>
      </c>
      <c r="V25" s="1146" t="s">
        <v>61</v>
      </c>
      <c r="W25" s="1147">
        <f>J25</f>
        <v>100</v>
      </c>
      <c r="X25" s="1133"/>
      <c r="Y25" s="3412"/>
      <c r="Z25" s="1148" t="str">
        <f>Q25</f>
        <v>临街状况</v>
      </c>
      <c r="AA25" s="1149">
        <f t="shared" si="3"/>
        <v>1</v>
      </c>
      <c r="AB25" s="1149">
        <f t="shared" si="4"/>
        <v>1</v>
      </c>
      <c r="AC25" s="1149">
        <f t="shared" si="5"/>
        <v>1</v>
      </c>
    </row>
    <row r="26" spans="1:29" ht="14.25">
      <c r="A26" s="98"/>
      <c r="B26" s="1151" t="s">
        <v>934</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25"/>
      <c r="Q26" s="1145" t="str">
        <f t="shared" si="11"/>
        <v>平面位置/可视性</v>
      </c>
      <c r="R26" s="1146" t="s">
        <v>61</v>
      </c>
      <c r="S26" s="1147">
        <f>F26</f>
        <v>100</v>
      </c>
      <c r="T26" s="1146" t="s">
        <v>61</v>
      </c>
      <c r="U26" s="1147">
        <f>H26</f>
        <v>100</v>
      </c>
      <c r="V26" s="1146" t="s">
        <v>61</v>
      </c>
      <c r="W26" s="1147">
        <f>J26</f>
        <v>100</v>
      </c>
      <c r="X26" s="1133"/>
      <c r="Y26" s="3412"/>
      <c r="Z26" s="1148" t="str">
        <f>Q26</f>
        <v>平面位置/可视性</v>
      </c>
      <c r="AA26" s="1149">
        <f t="shared" si="3"/>
        <v>1</v>
      </c>
      <c r="AB26" s="1149">
        <f t="shared" si="4"/>
        <v>1</v>
      </c>
      <c r="AC26" s="1149">
        <f t="shared" si="5"/>
        <v>1</v>
      </c>
    </row>
    <row r="27" spans="1:29" s="11" customFormat="1" ht="15">
      <c r="A27" s="888"/>
      <c r="B27" s="1150" t="s">
        <v>935</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25"/>
      <c r="Q27" s="2" t="str">
        <f t="shared" si="11"/>
        <v>人流量</v>
      </c>
      <c r="R27" s="1135" t="s">
        <v>61</v>
      </c>
      <c r="S27" s="1136">
        <f>F27</f>
        <v>100</v>
      </c>
      <c r="T27" s="1135" t="s">
        <v>61</v>
      </c>
      <c r="U27" s="1136">
        <f>H27</f>
        <v>100</v>
      </c>
      <c r="V27" s="1135" t="s">
        <v>61</v>
      </c>
      <c r="W27" s="1136">
        <f>J27</f>
        <v>100</v>
      </c>
      <c r="X27" s="184"/>
      <c r="Y27" s="3412"/>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25"/>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12"/>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25"/>
      <c r="Q29" s="1145">
        <f t="shared" si="11"/>
        <v>111</v>
      </c>
      <c r="R29" s="1146" t="s">
        <v>61</v>
      </c>
      <c r="S29" s="1147">
        <f t="shared" si="12"/>
        <v>100</v>
      </c>
      <c r="T29" s="1146" t="s">
        <v>61</v>
      </c>
      <c r="U29" s="1147">
        <f t="shared" si="13"/>
        <v>100</v>
      </c>
      <c r="V29" s="1146" t="s">
        <v>61</v>
      </c>
      <c r="W29" s="1147">
        <f t="shared" si="14"/>
        <v>100</v>
      </c>
      <c r="X29" s="1133"/>
      <c r="Y29" s="3412"/>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25"/>
      <c r="Q30" s="1145">
        <f t="shared" si="11"/>
        <v>111</v>
      </c>
      <c r="R30" s="1146" t="s">
        <v>61</v>
      </c>
      <c r="S30" s="1147">
        <f t="shared" si="12"/>
        <v>100</v>
      </c>
      <c r="T30" s="1146" t="s">
        <v>61</v>
      </c>
      <c r="U30" s="1147">
        <f t="shared" si="13"/>
        <v>100</v>
      </c>
      <c r="V30" s="1146" t="s">
        <v>61</v>
      </c>
      <c r="W30" s="1147">
        <f t="shared" si="14"/>
        <v>100</v>
      </c>
      <c r="X30" s="1133"/>
      <c r="Y30" s="3412"/>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25"/>
      <c r="Q31" s="1145">
        <f t="shared" si="11"/>
        <v>111</v>
      </c>
      <c r="R31" s="1146" t="s">
        <v>61</v>
      </c>
      <c r="S31" s="1147">
        <f t="shared" si="12"/>
        <v>100</v>
      </c>
      <c r="T31" s="1146" t="s">
        <v>61</v>
      </c>
      <c r="U31" s="1147">
        <f t="shared" si="13"/>
        <v>100</v>
      </c>
      <c r="V31" s="1146" t="s">
        <v>61</v>
      </c>
      <c r="W31" s="1147">
        <f t="shared" si="14"/>
        <v>100</v>
      </c>
      <c r="X31" s="1133"/>
      <c r="Y31" s="3412"/>
      <c r="Z31" s="1148">
        <f t="shared" si="15"/>
        <v>111</v>
      </c>
      <c r="AA31" s="1149">
        <f t="shared" si="3"/>
        <v>1</v>
      </c>
      <c r="AB31" s="1149">
        <f t="shared" si="4"/>
        <v>1</v>
      </c>
      <c r="AC31" s="1149">
        <f t="shared" si="5"/>
        <v>1</v>
      </c>
    </row>
    <row r="32" spans="1:29" ht="15">
      <c r="A32" s="105" t="s">
        <v>936</v>
      </c>
      <c r="B32" s="20" t="s">
        <v>937</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13" t="s">
        <v>938</v>
      </c>
      <c r="Q32" s="1145" t="str">
        <f t="shared" si="11"/>
        <v>商业类型</v>
      </c>
      <c r="R32" s="1146" t="s">
        <v>61</v>
      </c>
      <c r="S32" s="1147">
        <f t="shared" si="12"/>
        <v>100</v>
      </c>
      <c r="T32" s="1146" t="s">
        <v>61</v>
      </c>
      <c r="U32" s="1147">
        <f t="shared" si="13"/>
        <v>100</v>
      </c>
      <c r="V32" s="1146" t="s">
        <v>61</v>
      </c>
      <c r="W32" s="1147">
        <f t="shared" si="14"/>
        <v>100</v>
      </c>
      <c r="X32" s="1133"/>
      <c r="Y32" s="3416" t="s">
        <v>938</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14"/>
      <c r="Q33" s="1153" t="str">
        <f t="shared" si="11"/>
        <v>项目建筑规模</v>
      </c>
      <c r="R33" s="1154" t="s">
        <v>61</v>
      </c>
      <c r="S33" s="1155" t="e">
        <f t="shared" si="12"/>
        <v>#N/A</v>
      </c>
      <c r="T33" s="1154" t="s">
        <v>61</v>
      </c>
      <c r="U33" s="1155" t="e">
        <f t="shared" si="13"/>
        <v>#N/A</v>
      </c>
      <c r="V33" s="1154" t="s">
        <v>61</v>
      </c>
      <c r="W33" s="1155" t="e">
        <f t="shared" si="14"/>
        <v>#N/A</v>
      </c>
      <c r="X33" s="1156"/>
      <c r="Y33" s="3416"/>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14"/>
      <c r="Q34" s="1145" t="str">
        <f t="shared" si="11"/>
        <v>建筑结构</v>
      </c>
      <c r="R34" s="1146" t="s">
        <v>61</v>
      </c>
      <c r="S34" s="1147">
        <f t="shared" si="12"/>
        <v>100</v>
      </c>
      <c r="T34" s="1146" t="s">
        <v>61</v>
      </c>
      <c r="U34" s="1147">
        <f t="shared" si="13"/>
        <v>100</v>
      </c>
      <c r="V34" s="1146" t="s">
        <v>61</v>
      </c>
      <c r="W34" s="1147">
        <f t="shared" si="14"/>
        <v>100</v>
      </c>
      <c r="X34" s="1133"/>
      <c r="Y34" s="3416"/>
      <c r="Z34" s="1148" t="str">
        <f t="shared" si="15"/>
        <v>建筑结构</v>
      </c>
      <c r="AA34" s="1149">
        <f t="shared" si="3"/>
        <v>1</v>
      </c>
      <c r="AB34" s="1149">
        <f t="shared" si="4"/>
        <v>1</v>
      </c>
      <c r="AC34" s="1149">
        <f t="shared" si="5"/>
        <v>1</v>
      </c>
    </row>
    <row r="35" spans="1:29" ht="15">
      <c r="A35" s="111"/>
      <c r="B35" s="4" t="s">
        <v>939</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14"/>
      <c r="Q35" s="1145" t="str">
        <f t="shared" si="11"/>
        <v>公共部分装修</v>
      </c>
      <c r="R35" s="1146" t="s">
        <v>61</v>
      </c>
      <c r="S35" s="1147">
        <f t="shared" si="12"/>
        <v>100</v>
      </c>
      <c r="T35" s="1146" t="s">
        <v>61</v>
      </c>
      <c r="U35" s="1147">
        <f t="shared" si="13"/>
        <v>100</v>
      </c>
      <c r="V35" s="1146" t="s">
        <v>61</v>
      </c>
      <c r="W35" s="1147">
        <f t="shared" si="14"/>
        <v>100</v>
      </c>
      <c r="X35" s="1133"/>
      <c r="Y35" s="3416"/>
      <c r="Z35" s="1148" t="str">
        <f t="shared" si="15"/>
        <v>公共部分装修</v>
      </c>
      <c r="AA35" s="1149">
        <f t="shared" si="3"/>
        <v>1</v>
      </c>
      <c r="AB35" s="1149">
        <f t="shared" si="4"/>
        <v>1</v>
      </c>
      <c r="AC35" s="1149">
        <f t="shared" si="5"/>
        <v>1</v>
      </c>
    </row>
    <row r="36" spans="1:29" ht="15">
      <c r="A36" s="111"/>
      <c r="B36" s="4" t="s">
        <v>940</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14"/>
      <c r="Q36" s="1145" t="str">
        <f t="shared" si="11"/>
        <v>成新度</v>
      </c>
      <c r="R36" s="1146" t="s">
        <v>61</v>
      </c>
      <c r="S36" s="1147" t="e">
        <f t="shared" si="12"/>
        <v>#N/A</v>
      </c>
      <c r="T36" s="1146" t="s">
        <v>61</v>
      </c>
      <c r="U36" s="1147" t="e">
        <f t="shared" si="13"/>
        <v>#N/A</v>
      </c>
      <c r="V36" s="1146" t="s">
        <v>61</v>
      </c>
      <c r="W36" s="1147" t="e">
        <f t="shared" si="14"/>
        <v>#N/A</v>
      </c>
      <c r="X36" s="1133"/>
      <c r="Y36" s="3416"/>
      <c r="Z36" s="1148" t="str">
        <f t="shared" si="15"/>
        <v>成新度</v>
      </c>
      <c r="AA36" s="1149" t="e">
        <f t="shared" si="3"/>
        <v>#N/A</v>
      </c>
      <c r="AB36" s="1149" t="e">
        <f t="shared" si="4"/>
        <v>#N/A</v>
      </c>
      <c r="AC36" s="1149" t="e">
        <f t="shared" si="5"/>
        <v>#N/A</v>
      </c>
    </row>
    <row r="37" spans="1:29" s="11" customFormat="1" ht="15">
      <c r="A37" s="900"/>
      <c r="B37" s="4" t="s">
        <v>2552</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14"/>
      <c r="Q37" s="2" t="str">
        <f t="shared" si="11"/>
        <v>市政基础设施</v>
      </c>
      <c r="R37" s="1135" t="s">
        <v>61</v>
      </c>
      <c r="S37" s="1136">
        <f t="shared" si="12"/>
        <v>100</v>
      </c>
      <c r="T37" s="1135" t="s">
        <v>61</v>
      </c>
      <c r="U37" s="1136">
        <f t="shared" si="13"/>
        <v>100</v>
      </c>
      <c r="V37" s="1135" t="s">
        <v>61</v>
      </c>
      <c r="W37" s="1136">
        <f t="shared" si="14"/>
        <v>100</v>
      </c>
      <c r="X37" s="184"/>
      <c r="Y37" s="3416"/>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14" t="s">
        <v>941</v>
      </c>
      <c r="Q38" s="1145" t="str">
        <f t="shared" si="11"/>
        <v>业态</v>
      </c>
      <c r="R38" s="1146" t="s">
        <v>61</v>
      </c>
      <c r="S38" s="1147">
        <f t="shared" si="12"/>
        <v>100</v>
      </c>
      <c r="T38" s="1146" t="s">
        <v>61</v>
      </c>
      <c r="U38" s="1147">
        <f t="shared" si="13"/>
        <v>100</v>
      </c>
      <c r="V38" s="1146" t="s">
        <v>61</v>
      </c>
      <c r="W38" s="1147">
        <f t="shared" si="14"/>
        <v>100</v>
      </c>
      <c r="X38" s="1133"/>
      <c r="Y38" s="3416" t="s">
        <v>941</v>
      </c>
      <c r="Z38" s="1148" t="str">
        <f t="shared" si="15"/>
        <v>业态</v>
      </c>
      <c r="AA38" s="1149">
        <f t="shared" si="3"/>
        <v>1</v>
      </c>
      <c r="AB38" s="1149">
        <f t="shared" si="4"/>
        <v>1</v>
      </c>
      <c r="AC38" s="1149">
        <f t="shared" si="5"/>
        <v>1</v>
      </c>
    </row>
    <row r="39" spans="1:29" ht="15">
      <c r="A39" s="111"/>
      <c r="B39" s="4" t="s">
        <v>942</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14"/>
      <c r="Q39" s="1145" t="str">
        <f t="shared" si="11"/>
        <v>层高</v>
      </c>
      <c r="R39" s="1146" t="s">
        <v>61</v>
      </c>
      <c r="S39" s="1147">
        <f t="shared" si="12"/>
        <v>100</v>
      </c>
      <c r="T39" s="1146" t="s">
        <v>61</v>
      </c>
      <c r="U39" s="1147">
        <f t="shared" si="13"/>
        <v>100</v>
      </c>
      <c r="V39" s="1146" t="s">
        <v>61</v>
      </c>
      <c r="W39" s="1147">
        <f t="shared" si="14"/>
        <v>100</v>
      </c>
      <c r="X39" s="1133"/>
      <c r="Y39" s="3416"/>
      <c r="Z39" s="1148" t="str">
        <f t="shared" si="15"/>
        <v>层高</v>
      </c>
      <c r="AA39" s="1149">
        <f t="shared" si="3"/>
        <v>1</v>
      </c>
      <c r="AB39" s="1149">
        <f t="shared" si="4"/>
        <v>1</v>
      </c>
      <c r="AC39" s="1149">
        <f t="shared" si="5"/>
        <v>1</v>
      </c>
    </row>
    <row r="40" spans="1:29" ht="14.25">
      <c r="A40" s="111"/>
      <c r="B40" s="4" t="s">
        <v>943</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14"/>
      <c r="Q40" s="1145" t="str">
        <f t="shared" si="11"/>
        <v>单套建筑面积</v>
      </c>
      <c r="R40" s="1146" t="s">
        <v>61</v>
      </c>
      <c r="S40" s="1147">
        <f t="shared" si="12"/>
        <v>100</v>
      </c>
      <c r="T40" s="1146" t="s">
        <v>61</v>
      </c>
      <c r="U40" s="1147">
        <f t="shared" si="13"/>
        <v>100</v>
      </c>
      <c r="V40" s="1146" t="s">
        <v>61</v>
      </c>
      <c r="W40" s="1147">
        <f t="shared" si="14"/>
        <v>100</v>
      </c>
      <c r="X40" s="1133"/>
      <c r="Y40" s="3416"/>
      <c r="Z40" s="1148" t="str">
        <f t="shared" si="15"/>
        <v>单套建筑面积</v>
      </c>
      <c r="AA40" s="1149">
        <f t="shared" si="3"/>
        <v>1</v>
      </c>
      <c r="AB40" s="1149">
        <f t="shared" si="4"/>
        <v>1</v>
      </c>
      <c r="AC40" s="1149">
        <f t="shared" si="5"/>
        <v>1</v>
      </c>
    </row>
    <row r="41" spans="1:29" s="898" customFormat="1" ht="15">
      <c r="A41" s="902"/>
      <c r="B41" s="143" t="s">
        <v>944</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14"/>
      <c r="Q41" s="1153" t="str">
        <f t="shared" si="11"/>
        <v>进深比</v>
      </c>
      <c r="R41" s="1154" t="s">
        <v>61</v>
      </c>
      <c r="S41" s="1155">
        <f t="shared" si="12"/>
        <v>100</v>
      </c>
      <c r="T41" s="1154" t="s">
        <v>61</v>
      </c>
      <c r="U41" s="1155">
        <f t="shared" si="13"/>
        <v>100</v>
      </c>
      <c r="V41" s="1154" t="s">
        <v>61</v>
      </c>
      <c r="W41" s="1155">
        <f t="shared" si="14"/>
        <v>100</v>
      </c>
      <c r="X41" s="1156"/>
      <c r="Y41" s="3416"/>
      <c r="Z41" s="1157" t="str">
        <f t="shared" si="15"/>
        <v>进深比</v>
      </c>
      <c r="AA41" s="1149">
        <f t="shared" si="3"/>
        <v>1</v>
      </c>
      <c r="AB41" s="1149">
        <f t="shared" si="4"/>
        <v>1</v>
      </c>
      <c r="AC41" s="1149">
        <f t="shared" si="5"/>
        <v>1</v>
      </c>
    </row>
    <row r="42" spans="1:29" ht="15">
      <c r="A42" s="111"/>
      <c r="B42" s="4" t="s">
        <v>945</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14"/>
      <c r="Q42" s="1145" t="str">
        <f t="shared" si="11"/>
        <v>内部装修</v>
      </c>
      <c r="R42" s="1146" t="s">
        <v>61</v>
      </c>
      <c r="S42" s="1147">
        <f t="shared" si="12"/>
        <v>100</v>
      </c>
      <c r="T42" s="1146" t="s">
        <v>61</v>
      </c>
      <c r="U42" s="1147">
        <f t="shared" si="13"/>
        <v>100</v>
      </c>
      <c r="V42" s="1146" t="s">
        <v>61</v>
      </c>
      <c r="W42" s="1147">
        <f t="shared" si="14"/>
        <v>100</v>
      </c>
      <c r="X42" s="1133"/>
      <c r="Y42" s="3416"/>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14"/>
      <c r="Q43" s="1145" t="str">
        <f t="shared" si="11"/>
        <v>内部装修维护情况</v>
      </c>
      <c r="R43" s="1146" t="s">
        <v>61</v>
      </c>
      <c r="S43" s="1147">
        <f t="shared" si="12"/>
        <v>100</v>
      </c>
      <c r="T43" s="1146" t="s">
        <v>61</v>
      </c>
      <c r="U43" s="1147">
        <f t="shared" si="13"/>
        <v>100</v>
      </c>
      <c r="V43" s="1146" t="s">
        <v>61</v>
      </c>
      <c r="W43" s="1147">
        <f t="shared" si="14"/>
        <v>100</v>
      </c>
      <c r="X43" s="1133"/>
      <c r="Y43" s="3416"/>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14"/>
      <c r="Q44" s="2">
        <f t="shared" si="11"/>
        <v>111</v>
      </c>
      <c r="R44" s="1135" t="s">
        <v>61</v>
      </c>
      <c r="S44" s="1136">
        <f t="shared" si="12"/>
        <v>100</v>
      </c>
      <c r="T44" s="1135" t="s">
        <v>61</v>
      </c>
      <c r="U44" s="1136">
        <f t="shared" si="13"/>
        <v>100</v>
      </c>
      <c r="V44" s="1135" t="s">
        <v>61</v>
      </c>
      <c r="W44" s="1136">
        <f t="shared" si="14"/>
        <v>100</v>
      </c>
      <c r="X44" s="184"/>
      <c r="Y44" s="3416"/>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14"/>
      <c r="Q45" s="1145">
        <f t="shared" si="11"/>
        <v>111</v>
      </c>
      <c r="R45" s="1146" t="s">
        <v>61</v>
      </c>
      <c r="S45" s="1147">
        <f t="shared" si="12"/>
        <v>100</v>
      </c>
      <c r="T45" s="1146" t="s">
        <v>61</v>
      </c>
      <c r="U45" s="1147">
        <f t="shared" si="13"/>
        <v>100</v>
      </c>
      <c r="V45" s="1146" t="s">
        <v>61</v>
      </c>
      <c r="W45" s="1147">
        <f t="shared" si="14"/>
        <v>100</v>
      </c>
      <c r="X45" s="1133"/>
      <c r="Y45" s="3416"/>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15"/>
      <c r="Q46" s="1145">
        <f t="shared" si="11"/>
        <v>111</v>
      </c>
      <c r="R46" s="1146" t="s">
        <v>61</v>
      </c>
      <c r="S46" s="1147">
        <f t="shared" si="12"/>
        <v>100</v>
      </c>
      <c r="T46" s="1146" t="s">
        <v>61</v>
      </c>
      <c r="U46" s="1147">
        <f t="shared" si="13"/>
        <v>100</v>
      </c>
      <c r="V46" s="1146" t="s">
        <v>61</v>
      </c>
      <c r="W46" s="1147">
        <f t="shared" si="14"/>
        <v>100</v>
      </c>
      <c r="X46" s="1133"/>
      <c r="Y46" s="3417"/>
      <c r="Z46" s="1148">
        <f t="shared" si="15"/>
        <v>111</v>
      </c>
      <c r="AA46" s="1149">
        <f t="shared" si="3"/>
        <v>1</v>
      </c>
      <c r="AB46" s="1149">
        <f t="shared" si="4"/>
        <v>1</v>
      </c>
      <c r="AC46" s="1149">
        <f t="shared" si="5"/>
        <v>1</v>
      </c>
    </row>
    <row r="47" spans="1:29" ht="15">
      <c r="A47" s="113" t="s">
        <v>946</v>
      </c>
      <c r="B47" s="114"/>
      <c r="C47" s="2610" t="s">
        <v>20</v>
      </c>
      <c r="D47" s="2611"/>
      <c r="E47" s="2612"/>
      <c r="F47" s="2613"/>
      <c r="G47" s="2614"/>
      <c r="H47" s="2615"/>
      <c r="I47" s="2612"/>
      <c r="J47" s="2615"/>
      <c r="K47" s="1188"/>
      <c r="L47" s="2172"/>
      <c r="M47" s="2173"/>
      <c r="N47" s="2165"/>
      <c r="O47" s="2173"/>
      <c r="P47" s="3422" t="str">
        <f>A47</f>
        <v>成交单价（元/平方米）</v>
      </c>
      <c r="Q47" s="3422"/>
      <c r="R47" s="3423">
        <f>E47</f>
        <v>0</v>
      </c>
      <c r="S47" s="3423"/>
      <c r="T47" s="3423">
        <f>G47</f>
        <v>0</v>
      </c>
      <c r="U47" s="3423"/>
      <c r="V47" s="3423">
        <f>I47</f>
        <v>0</v>
      </c>
      <c r="W47" s="3423"/>
      <c r="X47" s="1159"/>
      <c r="Y47" s="1160"/>
      <c r="Z47" s="1159"/>
      <c r="AA47" s="1159"/>
      <c r="AB47" s="1159"/>
      <c r="AC47" s="1159"/>
    </row>
    <row r="48" spans="1:29" ht="15.75" thickBot="1">
      <c r="A48" s="115" t="s">
        <v>947</v>
      </c>
      <c r="B48" s="116"/>
      <c r="C48" s="2616" t="e">
        <f>R49</f>
        <v>#DIV/0!</v>
      </c>
      <c r="D48" s="2617"/>
      <c r="E48" s="2618" t="e">
        <f>R48</f>
        <v>#DIV/0!</v>
      </c>
      <c r="F48" s="2618"/>
      <c r="G48" s="2616" t="e">
        <f>T48</f>
        <v>#DIV/0!</v>
      </c>
      <c r="H48" s="2617"/>
      <c r="I48" s="2618" t="e">
        <f>V48</f>
        <v>#DIV/0!</v>
      </c>
      <c r="J48" s="2617"/>
      <c r="K48" s="1189"/>
      <c r="L48" s="2172"/>
      <c r="M48" s="2173"/>
      <c r="N48" s="2165"/>
      <c r="O48" s="2173"/>
      <c r="P48" s="3422" t="str">
        <f>A48</f>
        <v>比较价值（元/平方米）</v>
      </c>
      <c r="Q48" s="3422"/>
      <c r="R48" s="3423" t="e">
        <f>IF(E1="售价",ROUND(PRODUCT(R47,AA7:AA46),0),ROUND(PRODUCT(R47,AA7:AA46),1))</f>
        <v>#DIV/0!</v>
      </c>
      <c r="S48" s="3423"/>
      <c r="T48" s="3423" t="e">
        <f>IF(E1="售价",ROUND(PRODUCT(T47,AB7:AB46),0),ROUND(PRODUCT(T47,AB7:AB46),1))</f>
        <v>#DIV/0!</v>
      </c>
      <c r="U48" s="3423"/>
      <c r="V48" s="3423" t="e">
        <f>IF(E1="售价",ROUND(PRODUCT(V47,AC7:AC46),0),ROUND(PRODUCT(V47,AC7:AC46),1))</f>
        <v>#DIV/0!</v>
      </c>
      <c r="W48" s="3423"/>
      <c r="X48" s="1159"/>
      <c r="Y48" s="1159"/>
      <c r="Z48" s="1159"/>
      <c r="AA48" s="1159"/>
      <c r="AB48" s="1159"/>
      <c r="AC48" s="1159"/>
    </row>
    <row r="49" spans="1:29" ht="15.75" thickBot="1">
      <c r="A49" s="62" t="s">
        <v>948</v>
      </c>
      <c r="B49" s="63"/>
      <c r="C49" s="2620" t="e">
        <f>R49</f>
        <v>#DIV/0!</v>
      </c>
      <c r="D49" s="2620"/>
      <c r="E49" s="2620"/>
      <c r="F49" s="2620"/>
      <c r="G49" s="2620"/>
      <c r="H49" s="2620"/>
      <c r="I49" s="2620"/>
      <c r="J49" s="2620"/>
      <c r="K49" s="1190"/>
      <c r="L49" s="2172"/>
      <c r="M49" s="2173"/>
      <c r="N49" s="2165"/>
      <c r="O49" s="2173"/>
      <c r="P49" s="3428" t="str">
        <f>A49</f>
        <v>估价对象XX用房的比较价值（楼面单价，元/平方米）</v>
      </c>
      <c r="Q49" s="3429"/>
      <c r="R49" s="3430" t="e">
        <f>IF(E1="售价",ROUND(AVERAGE(R48:V48),0),ROUND(AVERAGE(R48:V48),1))</f>
        <v>#DIV/0!</v>
      </c>
      <c r="S49" s="3430"/>
      <c r="T49" s="3430"/>
      <c r="U49" s="3430"/>
      <c r="V49" s="3430"/>
      <c r="W49" s="3430"/>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916</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917</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918</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949</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950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951</v>
      </c>
      <c r="B60" s="911"/>
      <c r="C60" s="716"/>
      <c r="D60" s="717"/>
      <c r="E60" s="717"/>
      <c r="F60" s="717"/>
      <c r="G60" s="717"/>
      <c r="H60" s="717"/>
      <c r="I60" s="717"/>
      <c r="J60" s="717"/>
      <c r="K60" s="717"/>
      <c r="L60" s="717"/>
      <c r="M60" s="718"/>
      <c r="N60" s="717"/>
      <c r="O60" s="718"/>
      <c r="P60" s="1172"/>
      <c r="Q60" s="68"/>
    </row>
    <row r="61" spans="1:29" s="11" customFormat="1">
      <c r="A61" s="912" t="s">
        <v>952</v>
      </c>
      <c r="B61" s="909"/>
      <c r="C61" s="913" t="s">
        <v>953</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954</v>
      </c>
      <c r="B63" s="183" t="s">
        <v>955</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956</v>
      </c>
      <c r="C65" s="740" t="s">
        <v>919</v>
      </c>
      <c r="D65" s="740" t="s">
        <v>920</v>
      </c>
      <c r="E65" s="740" t="s">
        <v>921</v>
      </c>
      <c r="F65" s="740" t="s">
        <v>922</v>
      </c>
      <c r="G65" s="740" t="s">
        <v>923</v>
      </c>
      <c r="H65" s="740" t="s">
        <v>924</v>
      </c>
      <c r="I65" s="740" t="s">
        <v>925</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957</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958</v>
      </c>
      <c r="B76" s="183" t="s">
        <v>959</v>
      </c>
      <c r="C76" s="775" t="s">
        <v>926</v>
      </c>
      <c r="D76" s="775" t="s">
        <v>927</v>
      </c>
      <c r="E76" s="775" t="s">
        <v>928</v>
      </c>
      <c r="F76" s="775" t="s">
        <v>929</v>
      </c>
      <c r="G76" s="775" t="s">
        <v>930</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965</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2541</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2553</v>
      </c>
      <c r="C82" s="129" t="s">
        <v>2545</v>
      </c>
      <c r="D82" s="129" t="s">
        <v>2546</v>
      </c>
      <c r="E82" s="129" t="s">
        <v>2547</v>
      </c>
      <c r="F82" s="129" t="s">
        <v>2548</v>
      </c>
      <c r="G82" s="129" t="s">
        <v>2549</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966</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967</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968</v>
      </c>
      <c r="B100" s="183" t="s">
        <v>969</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970</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971</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972</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973</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2544</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974</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975</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976</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977</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979</v>
      </c>
      <c r="C124" s="133" t="s">
        <v>960</v>
      </c>
      <c r="D124" s="133" t="s">
        <v>961</v>
      </c>
      <c r="E124" s="133" t="s">
        <v>962</v>
      </c>
      <c r="F124" s="133" t="s">
        <v>963</v>
      </c>
      <c r="G124" s="133" t="s">
        <v>964</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980</v>
      </c>
      <c r="B1" s="2892" t="s">
        <v>981</v>
      </c>
      <c r="C1" s="2893"/>
      <c r="D1" s="2897"/>
      <c r="E1" s="2895"/>
      <c r="F1" s="2896" t="s">
        <v>982</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983</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984</v>
      </c>
      <c r="B3" s="811" t="e">
        <f ca="1">ROUND(IF(D2="——",C50,IF(C2="万元",B2*10000/D3,B2/D3)),0)</f>
        <v>#DIV/0!</v>
      </c>
      <c r="C3" s="89" t="s">
        <v>985</v>
      </c>
      <c r="D3" s="596">
        <f>IF(C1="仅计算典型户型",'数据-取费表'!E5,'数据-取费表'!B5)</f>
        <v>56.82</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986</v>
      </c>
      <c r="B4" s="91"/>
      <c r="C4" s="3386" t="s">
        <v>987</v>
      </c>
      <c r="D4" s="3387"/>
      <c r="E4" s="3388" t="s">
        <v>988</v>
      </c>
      <c r="F4" s="3389"/>
      <c r="G4" s="3386" t="s">
        <v>989</v>
      </c>
      <c r="H4" s="3387"/>
      <c r="I4" s="3386" t="s">
        <v>990</v>
      </c>
      <c r="J4" s="3387"/>
      <c r="K4" s="139" t="s">
        <v>991</v>
      </c>
      <c r="L4" s="2164"/>
      <c r="M4" s="2165"/>
      <c r="N4" s="2165"/>
      <c r="O4" s="2165"/>
      <c r="P4" s="3461" t="s">
        <v>986</v>
      </c>
      <c r="Q4" s="3391"/>
      <c r="R4" s="3396" t="s">
        <v>988</v>
      </c>
      <c r="S4" s="3397"/>
      <c r="T4" s="3396" t="s">
        <v>989</v>
      </c>
      <c r="U4" s="3397"/>
      <c r="V4" s="3402" t="s">
        <v>990</v>
      </c>
      <c r="W4" s="3402"/>
      <c r="X4" s="1133"/>
      <c r="Y4" s="3396" t="s">
        <v>986</v>
      </c>
      <c r="Z4" s="3397"/>
      <c r="AA4" s="3383" t="s">
        <v>988</v>
      </c>
      <c r="AB4" s="3383" t="s">
        <v>989</v>
      </c>
      <c r="AC4" s="3383" t="s">
        <v>990</v>
      </c>
    </row>
    <row r="5" spans="1:29">
      <c r="A5" s="93"/>
      <c r="B5" s="94"/>
      <c r="C5" s="3405" t="s">
        <v>992</v>
      </c>
      <c r="D5" s="3406"/>
      <c r="E5" s="3403" t="s">
        <v>993</v>
      </c>
      <c r="F5" s="3404"/>
      <c r="G5" s="3405" t="s">
        <v>994</v>
      </c>
      <c r="H5" s="3406"/>
      <c r="I5" s="3405" t="s">
        <v>995</v>
      </c>
      <c r="J5" s="3406"/>
      <c r="K5" s="139"/>
      <c r="L5" s="2164"/>
      <c r="M5" s="2165"/>
      <c r="N5" s="2165"/>
      <c r="O5" s="2165"/>
      <c r="P5" s="3462"/>
      <c r="Q5" s="3393"/>
      <c r="R5" s="3398"/>
      <c r="S5" s="3399"/>
      <c r="T5" s="3398"/>
      <c r="U5" s="3399"/>
      <c r="V5" s="3402"/>
      <c r="W5" s="3402"/>
      <c r="X5" s="1133"/>
      <c r="Y5" s="3398"/>
      <c r="Z5" s="3399"/>
      <c r="AA5" s="3384"/>
      <c r="AB5" s="3384"/>
      <c r="AC5" s="3384"/>
    </row>
    <row r="6" spans="1:29" ht="14.25" thickBot="1">
      <c r="A6" s="95"/>
      <c r="B6" s="96"/>
      <c r="C6" s="3407" t="s">
        <v>996</v>
      </c>
      <c r="D6" s="3408"/>
      <c r="E6" s="3409" t="s">
        <v>996</v>
      </c>
      <c r="F6" s="3410"/>
      <c r="G6" s="3407" t="s">
        <v>996</v>
      </c>
      <c r="H6" s="3408"/>
      <c r="I6" s="3407" t="s">
        <v>996</v>
      </c>
      <c r="J6" s="3408"/>
      <c r="K6" s="139" t="s">
        <v>997</v>
      </c>
      <c r="L6" s="2164"/>
      <c r="M6" s="2165"/>
      <c r="N6" s="2165"/>
      <c r="O6" s="2165"/>
      <c r="P6" s="3463"/>
      <c r="Q6" s="3395"/>
      <c r="R6" s="3398"/>
      <c r="S6" s="3399"/>
      <c r="T6" s="3400"/>
      <c r="U6" s="3401"/>
      <c r="V6" s="3402"/>
      <c r="W6" s="3402"/>
      <c r="X6" s="1133"/>
      <c r="Y6" s="3400"/>
      <c r="Z6" s="3401"/>
      <c r="AA6" s="3385"/>
      <c r="AB6" s="3385"/>
      <c r="AC6" s="3385"/>
    </row>
    <row r="7" spans="1:29" s="11" customFormat="1" ht="15" thickBot="1">
      <c r="A7" s="872" t="s">
        <v>998</v>
      </c>
      <c r="B7" s="873"/>
      <c r="C7" s="607">
        <f>'数据-取费表'!B2</f>
        <v>42934</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20" t="s">
        <v>998</v>
      </c>
      <c r="Q7" s="3420"/>
      <c r="R7" s="1135" t="s">
        <v>61</v>
      </c>
      <c r="S7" s="1136">
        <f t="shared" ref="S7:S15" si="0">F7</f>
        <v>0</v>
      </c>
      <c r="T7" s="1135" t="s">
        <v>61</v>
      </c>
      <c r="U7" s="1136">
        <f t="shared" ref="U7:U15" si="1">H7</f>
        <v>0</v>
      </c>
      <c r="V7" s="1135" t="s">
        <v>61</v>
      </c>
      <c r="W7" s="1136">
        <f t="shared" ref="W7:W15" si="2">J7</f>
        <v>0</v>
      </c>
      <c r="X7" s="184"/>
      <c r="Y7" s="3418" t="s">
        <v>998</v>
      </c>
      <c r="Z7" s="3419"/>
      <c r="AA7" s="1137" t="e">
        <f>D7/F7</f>
        <v>#DIV/0!</v>
      </c>
      <c r="AB7" s="1137" t="e">
        <f>D7/H7</f>
        <v>#DIV/0!</v>
      </c>
      <c r="AC7" s="1137" t="e">
        <f>D7/J7</f>
        <v>#DIV/0!</v>
      </c>
    </row>
    <row r="8" spans="1:29" s="11" customFormat="1" ht="15" thickBot="1">
      <c r="A8" s="872" t="s">
        <v>999</v>
      </c>
      <c r="B8" s="873"/>
      <c r="C8" s="878" t="s">
        <v>1000</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20" t="s">
        <v>931</v>
      </c>
      <c r="Q8" s="3419"/>
      <c r="R8" s="1135" t="s">
        <v>61</v>
      </c>
      <c r="S8" s="1136">
        <f t="shared" si="0"/>
        <v>0</v>
      </c>
      <c r="T8" s="1135" t="s">
        <v>61</v>
      </c>
      <c r="U8" s="1136">
        <f t="shared" si="1"/>
        <v>0</v>
      </c>
      <c r="V8" s="1135" t="s">
        <v>61</v>
      </c>
      <c r="W8" s="1136">
        <f t="shared" si="2"/>
        <v>0</v>
      </c>
      <c r="X8" s="184"/>
      <c r="Y8" s="3418" t="s">
        <v>931</v>
      </c>
      <c r="Z8" s="3419"/>
      <c r="AA8" s="1137" t="e">
        <f t="shared" ref="AA8:AA47" si="3">D8/F8</f>
        <v>#DIV/0!</v>
      </c>
      <c r="AB8" s="1137" t="e">
        <f t="shared" ref="AB8:AB47" si="4">D8/H8</f>
        <v>#DIV/0!</v>
      </c>
      <c r="AC8" s="1137" t="e">
        <f t="shared" ref="AC8:AC47" si="5">D8/J8</f>
        <v>#DIV/0!</v>
      </c>
    </row>
    <row r="9" spans="1:29" s="11" customFormat="1" ht="14.25">
      <c r="A9" s="879" t="s">
        <v>932</v>
      </c>
      <c r="B9" s="20" t="s">
        <v>933</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29" t="s">
        <v>63</v>
      </c>
      <c r="Q9" s="2" t="str">
        <f t="shared" ref="Q9:Q15" si="6">B9</f>
        <v>用途</v>
      </c>
      <c r="R9" s="1135" t="s">
        <v>61</v>
      </c>
      <c r="S9" s="1136">
        <f t="shared" si="0"/>
        <v>100</v>
      </c>
      <c r="T9" s="1135" t="s">
        <v>61</v>
      </c>
      <c r="U9" s="1136">
        <f t="shared" si="1"/>
        <v>100</v>
      </c>
      <c r="V9" s="1135" t="s">
        <v>61</v>
      </c>
      <c r="W9" s="1136">
        <f t="shared" si="2"/>
        <v>100</v>
      </c>
      <c r="X9" s="184"/>
      <c r="Y9" s="325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29"/>
      <c r="Q10" s="2" t="str">
        <f t="shared" si="6"/>
        <v>土地使用年限（年）</v>
      </c>
      <c r="R10" s="1135" t="s">
        <v>61</v>
      </c>
      <c r="S10" s="1136">
        <f t="shared" si="0"/>
        <v>100</v>
      </c>
      <c r="T10" s="1135" t="s">
        <v>61</v>
      </c>
      <c r="U10" s="1136">
        <f t="shared" si="1"/>
        <v>100</v>
      </c>
      <c r="V10" s="1135" t="s">
        <v>61</v>
      </c>
      <c r="W10" s="1136">
        <f t="shared" si="2"/>
        <v>100</v>
      </c>
      <c r="X10" s="184"/>
      <c r="Y10" s="325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29"/>
      <c r="Q11" s="2" t="str">
        <f t="shared" si="6"/>
        <v>容积率</v>
      </c>
      <c r="R11" s="1135" t="s">
        <v>61</v>
      </c>
      <c r="S11" s="1136" t="e">
        <f t="shared" si="0"/>
        <v>#N/A</v>
      </c>
      <c r="T11" s="1135" t="s">
        <v>61</v>
      </c>
      <c r="U11" s="1136" t="e">
        <f t="shared" si="1"/>
        <v>#N/A</v>
      </c>
      <c r="V11" s="1135" t="s">
        <v>61</v>
      </c>
      <c r="W11" s="1136" t="e">
        <f t="shared" si="2"/>
        <v>#N/A</v>
      </c>
      <c r="X11" s="184"/>
      <c r="Y11" s="3254"/>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29"/>
      <c r="Q12" s="2">
        <f t="shared" si="6"/>
        <v>111</v>
      </c>
      <c r="R12" s="1135" t="s">
        <v>61</v>
      </c>
      <c r="S12" s="1136">
        <f t="shared" si="0"/>
        <v>100</v>
      </c>
      <c r="T12" s="1135" t="s">
        <v>61</v>
      </c>
      <c r="U12" s="1136">
        <f t="shared" si="1"/>
        <v>100</v>
      </c>
      <c r="V12" s="1135" t="s">
        <v>61</v>
      </c>
      <c r="W12" s="1136">
        <f t="shared" si="2"/>
        <v>100</v>
      </c>
      <c r="X12" s="184"/>
      <c r="Y12" s="3254"/>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29"/>
      <c r="Q13" s="2">
        <f t="shared" si="6"/>
        <v>111</v>
      </c>
      <c r="R13" s="1135" t="s">
        <v>61</v>
      </c>
      <c r="S13" s="1136">
        <f t="shared" si="0"/>
        <v>100</v>
      </c>
      <c r="T13" s="1135" t="s">
        <v>61</v>
      </c>
      <c r="U13" s="1136">
        <f t="shared" si="1"/>
        <v>100</v>
      </c>
      <c r="V13" s="1135" t="s">
        <v>61</v>
      </c>
      <c r="W13" s="1136">
        <f t="shared" si="2"/>
        <v>100</v>
      </c>
      <c r="X13" s="184"/>
      <c r="Y13" s="3254"/>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29"/>
      <c r="Q14" s="2">
        <f t="shared" si="6"/>
        <v>111</v>
      </c>
      <c r="R14" s="1135" t="s">
        <v>61</v>
      </c>
      <c r="S14" s="1136">
        <f t="shared" si="0"/>
        <v>100</v>
      </c>
      <c r="T14" s="1135" t="s">
        <v>61</v>
      </c>
      <c r="U14" s="1136">
        <f t="shared" si="1"/>
        <v>100</v>
      </c>
      <c r="V14" s="1135" t="s">
        <v>61</v>
      </c>
      <c r="W14" s="1136">
        <f t="shared" si="2"/>
        <v>100</v>
      </c>
      <c r="X14" s="184"/>
      <c r="Y14" s="3254"/>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391" t="s">
        <v>65</v>
      </c>
      <c r="Q15" s="1145" t="str">
        <f t="shared" si="6"/>
        <v>办公集聚程度</v>
      </c>
      <c r="R15" s="1146" t="s">
        <v>61</v>
      </c>
      <c r="S15" s="1147">
        <f t="shared" si="0"/>
        <v>100</v>
      </c>
      <c r="T15" s="1146" t="s">
        <v>61</v>
      </c>
      <c r="U15" s="1147">
        <f t="shared" si="1"/>
        <v>100</v>
      </c>
      <c r="V15" s="1146" t="s">
        <v>61</v>
      </c>
      <c r="W15" s="1147">
        <f t="shared" si="2"/>
        <v>100</v>
      </c>
      <c r="X15" s="1133"/>
      <c r="Y15" s="3411"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393"/>
      <c r="Q16" s="1145"/>
      <c r="R16" s="1146"/>
      <c r="S16" s="1147"/>
      <c r="T16" s="1146"/>
      <c r="U16" s="1147"/>
      <c r="V16" s="1146"/>
      <c r="W16" s="1147"/>
      <c r="X16" s="1133"/>
      <c r="Y16" s="3412"/>
      <c r="Z16" s="1148"/>
      <c r="AA16" s="1149">
        <v>1</v>
      </c>
      <c r="AB16" s="1149">
        <v>1</v>
      </c>
      <c r="AC16" s="1149">
        <v>1</v>
      </c>
    </row>
    <row r="17" spans="1:29" ht="175.5">
      <c r="A17" s="98"/>
      <c r="B17" s="892" t="s">
        <v>67</v>
      </c>
      <c r="C17" s="162" t="str">
        <f>估价对象房地状况!C6</f>
        <v>以估价对象为圆心，半径1公里内有75、95、112、115、411路等10余条公共线路及地铁6号线（青年路站）、八通线（四惠东站）、小区内有地下车库，综合评价交通便捷度较好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393"/>
      <c r="Q17" s="1145" t="str">
        <f>B17</f>
        <v>交通便捷度</v>
      </c>
      <c r="R17" s="1146" t="s">
        <v>61</v>
      </c>
      <c r="S17" s="1147">
        <f>F17</f>
        <v>100</v>
      </c>
      <c r="T17" s="1146" t="s">
        <v>61</v>
      </c>
      <c r="U17" s="1147">
        <f>H17</f>
        <v>100</v>
      </c>
      <c r="V17" s="1146" t="s">
        <v>61</v>
      </c>
      <c r="W17" s="1147">
        <f>J17</f>
        <v>100</v>
      </c>
      <c r="X17" s="1133"/>
      <c r="Y17" s="3412"/>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393"/>
      <c r="Q18" s="1145"/>
      <c r="R18" s="1146"/>
      <c r="S18" s="1147"/>
      <c r="T18" s="1146"/>
      <c r="U18" s="1147"/>
      <c r="V18" s="1146"/>
      <c r="W18" s="1147"/>
      <c r="X18" s="1133"/>
      <c r="Y18" s="3412"/>
      <c r="Z18" s="1148"/>
      <c r="AA18" s="1149">
        <v>1</v>
      </c>
      <c r="AB18" s="1149">
        <v>1</v>
      </c>
      <c r="AC18" s="1149">
        <v>1</v>
      </c>
    </row>
    <row r="19" spans="1:29" ht="40.5">
      <c r="A19" s="98"/>
      <c r="B19" s="892" t="s">
        <v>2554</v>
      </c>
      <c r="C19" s="162" t="str">
        <f>估价对象房地状况!C7</f>
        <v>较好——有餐饮、医院、超市、学校等</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393"/>
      <c r="Q19" s="1145" t="str">
        <f>B19</f>
        <v>公共配套设施</v>
      </c>
      <c r="R19" s="1146" t="s">
        <v>61</v>
      </c>
      <c r="S19" s="1147">
        <f>F19</f>
        <v>100</v>
      </c>
      <c r="T19" s="1146" t="s">
        <v>61</v>
      </c>
      <c r="U19" s="1147">
        <f>H19</f>
        <v>100</v>
      </c>
      <c r="V19" s="1146" t="s">
        <v>61</v>
      </c>
      <c r="W19" s="1147">
        <f>J19</f>
        <v>100</v>
      </c>
      <c r="X19" s="1133"/>
      <c r="Y19" s="3412"/>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393"/>
      <c r="Q20" s="1145"/>
      <c r="R20" s="1146"/>
      <c r="S20" s="1147"/>
      <c r="T20" s="1146"/>
      <c r="U20" s="1147"/>
      <c r="V20" s="1146"/>
      <c r="W20" s="1147"/>
      <c r="X20" s="1133"/>
      <c r="Y20" s="3412"/>
      <c r="Z20" s="1148"/>
      <c r="AA20" s="1149">
        <v>1</v>
      </c>
      <c r="AB20" s="1149">
        <v>1</v>
      </c>
      <c r="AC20" s="1149">
        <v>1</v>
      </c>
    </row>
    <row r="21" spans="1:29" ht="15">
      <c r="A21" s="98"/>
      <c r="B21" s="894" t="s">
        <v>2555</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393"/>
      <c r="Q21" s="2550" t="str">
        <f>B21</f>
        <v>基础设施水平</v>
      </c>
      <c r="R21" s="1146" t="s">
        <v>61</v>
      </c>
      <c r="S21" s="1147">
        <f>F21</f>
        <v>100</v>
      </c>
      <c r="T21" s="1146" t="s">
        <v>61</v>
      </c>
      <c r="U21" s="1147">
        <f>H21</f>
        <v>100</v>
      </c>
      <c r="V21" s="1146" t="s">
        <v>61</v>
      </c>
      <c r="W21" s="1147">
        <f>J21</f>
        <v>100</v>
      </c>
      <c r="X21" s="2548"/>
      <c r="Y21" s="3412"/>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393"/>
      <c r="Q22" s="2550"/>
      <c r="R22" s="1146"/>
      <c r="S22" s="1147"/>
      <c r="T22" s="1146"/>
      <c r="U22" s="1147"/>
      <c r="V22" s="1146"/>
      <c r="W22" s="1147"/>
      <c r="X22" s="2548"/>
      <c r="Y22" s="3412"/>
      <c r="Z22" s="2549"/>
      <c r="AA22" s="1149">
        <v>1</v>
      </c>
      <c r="AB22" s="1149">
        <v>1</v>
      </c>
      <c r="AC22" s="1149">
        <v>1</v>
      </c>
    </row>
    <row r="23" spans="1:29" ht="94.5">
      <c r="A23" s="98"/>
      <c r="B23" s="892" t="s">
        <v>143</v>
      </c>
      <c r="C23" s="162" t="str">
        <f>估价对象房地状况!C9</f>
        <v>区域自然环境：兴隆公园、通惠河；人文环境：中国紫檀博物馆；综合评价环境状况较好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393"/>
      <c r="Q23" s="1145" t="str">
        <f>B23</f>
        <v>环境质量</v>
      </c>
      <c r="R23" s="1146" t="s">
        <v>61</v>
      </c>
      <c r="S23" s="1147">
        <f>F23</f>
        <v>100</v>
      </c>
      <c r="T23" s="1146" t="s">
        <v>61</v>
      </c>
      <c r="U23" s="1147">
        <f>H23</f>
        <v>100</v>
      </c>
      <c r="V23" s="1146" t="s">
        <v>61</v>
      </c>
      <c r="W23" s="1147">
        <f>J23</f>
        <v>100</v>
      </c>
      <c r="X23" s="1133"/>
      <c r="Y23" s="3412"/>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393"/>
      <c r="Q24" s="1145"/>
      <c r="R24" s="1146"/>
      <c r="S24" s="1147"/>
      <c r="T24" s="1146"/>
      <c r="U24" s="1147"/>
      <c r="V24" s="1146"/>
      <c r="W24" s="1147"/>
      <c r="X24" s="1133"/>
      <c r="Y24" s="3412"/>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393"/>
      <c r="Q25" s="1145" t="str">
        <f>B25</f>
        <v>毗邻道路的类型与等级</v>
      </c>
      <c r="R25" s="1146" t="s">
        <v>61</v>
      </c>
      <c r="S25" s="1147">
        <f>F25</f>
        <v>100</v>
      </c>
      <c r="T25" s="1146" t="s">
        <v>61</v>
      </c>
      <c r="U25" s="1147">
        <f>H25</f>
        <v>100</v>
      </c>
      <c r="V25" s="1146" t="s">
        <v>61</v>
      </c>
      <c r="W25" s="1147">
        <f>J25</f>
        <v>100</v>
      </c>
      <c r="X25" s="1133"/>
      <c r="Y25" s="3412"/>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393"/>
      <c r="Q26" s="1145"/>
      <c r="R26" s="1146"/>
      <c r="S26" s="1147"/>
      <c r="T26" s="1146"/>
      <c r="U26" s="1147"/>
      <c r="V26" s="1146"/>
      <c r="W26" s="1147"/>
      <c r="X26" s="1133"/>
      <c r="Y26" s="3412"/>
      <c r="Z26" s="1148"/>
      <c r="AA26" s="1149">
        <v>1</v>
      </c>
      <c r="AB26" s="1149">
        <v>1</v>
      </c>
      <c r="AC26" s="1149">
        <v>1</v>
      </c>
    </row>
    <row r="27" spans="1:29" ht="15">
      <c r="A27" s="98"/>
      <c r="B27" s="893" t="s">
        <v>1001</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393"/>
      <c r="Q27" s="1145" t="str">
        <f t="shared" ref="Q27:Q47" si="11">B27</f>
        <v>楼层</v>
      </c>
      <c r="R27" s="1146" t="s">
        <v>61</v>
      </c>
      <c r="S27" s="1147">
        <f>F27</f>
        <v>100</v>
      </c>
      <c r="T27" s="1146" t="s">
        <v>61</v>
      </c>
      <c r="U27" s="1147">
        <f>H27</f>
        <v>100</v>
      </c>
      <c r="V27" s="1146" t="s">
        <v>61</v>
      </c>
      <c r="W27" s="1147">
        <f>J27</f>
        <v>100</v>
      </c>
      <c r="X27" s="1133"/>
      <c r="Y27" s="3412"/>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393"/>
      <c r="Q28" s="2" t="str">
        <f t="shared" si="11"/>
        <v>朝向</v>
      </c>
      <c r="R28" s="1135" t="s">
        <v>61</v>
      </c>
      <c r="S28" s="1136">
        <f>F28</f>
        <v>100</v>
      </c>
      <c r="T28" s="1135" t="s">
        <v>61</v>
      </c>
      <c r="U28" s="1136">
        <f>H28</f>
        <v>100</v>
      </c>
      <c r="V28" s="1135" t="s">
        <v>61</v>
      </c>
      <c r="W28" s="1136">
        <f>J28</f>
        <v>100</v>
      </c>
      <c r="X28" s="184"/>
      <c r="Y28" s="3412"/>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393"/>
      <c r="Q29" s="1145">
        <f t="shared" si="11"/>
        <v>111</v>
      </c>
      <c r="R29" s="1146" t="s">
        <v>61</v>
      </c>
      <c r="S29" s="1147">
        <f t="shared" ref="S29:S47" si="12">F29</f>
        <v>100</v>
      </c>
      <c r="T29" s="1146" t="s">
        <v>61</v>
      </c>
      <c r="U29" s="1147">
        <f t="shared" ref="U29:U47" si="13">H29</f>
        <v>100</v>
      </c>
      <c r="V29" s="1146" t="s">
        <v>61</v>
      </c>
      <c r="W29" s="1147">
        <f t="shared" ref="W29:W47" si="14">J29</f>
        <v>100</v>
      </c>
      <c r="X29" s="1133"/>
      <c r="Y29" s="3412"/>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393"/>
      <c r="Q30" s="1145">
        <f t="shared" si="11"/>
        <v>111</v>
      </c>
      <c r="R30" s="1146" t="s">
        <v>61</v>
      </c>
      <c r="S30" s="1147">
        <f t="shared" si="12"/>
        <v>100</v>
      </c>
      <c r="T30" s="1146" t="s">
        <v>61</v>
      </c>
      <c r="U30" s="1147">
        <f t="shared" si="13"/>
        <v>100</v>
      </c>
      <c r="V30" s="1146" t="s">
        <v>61</v>
      </c>
      <c r="W30" s="1147">
        <f t="shared" si="14"/>
        <v>100</v>
      </c>
      <c r="X30" s="1133"/>
      <c r="Y30" s="3412"/>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393"/>
      <c r="Q31" s="1145">
        <f t="shared" si="11"/>
        <v>111</v>
      </c>
      <c r="R31" s="1146" t="s">
        <v>61</v>
      </c>
      <c r="S31" s="1147">
        <f t="shared" si="12"/>
        <v>100</v>
      </c>
      <c r="T31" s="1146" t="s">
        <v>61</v>
      </c>
      <c r="U31" s="1147">
        <f t="shared" si="13"/>
        <v>100</v>
      </c>
      <c r="V31" s="1146" t="s">
        <v>61</v>
      </c>
      <c r="W31" s="1147">
        <f t="shared" si="14"/>
        <v>100</v>
      </c>
      <c r="X31" s="1133"/>
      <c r="Y31" s="3412"/>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393"/>
      <c r="Q32" s="1145">
        <f t="shared" si="11"/>
        <v>111</v>
      </c>
      <c r="R32" s="1146" t="s">
        <v>61</v>
      </c>
      <c r="S32" s="1147">
        <f t="shared" si="12"/>
        <v>100</v>
      </c>
      <c r="T32" s="1146" t="s">
        <v>61</v>
      </c>
      <c r="U32" s="1147">
        <f t="shared" si="13"/>
        <v>100</v>
      </c>
      <c r="V32" s="1146" t="s">
        <v>61</v>
      </c>
      <c r="W32" s="1147">
        <f t="shared" si="14"/>
        <v>100</v>
      </c>
      <c r="X32" s="1133"/>
      <c r="Y32" s="3412"/>
      <c r="Z32" s="1148">
        <f t="shared" si="15"/>
        <v>111</v>
      </c>
      <c r="AA32" s="1149">
        <f t="shared" si="3"/>
        <v>1</v>
      </c>
      <c r="AB32" s="1149">
        <f t="shared" si="4"/>
        <v>1</v>
      </c>
      <c r="AC32" s="1149">
        <f t="shared" si="5"/>
        <v>1</v>
      </c>
    </row>
    <row r="33" spans="1:29" ht="15">
      <c r="A33" s="105" t="s">
        <v>1002</v>
      </c>
      <c r="B33" s="20" t="s">
        <v>1003</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1004</v>
      </c>
      <c r="Q33" s="1145" t="str">
        <f t="shared" si="11"/>
        <v>建筑类型</v>
      </c>
      <c r="R33" s="1146" t="s">
        <v>61</v>
      </c>
      <c r="S33" s="1147">
        <f t="shared" si="12"/>
        <v>100</v>
      </c>
      <c r="T33" s="1146" t="s">
        <v>61</v>
      </c>
      <c r="U33" s="1147">
        <f t="shared" si="13"/>
        <v>100</v>
      </c>
      <c r="V33" s="1146" t="s">
        <v>61</v>
      </c>
      <c r="W33" s="1147">
        <f t="shared" si="14"/>
        <v>100</v>
      </c>
      <c r="X33" s="1133"/>
      <c r="Y33" s="3416" t="s">
        <v>1004</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16"/>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16"/>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16"/>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16"/>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16"/>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16" t="s">
        <v>66</v>
      </c>
      <c r="Z39" s="1148" t="str">
        <f t="shared" si="15"/>
        <v>物业管理</v>
      </c>
      <c r="AA39" s="1149">
        <f t="shared" si="3"/>
        <v>1</v>
      </c>
      <c r="AB39" s="1149">
        <f t="shared" si="4"/>
        <v>1</v>
      </c>
      <c r="AC39" s="1149">
        <f t="shared" si="5"/>
        <v>1</v>
      </c>
    </row>
    <row r="40" spans="1:29" ht="15">
      <c r="A40" s="111"/>
      <c r="B40" s="4" t="s">
        <v>2552</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16"/>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16"/>
      <c r="Z41" s="1148" t="str">
        <f t="shared" si="15"/>
        <v>层高</v>
      </c>
      <c r="AA41" s="1149">
        <f t="shared" si="3"/>
        <v>1</v>
      </c>
      <c r="AB41" s="1149">
        <f t="shared" si="4"/>
        <v>1</v>
      </c>
      <c r="AC41" s="1149">
        <f t="shared" si="5"/>
        <v>1</v>
      </c>
    </row>
    <row r="42" spans="1:29" s="898" customFormat="1" ht="14.25">
      <c r="A42" s="902"/>
      <c r="B42" s="143" t="s">
        <v>1005</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16"/>
      <c r="Z42" s="1157" t="str">
        <f t="shared" si="15"/>
        <v>单套建筑面积</v>
      </c>
      <c r="AA42" s="1149">
        <f t="shared" si="3"/>
        <v>1</v>
      </c>
      <c r="AB42" s="1149">
        <f t="shared" si="4"/>
        <v>1</v>
      </c>
      <c r="AC42" s="1149">
        <f t="shared" si="5"/>
        <v>1</v>
      </c>
    </row>
    <row r="43" spans="1:29" ht="15">
      <c r="A43" s="111"/>
      <c r="B43" s="4" t="s">
        <v>1006</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16"/>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16"/>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16"/>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16"/>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17"/>
      <c r="Z47" s="1148">
        <f t="shared" si="15"/>
        <v>111</v>
      </c>
      <c r="AA47" s="1149">
        <f t="shared" si="3"/>
        <v>1</v>
      </c>
      <c r="AB47" s="1149">
        <f t="shared" si="4"/>
        <v>1</v>
      </c>
      <c r="AC47" s="1149">
        <f t="shared" si="5"/>
        <v>1</v>
      </c>
    </row>
    <row r="48" spans="1:29" ht="15">
      <c r="A48" s="113" t="s">
        <v>946</v>
      </c>
      <c r="B48" s="114"/>
      <c r="C48" s="2610" t="s">
        <v>20</v>
      </c>
      <c r="D48" s="2611"/>
      <c r="E48" s="2612"/>
      <c r="F48" s="2613"/>
      <c r="G48" s="2614"/>
      <c r="H48" s="2615"/>
      <c r="I48" s="2612"/>
      <c r="J48" s="2615"/>
      <c r="K48" s="1188"/>
      <c r="L48" s="2172"/>
      <c r="M48" s="2165"/>
      <c r="N48" s="2165"/>
      <c r="O48" s="2165"/>
      <c r="P48" s="3429" t="str">
        <f>A48</f>
        <v>成交单价（元/平方米）</v>
      </c>
      <c r="Q48" s="3422"/>
      <c r="R48" s="3423">
        <f>E48</f>
        <v>0</v>
      </c>
      <c r="S48" s="3423"/>
      <c r="T48" s="3423">
        <f>G48</f>
        <v>0</v>
      </c>
      <c r="U48" s="3423"/>
      <c r="V48" s="3423">
        <f>I48</f>
        <v>0</v>
      </c>
      <c r="W48" s="3423"/>
      <c r="X48" s="1159"/>
      <c r="Y48" s="1160"/>
      <c r="Z48" s="1159"/>
      <c r="AA48" s="1159"/>
      <c r="AB48" s="1159"/>
      <c r="AC48" s="1159"/>
    </row>
    <row r="49" spans="1:29" ht="15.75" thickBot="1">
      <c r="A49" s="115" t="s">
        <v>947</v>
      </c>
      <c r="B49" s="116"/>
      <c r="C49" s="2616" t="e">
        <f>R50</f>
        <v>#DIV/0!</v>
      </c>
      <c r="D49" s="2617"/>
      <c r="E49" s="2618" t="e">
        <f>R49</f>
        <v>#DIV/0!</v>
      </c>
      <c r="F49" s="2618"/>
      <c r="G49" s="2616" t="e">
        <f>T49</f>
        <v>#DIV/0!</v>
      </c>
      <c r="H49" s="2617"/>
      <c r="I49" s="2618" t="e">
        <f>V49</f>
        <v>#DIV/0!</v>
      </c>
      <c r="J49" s="2617"/>
      <c r="K49" s="1189"/>
      <c r="L49" s="2172"/>
      <c r="M49" s="2165"/>
      <c r="N49" s="2165"/>
      <c r="O49" s="2165"/>
      <c r="P49" s="3429" t="str">
        <f>A49</f>
        <v>比较价值（元/平方米）</v>
      </c>
      <c r="Q49" s="3422"/>
      <c r="R49" s="3423" t="e">
        <f>IF(E1="售价",ROUND(PRODUCT(R48,AA7:AA47),0),ROUND(PRODUCT(R48,AA7:AA47),1))</f>
        <v>#DIV/0!</v>
      </c>
      <c r="S49" s="3423"/>
      <c r="T49" s="3423" t="e">
        <f>IF(E1="售价",ROUND(PRODUCT(T48,AB7:AB47),0),ROUND(PRODUCT(T48,AB7:AB47),1))</f>
        <v>#DIV/0!</v>
      </c>
      <c r="U49" s="3423"/>
      <c r="V49" s="3423" t="e">
        <f>IF(E1="售价",ROUND(PRODUCT(V48,AC7:AC47),0),ROUND(PRODUCT(V48,AC7:AC47),1))</f>
        <v>#DIV/0!</v>
      </c>
      <c r="W49" s="3423"/>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7" t="str">
        <f>A50</f>
        <v>估价对象XX用房的比较价值（楼面单价，元/平方米）</v>
      </c>
      <c r="Q50" s="3429"/>
      <c r="R50" s="3430" t="e">
        <f>IF(E1="售价",ROUND(AVERAGE(R49:V49),0),ROUND(AVERAGE(R49:V49),1))</f>
        <v>#DIV/0!</v>
      </c>
      <c r="S50" s="3430"/>
      <c r="T50" s="3430"/>
      <c r="U50" s="3430"/>
      <c r="V50" s="3430"/>
      <c r="W50" s="3430"/>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916</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917</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918</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949</v>
      </c>
      <c r="B58" s="1159"/>
      <c r="C58" s="1166"/>
      <c r="D58" s="1166"/>
      <c r="E58" s="1166"/>
      <c r="F58" s="1167"/>
      <c r="G58" s="1167"/>
      <c r="H58" s="1166"/>
      <c r="I58" s="1166"/>
      <c r="J58" s="1166"/>
      <c r="K58" s="1168"/>
      <c r="L58" s="1169"/>
      <c r="M58" s="1166"/>
      <c r="N58" s="1166"/>
      <c r="O58" s="1166"/>
      <c r="P58" s="67"/>
      <c r="Q58" s="68"/>
    </row>
    <row r="59" spans="1:29" s="907" customFormat="1" ht="14.25">
      <c r="A59" s="904" t="s">
        <v>950</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951</v>
      </c>
      <c r="B61" s="911"/>
      <c r="C61" s="716"/>
      <c r="D61" s="717"/>
      <c r="E61" s="717"/>
      <c r="F61" s="717"/>
      <c r="G61" s="717"/>
      <c r="H61" s="717"/>
      <c r="I61" s="717"/>
      <c r="J61" s="717"/>
      <c r="K61" s="717"/>
      <c r="L61" s="717"/>
      <c r="M61" s="718"/>
      <c r="N61" s="717"/>
      <c r="O61" s="719"/>
      <c r="P61" s="68"/>
      <c r="Q61" s="68"/>
    </row>
    <row r="62" spans="1:29" s="11" customFormat="1">
      <c r="A62" s="912" t="s">
        <v>952</v>
      </c>
      <c r="B62" s="909"/>
      <c r="C62" s="913" t="s">
        <v>953</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954</v>
      </c>
      <c r="B64" s="183" t="s">
        <v>955</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956</v>
      </c>
      <c r="C66" s="740" t="s">
        <v>919</v>
      </c>
      <c r="D66" s="740" t="s">
        <v>920</v>
      </c>
      <c r="E66" s="740" t="s">
        <v>921</v>
      </c>
      <c r="F66" s="740" t="s">
        <v>922</v>
      </c>
      <c r="G66" s="740" t="s">
        <v>923</v>
      </c>
      <c r="H66" s="740" t="s">
        <v>924</v>
      </c>
      <c r="I66" s="740" t="s">
        <v>925</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957</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958</v>
      </c>
      <c r="B77" s="183" t="s">
        <v>1007</v>
      </c>
      <c r="C77" s="775" t="s">
        <v>926</v>
      </c>
      <c r="D77" s="775" t="s">
        <v>927</v>
      </c>
      <c r="E77" s="775" t="s">
        <v>928</v>
      </c>
      <c r="F77" s="775" t="s">
        <v>929</v>
      </c>
      <c r="G77" s="775" t="s">
        <v>930</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965</v>
      </c>
      <c r="C79" s="780" t="s">
        <v>926</v>
      </c>
      <c r="D79" s="780" t="s">
        <v>927</v>
      </c>
      <c r="E79" s="780" t="s">
        <v>928</v>
      </c>
      <c r="F79" s="780" t="s">
        <v>1014</v>
      </c>
      <c r="G79" s="780" t="s">
        <v>930</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2541</v>
      </c>
      <c r="C81" s="780" t="s">
        <v>926</v>
      </c>
      <c r="D81" s="780" t="s">
        <v>927</v>
      </c>
      <c r="E81" s="780" t="s">
        <v>928</v>
      </c>
      <c r="F81" s="780" t="s">
        <v>929</v>
      </c>
      <c r="G81" s="780" t="s">
        <v>930</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2553</v>
      </c>
      <c r="C83" s="129" t="s">
        <v>2545</v>
      </c>
      <c r="D83" s="129" t="s">
        <v>2546</v>
      </c>
      <c r="E83" s="129" t="s">
        <v>2547</v>
      </c>
      <c r="F83" s="129" t="s">
        <v>2548</v>
      </c>
      <c r="G83" s="129" t="s">
        <v>2549</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1008</v>
      </c>
      <c r="C85" s="780" t="s">
        <v>926</v>
      </c>
      <c r="D85" s="780" t="s">
        <v>927</v>
      </c>
      <c r="E85" s="780" t="s">
        <v>928</v>
      </c>
      <c r="F85" s="780" t="s">
        <v>929</v>
      </c>
      <c r="G85" s="780" t="s">
        <v>930</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1009</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968</v>
      </c>
      <c r="B101" s="183" t="s">
        <v>1010</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970</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971</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972</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973</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1011</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1012</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2544</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975</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976</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978</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979</v>
      </c>
      <c r="C125" s="780" t="s">
        <v>926</v>
      </c>
      <c r="D125" s="780" t="s">
        <v>927</v>
      </c>
      <c r="E125" s="780" t="s">
        <v>928</v>
      </c>
      <c r="F125" s="780" t="s">
        <v>929</v>
      </c>
      <c r="G125" s="780" t="s">
        <v>930</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102" priority="16" stopIfTrue="1" operator="containsText" text="超过">
      <formula>NOT(ISERROR(SEARCH("超过",F53)))</formula>
    </cfRule>
  </conditionalFormatting>
  <conditionalFormatting sqref="H55">
    <cfRule type="containsText" dxfId="101" priority="15" stopIfTrue="1" operator="containsText" text="超过">
      <formula>NOT(ISERROR(SEARCH("超过",H55)))</formula>
    </cfRule>
  </conditionalFormatting>
  <conditionalFormatting sqref="F55">
    <cfRule type="containsText" dxfId="100" priority="14" stopIfTrue="1" operator="containsText" text="超过">
      <formula>NOT(ISERROR(SEARCH("超过",F55)))</formula>
    </cfRule>
  </conditionalFormatting>
  <conditionalFormatting sqref="F54 H54">
    <cfRule type="containsText" dxfId="99" priority="13" stopIfTrue="1" operator="containsText" text="超过">
      <formula>NOT(ISERROR(SEARCH("超过",F54)))</formula>
    </cfRule>
  </conditionalFormatting>
  <conditionalFormatting sqref="E53">
    <cfRule type="expression" dxfId="98" priority="12" stopIfTrue="1">
      <formula>$F$53="超过30%"</formula>
    </cfRule>
  </conditionalFormatting>
  <conditionalFormatting sqref="E54">
    <cfRule type="expression" dxfId="97" priority="11" stopIfTrue="1">
      <formula>$F$54="超过20%"</formula>
    </cfRule>
  </conditionalFormatting>
  <conditionalFormatting sqref="E55">
    <cfRule type="expression" dxfId="96" priority="10" stopIfTrue="1">
      <formula>$F$55="超过30%"</formula>
    </cfRule>
  </conditionalFormatting>
  <conditionalFormatting sqref="G55">
    <cfRule type="expression" dxfId="95" priority="9" stopIfTrue="1">
      <formula>$H$55="超过30%"</formula>
    </cfRule>
  </conditionalFormatting>
  <conditionalFormatting sqref="G53">
    <cfRule type="expression" dxfId="94" priority="8" stopIfTrue="1">
      <formula>$H$53="超过30%"</formula>
    </cfRule>
  </conditionalFormatting>
  <conditionalFormatting sqref="G54">
    <cfRule type="expression" dxfId="93" priority="7" stopIfTrue="1">
      <formula>$H$54="超过20%"</formula>
    </cfRule>
  </conditionalFormatting>
  <conditionalFormatting sqref="J53">
    <cfRule type="containsText" dxfId="92" priority="6" stopIfTrue="1" operator="containsText" text="超过">
      <formula>NOT(ISERROR(SEARCH("超过",J53)))</formula>
    </cfRule>
  </conditionalFormatting>
  <conditionalFormatting sqref="J55">
    <cfRule type="containsText" dxfId="91" priority="5" stopIfTrue="1" operator="containsText" text="超过">
      <formula>NOT(ISERROR(SEARCH("超过",J55)))</formula>
    </cfRule>
  </conditionalFormatting>
  <conditionalFormatting sqref="J54">
    <cfRule type="containsText" dxfId="90" priority="4" stopIfTrue="1" operator="containsText" text="超过">
      <formula>NOT(ISERROR(SEARCH("超过",J54)))</formula>
    </cfRule>
  </conditionalFormatting>
  <conditionalFormatting sqref="I53">
    <cfRule type="expression" dxfId="89" priority="3" stopIfTrue="1">
      <formula>$J$53="超过30%"</formula>
    </cfRule>
  </conditionalFormatting>
  <conditionalFormatting sqref="I54">
    <cfRule type="expression" dxfId="88" priority="2" stopIfTrue="1">
      <formula>$J$53+$J$54="超过20%"</formula>
    </cfRule>
  </conditionalFormatting>
  <conditionalFormatting sqref="I55">
    <cfRule type="expression" dxfId="8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1015</v>
      </c>
      <c r="B1" s="2892" t="s">
        <v>1016</v>
      </c>
      <c r="C1" s="2893"/>
      <c r="D1" s="2897"/>
      <c r="E1" s="2895"/>
      <c r="F1" s="2896" t="s">
        <v>1017</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1018</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1019</v>
      </c>
      <c r="B3" s="811" t="e">
        <f ca="1">ROUND(IF(D2="——",C43,IF(C2="万元",B2*10000/D3,B2/D3)),0)</f>
        <v>#DIV/0!</v>
      </c>
      <c r="C3" s="89" t="s">
        <v>1020</v>
      </c>
      <c r="D3" s="596">
        <f>IF(C1="仅计算典型户型",'数据-取费表'!E5,'数据-取费表'!B5)</f>
        <v>56.82</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1021</v>
      </c>
      <c r="B4" s="91"/>
      <c r="C4" s="3386" t="s">
        <v>1022</v>
      </c>
      <c r="D4" s="3387"/>
      <c r="E4" s="3388" t="s">
        <v>1023</v>
      </c>
      <c r="F4" s="3389"/>
      <c r="G4" s="3386" t="s">
        <v>1024</v>
      </c>
      <c r="H4" s="3387"/>
      <c r="I4" s="3386" t="s">
        <v>1025</v>
      </c>
      <c r="J4" s="3387"/>
      <c r="K4" s="139" t="s">
        <v>1026</v>
      </c>
      <c r="L4" s="2164"/>
      <c r="M4" s="2165"/>
      <c r="N4" s="2165"/>
      <c r="O4" s="2165"/>
      <c r="P4" s="3390" t="s">
        <v>1021</v>
      </c>
      <c r="Q4" s="3391"/>
      <c r="R4" s="3396" t="s">
        <v>1023</v>
      </c>
      <c r="S4" s="3397"/>
      <c r="T4" s="3396" t="s">
        <v>1024</v>
      </c>
      <c r="U4" s="3397"/>
      <c r="V4" s="3402" t="s">
        <v>1025</v>
      </c>
      <c r="W4" s="3402"/>
      <c r="X4" s="1133"/>
      <c r="Y4" s="3396" t="s">
        <v>1021</v>
      </c>
      <c r="Z4" s="3397"/>
      <c r="AA4" s="3383" t="s">
        <v>1023</v>
      </c>
      <c r="AB4" s="3384" t="s">
        <v>1024</v>
      </c>
      <c r="AC4" s="3383" t="s">
        <v>1025</v>
      </c>
    </row>
    <row r="5" spans="1:29">
      <c r="A5" s="93"/>
      <c r="B5" s="94"/>
      <c r="C5" s="3405" t="s">
        <v>1027</v>
      </c>
      <c r="D5" s="3406"/>
      <c r="E5" s="3403" t="s">
        <v>1028</v>
      </c>
      <c r="F5" s="3404"/>
      <c r="G5" s="3405" t="s">
        <v>1029</v>
      </c>
      <c r="H5" s="3406"/>
      <c r="I5" s="3405" t="s">
        <v>1030</v>
      </c>
      <c r="J5" s="3406"/>
      <c r="K5" s="139"/>
      <c r="L5" s="2164"/>
      <c r="M5" s="2165"/>
      <c r="N5" s="2165"/>
      <c r="O5" s="2165"/>
      <c r="P5" s="3392"/>
      <c r="Q5" s="3393"/>
      <c r="R5" s="3398"/>
      <c r="S5" s="3399"/>
      <c r="T5" s="3398"/>
      <c r="U5" s="3399"/>
      <c r="V5" s="3402"/>
      <c r="W5" s="3402"/>
      <c r="X5" s="1133"/>
      <c r="Y5" s="3398"/>
      <c r="Z5" s="3399"/>
      <c r="AA5" s="3384"/>
      <c r="AB5" s="3384"/>
      <c r="AC5" s="3384"/>
    </row>
    <row r="6" spans="1:29" ht="14.25" thickBot="1">
      <c r="A6" s="95"/>
      <c r="B6" s="96"/>
      <c r="C6" s="3407" t="s">
        <v>1031</v>
      </c>
      <c r="D6" s="3408"/>
      <c r="E6" s="3409" t="s">
        <v>1031</v>
      </c>
      <c r="F6" s="3410"/>
      <c r="G6" s="3407" t="s">
        <v>1031</v>
      </c>
      <c r="H6" s="3408"/>
      <c r="I6" s="3407" t="s">
        <v>1031</v>
      </c>
      <c r="J6" s="3408"/>
      <c r="K6" s="139" t="s">
        <v>1032</v>
      </c>
      <c r="L6" s="2164"/>
      <c r="M6" s="2165"/>
      <c r="N6" s="2165"/>
      <c r="O6" s="2165"/>
      <c r="P6" s="3394"/>
      <c r="Q6" s="3395"/>
      <c r="R6" s="3398"/>
      <c r="S6" s="3399"/>
      <c r="T6" s="3400"/>
      <c r="U6" s="3401"/>
      <c r="V6" s="3402"/>
      <c r="W6" s="3402"/>
      <c r="X6" s="1133"/>
      <c r="Y6" s="3400"/>
      <c r="Z6" s="3401"/>
      <c r="AA6" s="3385"/>
      <c r="AB6" s="3385"/>
      <c r="AC6" s="3385"/>
    </row>
    <row r="7" spans="1:29" s="11" customFormat="1" ht="15" thickBot="1">
      <c r="A7" s="872" t="s">
        <v>1033</v>
      </c>
      <c r="B7" s="873"/>
      <c r="C7" s="607">
        <f>'数据-取费表'!B2</f>
        <v>42934</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18" t="s">
        <v>1033</v>
      </c>
      <c r="Q7" s="3420"/>
      <c r="R7" s="1135" t="s">
        <v>61</v>
      </c>
      <c r="S7" s="1136">
        <f t="shared" ref="S7:S15" si="0">F7</f>
        <v>0</v>
      </c>
      <c r="T7" s="1135" t="s">
        <v>61</v>
      </c>
      <c r="U7" s="1136">
        <f t="shared" ref="U7:U15" si="1">H7</f>
        <v>0</v>
      </c>
      <c r="V7" s="1135" t="s">
        <v>61</v>
      </c>
      <c r="W7" s="1136">
        <f t="shared" ref="W7:W15" si="2">J7</f>
        <v>0</v>
      </c>
      <c r="X7" s="184"/>
      <c r="Y7" s="3418" t="s">
        <v>1033</v>
      </c>
      <c r="Z7" s="3419"/>
      <c r="AA7" s="1137" t="e">
        <f>D7/F7</f>
        <v>#DIV/0!</v>
      </c>
      <c r="AB7" s="1137" t="e">
        <f>D7/H7</f>
        <v>#DIV/0!</v>
      </c>
      <c r="AC7" s="1137"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18" t="s">
        <v>931</v>
      </c>
      <c r="Q8" s="3419"/>
      <c r="R8" s="1135" t="s">
        <v>61</v>
      </c>
      <c r="S8" s="1136">
        <f t="shared" si="0"/>
        <v>100</v>
      </c>
      <c r="T8" s="1135" t="s">
        <v>61</v>
      </c>
      <c r="U8" s="1136">
        <f t="shared" si="1"/>
        <v>100</v>
      </c>
      <c r="V8" s="1135" t="s">
        <v>61</v>
      </c>
      <c r="W8" s="1136">
        <f t="shared" si="2"/>
        <v>100</v>
      </c>
      <c r="X8" s="184"/>
      <c r="Y8" s="3418" t="s">
        <v>931</v>
      </c>
      <c r="Z8" s="3419"/>
      <c r="AA8" s="1137">
        <f t="shared" ref="AA8:AA40" si="3">D8/F8</f>
        <v>1</v>
      </c>
      <c r="AB8" s="1137">
        <f t="shared" ref="AB8:AB40" si="4">D8/H8</f>
        <v>1</v>
      </c>
      <c r="AC8" s="1137">
        <f t="shared" ref="AC8:AC40" si="5">D8/J8</f>
        <v>1</v>
      </c>
    </row>
    <row r="9" spans="1:29" s="11" customFormat="1" ht="14.25">
      <c r="A9" s="879" t="s">
        <v>932</v>
      </c>
      <c r="B9" s="20" t="s">
        <v>933</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22" t="s">
        <v>63</v>
      </c>
      <c r="Q9" s="2" t="str">
        <f t="shared" ref="Q9:Q15" si="6">B9</f>
        <v>用途</v>
      </c>
      <c r="R9" s="1135" t="s">
        <v>61</v>
      </c>
      <c r="S9" s="1136">
        <f t="shared" si="0"/>
        <v>100</v>
      </c>
      <c r="T9" s="1135" t="s">
        <v>61</v>
      </c>
      <c r="U9" s="1136">
        <f t="shared" si="1"/>
        <v>100</v>
      </c>
      <c r="V9" s="1135" t="s">
        <v>61</v>
      </c>
      <c r="W9" s="1136">
        <f t="shared" si="2"/>
        <v>100</v>
      </c>
      <c r="X9" s="184"/>
      <c r="Y9" s="3254"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22"/>
      <c r="Q10" s="2" t="str">
        <f t="shared" si="6"/>
        <v>土地使用年限（年）</v>
      </c>
      <c r="R10" s="1135" t="s">
        <v>61</v>
      </c>
      <c r="S10" s="1136">
        <f t="shared" si="0"/>
        <v>100</v>
      </c>
      <c r="T10" s="1135" t="s">
        <v>61</v>
      </c>
      <c r="U10" s="1136">
        <f t="shared" si="1"/>
        <v>100</v>
      </c>
      <c r="V10" s="1135" t="s">
        <v>61</v>
      </c>
      <c r="W10" s="1136">
        <f t="shared" si="2"/>
        <v>100</v>
      </c>
      <c r="X10" s="184"/>
      <c r="Y10" s="3254"/>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22"/>
      <c r="Q11" s="2" t="str">
        <f t="shared" si="6"/>
        <v>容积率</v>
      </c>
      <c r="R11" s="1135" t="s">
        <v>61</v>
      </c>
      <c r="S11" s="1136" t="e">
        <f t="shared" si="0"/>
        <v>#N/A</v>
      </c>
      <c r="T11" s="1135" t="s">
        <v>61</v>
      </c>
      <c r="U11" s="1136" t="e">
        <f t="shared" si="1"/>
        <v>#N/A</v>
      </c>
      <c r="V11" s="1135" t="s">
        <v>61</v>
      </c>
      <c r="W11" s="1136" t="e">
        <f t="shared" si="2"/>
        <v>#N/A</v>
      </c>
      <c r="X11" s="184"/>
      <c r="Y11" s="3254"/>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22"/>
      <c r="Q12" s="2">
        <f t="shared" si="6"/>
        <v>111</v>
      </c>
      <c r="R12" s="1135" t="s">
        <v>61</v>
      </c>
      <c r="S12" s="1136">
        <f t="shared" si="0"/>
        <v>100</v>
      </c>
      <c r="T12" s="1135" t="s">
        <v>61</v>
      </c>
      <c r="U12" s="1136">
        <f t="shared" si="1"/>
        <v>100</v>
      </c>
      <c r="V12" s="1135" t="s">
        <v>61</v>
      </c>
      <c r="W12" s="1136">
        <f t="shared" si="2"/>
        <v>100</v>
      </c>
      <c r="X12" s="184"/>
      <c r="Y12" s="3254"/>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22"/>
      <c r="Q13" s="2">
        <f t="shared" si="6"/>
        <v>111</v>
      </c>
      <c r="R13" s="1135" t="s">
        <v>61</v>
      </c>
      <c r="S13" s="1136">
        <f t="shared" si="0"/>
        <v>100</v>
      </c>
      <c r="T13" s="1135" t="s">
        <v>61</v>
      </c>
      <c r="U13" s="1136">
        <f t="shared" si="1"/>
        <v>100</v>
      </c>
      <c r="V13" s="1135" t="s">
        <v>61</v>
      </c>
      <c r="W13" s="1136">
        <f t="shared" si="2"/>
        <v>100</v>
      </c>
      <c r="X13" s="184"/>
      <c r="Y13" s="3254"/>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22"/>
      <c r="Q14" s="2">
        <f t="shared" si="6"/>
        <v>111</v>
      </c>
      <c r="R14" s="1135" t="s">
        <v>61</v>
      </c>
      <c r="S14" s="1136">
        <f t="shared" si="0"/>
        <v>100</v>
      </c>
      <c r="T14" s="1135" t="s">
        <v>61</v>
      </c>
      <c r="U14" s="1136">
        <f t="shared" si="1"/>
        <v>100</v>
      </c>
      <c r="V14" s="1135" t="s">
        <v>61</v>
      </c>
      <c r="W14" s="1136">
        <f t="shared" si="2"/>
        <v>100</v>
      </c>
      <c r="X14" s="184"/>
      <c r="Y14" s="3254"/>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11" t="s">
        <v>65</v>
      </c>
      <c r="Q15" s="1145" t="str">
        <f t="shared" si="6"/>
        <v>产业集聚程度</v>
      </c>
      <c r="R15" s="1146" t="s">
        <v>61</v>
      </c>
      <c r="S15" s="1147">
        <f t="shared" si="0"/>
        <v>100</v>
      </c>
      <c r="T15" s="1146" t="s">
        <v>61</v>
      </c>
      <c r="U15" s="1147">
        <f t="shared" si="1"/>
        <v>100</v>
      </c>
      <c r="V15" s="1146" t="s">
        <v>61</v>
      </c>
      <c r="W15" s="1147">
        <f t="shared" si="2"/>
        <v>100</v>
      </c>
      <c r="X15" s="1133"/>
      <c r="Y15" s="3411"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12"/>
      <c r="Q16" s="1145"/>
      <c r="R16" s="1146"/>
      <c r="S16" s="1147"/>
      <c r="T16" s="1146"/>
      <c r="U16" s="1147"/>
      <c r="V16" s="1146"/>
      <c r="W16" s="1147"/>
      <c r="X16" s="1133"/>
      <c r="Y16" s="3412"/>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12"/>
      <c r="Q17" s="1145" t="str">
        <f>B17</f>
        <v>交通便捷度</v>
      </c>
      <c r="R17" s="1146" t="s">
        <v>61</v>
      </c>
      <c r="S17" s="1147">
        <f>F17</f>
        <v>100</v>
      </c>
      <c r="T17" s="1146" t="s">
        <v>61</v>
      </c>
      <c r="U17" s="1147">
        <f>H17</f>
        <v>100</v>
      </c>
      <c r="V17" s="1146" t="s">
        <v>61</v>
      </c>
      <c r="W17" s="1147">
        <f>J17</f>
        <v>100</v>
      </c>
      <c r="X17" s="1133"/>
      <c r="Y17" s="3412"/>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12"/>
      <c r="Q18" s="1145"/>
      <c r="R18" s="1146"/>
      <c r="S18" s="1147"/>
      <c r="T18" s="1146"/>
      <c r="U18" s="1147"/>
      <c r="V18" s="1146"/>
      <c r="W18" s="1147"/>
      <c r="X18" s="1133"/>
      <c r="Y18" s="3412"/>
      <c r="Z18" s="1148"/>
      <c r="AA18" s="1149">
        <v>1</v>
      </c>
      <c r="AB18" s="1149">
        <v>1</v>
      </c>
      <c r="AC18" s="1149">
        <v>1</v>
      </c>
    </row>
    <row r="19" spans="1:29" ht="40.5">
      <c r="A19" s="98"/>
      <c r="B19" s="892" t="s">
        <v>2554</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12"/>
      <c r="Q19" s="1145" t="str">
        <f>B19</f>
        <v>公共配套设施</v>
      </c>
      <c r="R19" s="1146" t="s">
        <v>61</v>
      </c>
      <c r="S19" s="1147">
        <f>F19</f>
        <v>100</v>
      </c>
      <c r="T19" s="1146" t="s">
        <v>61</v>
      </c>
      <c r="U19" s="1147">
        <f>H19</f>
        <v>100</v>
      </c>
      <c r="V19" s="1146" t="s">
        <v>61</v>
      </c>
      <c r="W19" s="1147">
        <f>J19</f>
        <v>100</v>
      </c>
      <c r="X19" s="1133"/>
      <c r="Y19" s="3412"/>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12"/>
      <c r="Q20" s="1145"/>
      <c r="R20" s="1146"/>
      <c r="S20" s="1147"/>
      <c r="T20" s="1146"/>
      <c r="U20" s="1147"/>
      <c r="V20" s="1146"/>
      <c r="W20" s="1147"/>
      <c r="X20" s="1133"/>
      <c r="Y20" s="3412"/>
      <c r="Z20" s="1148"/>
      <c r="AA20" s="1149">
        <v>1</v>
      </c>
      <c r="AB20" s="1149">
        <v>1</v>
      </c>
      <c r="AC20" s="1149">
        <v>1</v>
      </c>
    </row>
    <row r="21" spans="1:29" ht="40.5">
      <c r="A21" s="98"/>
      <c r="B21" s="894" t="s">
        <v>2555</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12"/>
      <c r="Q21" s="2550" t="str">
        <f>B21</f>
        <v>基础设施水平</v>
      </c>
      <c r="R21" s="1146" t="s">
        <v>61</v>
      </c>
      <c r="S21" s="1147">
        <f>F21</f>
        <v>100</v>
      </c>
      <c r="T21" s="1146" t="s">
        <v>61</v>
      </c>
      <c r="U21" s="1147">
        <f>H21</f>
        <v>100</v>
      </c>
      <c r="V21" s="1146" t="s">
        <v>61</v>
      </c>
      <c r="W21" s="1147">
        <f>J21</f>
        <v>100</v>
      </c>
      <c r="X21" s="2548"/>
      <c r="Y21" s="3412"/>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12"/>
      <c r="Q22" s="2550"/>
      <c r="R22" s="1146"/>
      <c r="S22" s="1147"/>
      <c r="T22" s="1146"/>
      <c r="U22" s="1147"/>
      <c r="V22" s="1146"/>
      <c r="W22" s="1147"/>
      <c r="X22" s="2548"/>
      <c r="Y22" s="3412"/>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12"/>
      <c r="Q23" s="1145" t="str">
        <f>B23</f>
        <v>环境质量</v>
      </c>
      <c r="R23" s="1146" t="s">
        <v>61</v>
      </c>
      <c r="S23" s="1147">
        <f>F23</f>
        <v>100</v>
      </c>
      <c r="T23" s="1146" t="s">
        <v>61</v>
      </c>
      <c r="U23" s="1147">
        <f>H23</f>
        <v>100</v>
      </c>
      <c r="V23" s="1146" t="s">
        <v>61</v>
      </c>
      <c r="W23" s="1147">
        <f>J23</f>
        <v>100</v>
      </c>
      <c r="X23" s="1133"/>
      <c r="Y23" s="3412"/>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12"/>
      <c r="Q24" s="1145"/>
      <c r="R24" s="1146"/>
      <c r="S24" s="1147"/>
      <c r="T24" s="1146"/>
      <c r="U24" s="1147"/>
      <c r="V24" s="1146"/>
      <c r="W24" s="1147"/>
      <c r="X24" s="1133"/>
      <c r="Y24" s="3412"/>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12"/>
      <c r="Q25" s="1145">
        <f>B25</f>
        <v>111</v>
      </c>
      <c r="R25" s="1146" t="s">
        <v>61</v>
      </c>
      <c r="S25" s="1147">
        <f>F25</f>
        <v>100</v>
      </c>
      <c r="T25" s="1146" t="s">
        <v>61</v>
      </c>
      <c r="U25" s="1147">
        <f>H25</f>
        <v>100</v>
      </c>
      <c r="V25" s="1146" t="s">
        <v>61</v>
      </c>
      <c r="W25" s="1147">
        <f>J25</f>
        <v>100</v>
      </c>
      <c r="X25" s="1133"/>
      <c r="Y25" s="3412"/>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12"/>
      <c r="Q26" s="1145">
        <f t="shared" ref="Q26:Q40" si="11">B26</f>
        <v>111</v>
      </c>
      <c r="R26" s="1146" t="s">
        <v>61</v>
      </c>
      <c r="S26" s="1147">
        <f>F26</f>
        <v>100</v>
      </c>
      <c r="T26" s="1146" t="s">
        <v>61</v>
      </c>
      <c r="U26" s="1147">
        <f>H26</f>
        <v>100</v>
      </c>
      <c r="V26" s="1146" t="s">
        <v>61</v>
      </c>
      <c r="W26" s="1147">
        <f>J26</f>
        <v>100</v>
      </c>
      <c r="X26" s="1133"/>
      <c r="Y26" s="3412"/>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12"/>
      <c r="Q27" s="2">
        <f t="shared" si="11"/>
        <v>111</v>
      </c>
      <c r="R27" s="1135" t="s">
        <v>61</v>
      </c>
      <c r="S27" s="1136">
        <f>F27</f>
        <v>100</v>
      </c>
      <c r="T27" s="1135" t="s">
        <v>61</v>
      </c>
      <c r="U27" s="1136">
        <f>H27</f>
        <v>100</v>
      </c>
      <c r="V27" s="1135" t="s">
        <v>61</v>
      </c>
      <c r="W27" s="1136">
        <f>J27</f>
        <v>100</v>
      </c>
      <c r="X27" s="184"/>
      <c r="Y27" s="3412"/>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12"/>
      <c r="Q28" s="1145">
        <f t="shared" si="11"/>
        <v>111</v>
      </c>
      <c r="R28" s="1146" t="s">
        <v>61</v>
      </c>
      <c r="S28" s="1147">
        <f t="shared" ref="S28:S40" si="12">F28</f>
        <v>100</v>
      </c>
      <c r="T28" s="1146" t="s">
        <v>61</v>
      </c>
      <c r="U28" s="1147">
        <f t="shared" ref="U28:U40" si="13">H28</f>
        <v>100</v>
      </c>
      <c r="V28" s="1146" t="s">
        <v>61</v>
      </c>
      <c r="W28" s="1147">
        <f t="shared" ref="W28:W40" si="14">J28</f>
        <v>100</v>
      </c>
      <c r="X28" s="1133"/>
      <c r="Y28" s="3412"/>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1035</v>
      </c>
      <c r="Q29" s="1145" t="str">
        <f t="shared" si="11"/>
        <v>建筑类型</v>
      </c>
      <c r="R29" s="1146" t="s">
        <v>61</v>
      </c>
      <c r="S29" s="1147">
        <f t="shared" si="12"/>
        <v>100</v>
      </c>
      <c r="T29" s="1146" t="s">
        <v>61</v>
      </c>
      <c r="U29" s="1147">
        <f t="shared" si="13"/>
        <v>100</v>
      </c>
      <c r="V29" s="1146" t="s">
        <v>61</v>
      </c>
      <c r="W29" s="1147">
        <f t="shared" si="14"/>
        <v>100</v>
      </c>
      <c r="X29" s="1133"/>
      <c r="Y29" s="3416" t="s">
        <v>1035</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16"/>
      <c r="Q30" s="1153" t="str">
        <f t="shared" si="11"/>
        <v>项目建筑规模</v>
      </c>
      <c r="R30" s="1154" t="s">
        <v>61</v>
      </c>
      <c r="S30" s="1155" t="e">
        <f t="shared" si="12"/>
        <v>#N/A</v>
      </c>
      <c r="T30" s="1154" t="s">
        <v>61</v>
      </c>
      <c r="U30" s="1155" t="e">
        <f t="shared" si="13"/>
        <v>#N/A</v>
      </c>
      <c r="V30" s="1154" t="s">
        <v>61</v>
      </c>
      <c r="W30" s="1155" t="e">
        <f t="shared" si="14"/>
        <v>#N/A</v>
      </c>
      <c r="X30" s="1156"/>
      <c r="Y30" s="3416"/>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16"/>
      <c r="Q31" s="1145" t="str">
        <f t="shared" si="11"/>
        <v>建筑结构</v>
      </c>
      <c r="R31" s="1146" t="s">
        <v>61</v>
      </c>
      <c r="S31" s="1147">
        <f t="shared" si="12"/>
        <v>100</v>
      </c>
      <c r="T31" s="1146" t="s">
        <v>61</v>
      </c>
      <c r="U31" s="1147">
        <f t="shared" si="13"/>
        <v>100</v>
      </c>
      <c r="V31" s="1146" t="s">
        <v>61</v>
      </c>
      <c r="W31" s="1147">
        <f t="shared" si="14"/>
        <v>100</v>
      </c>
      <c r="X31" s="1133"/>
      <c r="Y31" s="3416"/>
      <c r="Z31" s="1148" t="str">
        <f t="shared" si="15"/>
        <v>建筑结构</v>
      </c>
      <c r="AA31" s="1149">
        <f t="shared" si="3"/>
        <v>1</v>
      </c>
      <c r="AB31" s="1149">
        <f t="shared" si="4"/>
        <v>1</v>
      </c>
      <c r="AC31" s="1149">
        <f t="shared" si="5"/>
        <v>1</v>
      </c>
    </row>
    <row r="32" spans="1:29" ht="15">
      <c r="A32" s="111"/>
      <c r="B32" s="4" t="s">
        <v>939</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16"/>
      <c r="Q32" s="1145" t="str">
        <f t="shared" si="11"/>
        <v>公共部分装修</v>
      </c>
      <c r="R32" s="1146" t="s">
        <v>61</v>
      </c>
      <c r="S32" s="1147">
        <f t="shared" si="12"/>
        <v>100</v>
      </c>
      <c r="T32" s="1146" t="s">
        <v>61</v>
      </c>
      <c r="U32" s="1147">
        <f t="shared" si="13"/>
        <v>100</v>
      </c>
      <c r="V32" s="1146" t="s">
        <v>61</v>
      </c>
      <c r="W32" s="1147">
        <f t="shared" si="14"/>
        <v>100</v>
      </c>
      <c r="X32" s="1133"/>
      <c r="Y32" s="3416"/>
      <c r="Z32" s="1148" t="str">
        <f t="shared" si="15"/>
        <v>公共部分装修</v>
      </c>
      <c r="AA32" s="1149">
        <f t="shared" si="3"/>
        <v>1</v>
      </c>
      <c r="AB32" s="1149">
        <f t="shared" si="4"/>
        <v>1</v>
      </c>
      <c r="AC32" s="1149">
        <f t="shared" si="5"/>
        <v>1</v>
      </c>
    </row>
    <row r="33" spans="1:29" ht="15">
      <c r="A33" s="111"/>
      <c r="B33" s="4" t="s">
        <v>940</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16"/>
      <c r="Q33" s="1145" t="str">
        <f t="shared" si="11"/>
        <v>成新度</v>
      </c>
      <c r="R33" s="1146" t="s">
        <v>61</v>
      </c>
      <c r="S33" s="1147" t="e">
        <f t="shared" si="12"/>
        <v>#N/A</v>
      </c>
      <c r="T33" s="1146" t="s">
        <v>61</v>
      </c>
      <c r="U33" s="1147" t="e">
        <f t="shared" si="13"/>
        <v>#N/A</v>
      </c>
      <c r="V33" s="1146" t="s">
        <v>61</v>
      </c>
      <c r="W33" s="1147" t="e">
        <f t="shared" si="14"/>
        <v>#N/A</v>
      </c>
      <c r="X33" s="1133"/>
      <c r="Y33" s="3416"/>
      <c r="Z33" s="1148" t="str">
        <f t="shared" si="15"/>
        <v>成新度</v>
      </c>
      <c r="AA33" s="1149" t="e">
        <f t="shared" si="3"/>
        <v>#N/A</v>
      </c>
      <c r="AB33" s="1149" t="e">
        <f t="shared" si="4"/>
        <v>#N/A</v>
      </c>
      <c r="AC33" s="1149" t="e">
        <f t="shared" si="5"/>
        <v>#N/A</v>
      </c>
    </row>
    <row r="34" spans="1:29" s="11" customFormat="1" ht="15">
      <c r="A34" s="900"/>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16"/>
      <c r="Q34" s="2" t="str">
        <f t="shared" si="11"/>
        <v>物业管理</v>
      </c>
      <c r="R34" s="1135" t="s">
        <v>61</v>
      </c>
      <c r="S34" s="1136">
        <f t="shared" si="12"/>
        <v>100</v>
      </c>
      <c r="T34" s="1135" t="s">
        <v>61</v>
      </c>
      <c r="U34" s="1136">
        <f t="shared" si="13"/>
        <v>100</v>
      </c>
      <c r="V34" s="1135" t="s">
        <v>61</v>
      </c>
      <c r="W34" s="1136">
        <f t="shared" si="14"/>
        <v>100</v>
      </c>
      <c r="X34" s="184"/>
      <c r="Y34" s="3416"/>
      <c r="Z34" s="185" t="str">
        <f t="shared" si="15"/>
        <v>物业管理</v>
      </c>
      <c r="AA34" s="1137">
        <f t="shared" si="3"/>
        <v>1</v>
      </c>
      <c r="AB34" s="1137">
        <f t="shared" si="4"/>
        <v>1</v>
      </c>
      <c r="AC34" s="1137">
        <f t="shared" si="5"/>
        <v>1</v>
      </c>
    </row>
    <row r="35" spans="1:29" ht="15">
      <c r="A35" s="111"/>
      <c r="B35" s="4" t="s">
        <v>2552</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16" t="s">
        <v>66</v>
      </c>
      <c r="Q35" s="1145" t="str">
        <f t="shared" si="11"/>
        <v>市政基础设施</v>
      </c>
      <c r="R35" s="1146" t="s">
        <v>61</v>
      </c>
      <c r="S35" s="1147">
        <f t="shared" si="12"/>
        <v>100</v>
      </c>
      <c r="T35" s="1146" t="s">
        <v>61</v>
      </c>
      <c r="U35" s="1147">
        <f t="shared" si="13"/>
        <v>100</v>
      </c>
      <c r="V35" s="1146" t="s">
        <v>61</v>
      </c>
      <c r="W35" s="1147">
        <f t="shared" si="14"/>
        <v>100</v>
      </c>
      <c r="X35" s="1133"/>
      <c r="Y35" s="3416"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16"/>
      <c r="Q36" s="1145" t="str">
        <f t="shared" si="11"/>
        <v>内部装修</v>
      </c>
      <c r="R36" s="1146" t="s">
        <v>61</v>
      </c>
      <c r="S36" s="1147">
        <f t="shared" si="12"/>
        <v>100</v>
      </c>
      <c r="T36" s="1146" t="s">
        <v>61</v>
      </c>
      <c r="U36" s="1147">
        <f t="shared" si="13"/>
        <v>100</v>
      </c>
      <c r="V36" s="1146" t="s">
        <v>61</v>
      </c>
      <c r="W36" s="1147">
        <f t="shared" si="14"/>
        <v>100</v>
      </c>
      <c r="X36" s="1133"/>
      <c r="Y36" s="3416"/>
      <c r="Z36" s="1148" t="str">
        <f t="shared" si="15"/>
        <v>内部装修</v>
      </c>
      <c r="AA36" s="1149">
        <f t="shared" si="3"/>
        <v>1</v>
      </c>
      <c r="AB36" s="1149">
        <f t="shared" si="4"/>
        <v>1</v>
      </c>
      <c r="AC36" s="1149">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16"/>
      <c r="Q37" s="1145" t="str">
        <f t="shared" si="11"/>
        <v>内部装修状况</v>
      </c>
      <c r="R37" s="1146" t="s">
        <v>61</v>
      </c>
      <c r="S37" s="1147">
        <f t="shared" si="12"/>
        <v>0</v>
      </c>
      <c r="T37" s="1146" t="s">
        <v>61</v>
      </c>
      <c r="U37" s="1147">
        <f t="shared" si="13"/>
        <v>0</v>
      </c>
      <c r="V37" s="1146" t="s">
        <v>61</v>
      </c>
      <c r="W37" s="1147">
        <f t="shared" si="14"/>
        <v>0</v>
      </c>
      <c r="X37" s="1133"/>
      <c r="Y37" s="3416"/>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16"/>
      <c r="Q38" s="1153">
        <f t="shared" si="11"/>
        <v>111</v>
      </c>
      <c r="R38" s="1154" t="s">
        <v>61</v>
      </c>
      <c r="S38" s="1155">
        <f t="shared" si="12"/>
        <v>100</v>
      </c>
      <c r="T38" s="1154" t="s">
        <v>61</v>
      </c>
      <c r="U38" s="1155">
        <f t="shared" si="13"/>
        <v>100</v>
      </c>
      <c r="V38" s="1154" t="s">
        <v>61</v>
      </c>
      <c r="W38" s="1155">
        <f t="shared" si="14"/>
        <v>100</v>
      </c>
      <c r="X38" s="1156"/>
      <c r="Y38" s="3416"/>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16"/>
      <c r="Q39" s="1145">
        <f t="shared" si="11"/>
        <v>111</v>
      </c>
      <c r="R39" s="1146" t="s">
        <v>61</v>
      </c>
      <c r="S39" s="1147">
        <f t="shared" si="12"/>
        <v>100</v>
      </c>
      <c r="T39" s="1146" t="s">
        <v>61</v>
      </c>
      <c r="U39" s="1147">
        <f t="shared" si="13"/>
        <v>100</v>
      </c>
      <c r="V39" s="1146" t="s">
        <v>61</v>
      </c>
      <c r="W39" s="1147">
        <f t="shared" si="14"/>
        <v>100</v>
      </c>
      <c r="X39" s="1133"/>
      <c r="Y39" s="3416"/>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17"/>
      <c r="Q40" s="1145">
        <f t="shared" si="11"/>
        <v>111</v>
      </c>
      <c r="R40" s="1146" t="s">
        <v>61</v>
      </c>
      <c r="S40" s="1147">
        <f t="shared" si="12"/>
        <v>100</v>
      </c>
      <c r="T40" s="1146" t="s">
        <v>61</v>
      </c>
      <c r="U40" s="1147">
        <f t="shared" si="13"/>
        <v>100</v>
      </c>
      <c r="V40" s="1146" t="s">
        <v>61</v>
      </c>
      <c r="W40" s="1147">
        <f t="shared" si="14"/>
        <v>100</v>
      </c>
      <c r="X40" s="1133"/>
      <c r="Y40" s="3417"/>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22" t="str">
        <f>A41</f>
        <v>成交单价（元/平方米）</v>
      </c>
      <c r="Q41" s="3422"/>
      <c r="R41" s="3423">
        <f>E41</f>
        <v>0</v>
      </c>
      <c r="S41" s="3423"/>
      <c r="T41" s="3423">
        <f>G41</f>
        <v>0</v>
      </c>
      <c r="U41" s="3423"/>
      <c r="V41" s="3423">
        <f>I41</f>
        <v>0</v>
      </c>
      <c r="W41" s="3423"/>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22" t="str">
        <f>A42</f>
        <v>比较价值（元/平方米）</v>
      </c>
      <c r="Q42" s="3422"/>
      <c r="R42" s="3423" t="e">
        <f>IF(E1="售价",ROUND(PRODUCT(R41,AA7:AA40),0),ROUND(PRODUCT(R41,AA7:AA40),1))</f>
        <v>#DIV/0!</v>
      </c>
      <c r="S42" s="3423"/>
      <c r="T42" s="3423" t="e">
        <f>IF(E1="售价",ROUND(PRODUCT(T41,AB7:AB40),0),ROUND(PRODUCT(T41,AB7:AB40),1))</f>
        <v>#DIV/0!</v>
      </c>
      <c r="U42" s="3423"/>
      <c r="V42" s="3423" t="e">
        <f>IF(E1="售价",ROUND(PRODUCT(V41,AC7:AC40),0),ROUND(PRODUCT(V41,AC7:AC40),1))</f>
        <v>#DIV/0!</v>
      </c>
      <c r="W42" s="3423"/>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28" t="str">
        <f>A43</f>
        <v>估价对象XX用房的比较价值（楼面单价，元/平方米）</v>
      </c>
      <c r="Q43" s="3429"/>
      <c r="R43" s="3430" t="e">
        <f>IF(E1="售价",ROUND(AVERAGE(R42:V42),0),ROUND(AVERAGE(R42:V42),1))</f>
        <v>#DIV/0!</v>
      </c>
      <c r="S43" s="3430"/>
      <c r="T43" s="3430"/>
      <c r="U43" s="3430"/>
      <c r="V43" s="3430"/>
      <c r="W43" s="3430"/>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2665</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919</v>
      </c>
      <c r="D59" s="740" t="s">
        <v>920</v>
      </c>
      <c r="E59" s="740" t="s">
        <v>921</v>
      </c>
      <c r="F59" s="740" t="s">
        <v>922</v>
      </c>
      <c r="G59" s="740" t="s">
        <v>923</v>
      </c>
      <c r="H59" s="740" t="s">
        <v>924</v>
      </c>
      <c r="I59" s="740" t="s">
        <v>925</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926</v>
      </c>
      <c r="D70" s="775" t="s">
        <v>927</v>
      </c>
      <c r="E70" s="775" t="s">
        <v>928</v>
      </c>
      <c r="F70" s="775" t="s">
        <v>929</v>
      </c>
      <c r="G70" s="775" t="s">
        <v>930</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926</v>
      </c>
      <c r="D72" s="780" t="s">
        <v>927</v>
      </c>
      <c r="E72" s="780" t="s">
        <v>928</v>
      </c>
      <c r="F72" s="780" t="s">
        <v>929</v>
      </c>
      <c r="G72" s="780" t="s">
        <v>930</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2541</v>
      </c>
      <c r="C74" s="780" t="s">
        <v>926</v>
      </c>
      <c r="D74" s="780" t="s">
        <v>927</v>
      </c>
      <c r="E74" s="780" t="s">
        <v>928</v>
      </c>
      <c r="F74" s="780" t="s">
        <v>929</v>
      </c>
      <c r="G74" s="780" t="s">
        <v>930</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2556</v>
      </c>
      <c r="C76" s="129" t="s">
        <v>2545</v>
      </c>
      <c r="D76" s="129" t="s">
        <v>2546</v>
      </c>
      <c r="E76" s="129" t="s">
        <v>2547</v>
      </c>
      <c r="F76" s="129" t="s">
        <v>2548</v>
      </c>
      <c r="G76" s="129" t="s">
        <v>2549</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926</v>
      </c>
      <c r="D78" s="780" t="s">
        <v>927</v>
      </c>
      <c r="E78" s="780" t="s">
        <v>928</v>
      </c>
      <c r="F78" s="780" t="s">
        <v>929</v>
      </c>
      <c r="G78" s="780" t="s">
        <v>930</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2544</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926</v>
      </c>
      <c r="D106" s="780" t="s">
        <v>927</v>
      </c>
      <c r="E106" s="780" t="s">
        <v>928</v>
      </c>
      <c r="F106" s="780" t="s">
        <v>929</v>
      </c>
      <c r="G106" s="780" t="s">
        <v>930</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86" priority="16" stopIfTrue="1" operator="containsText" text="超过">
      <formula>NOT(ISERROR(SEARCH("超过",F46)))</formula>
    </cfRule>
  </conditionalFormatting>
  <conditionalFormatting sqref="H48">
    <cfRule type="containsText" dxfId="85" priority="15" stopIfTrue="1" operator="containsText" text="超过">
      <formula>NOT(ISERROR(SEARCH("超过",H48)))</formula>
    </cfRule>
  </conditionalFormatting>
  <conditionalFormatting sqref="F48">
    <cfRule type="containsText" dxfId="84" priority="14" stopIfTrue="1" operator="containsText" text="超过">
      <formula>NOT(ISERROR(SEARCH("超过",F48)))</formula>
    </cfRule>
  </conditionalFormatting>
  <conditionalFormatting sqref="F47 H47">
    <cfRule type="containsText" dxfId="83" priority="13" stopIfTrue="1" operator="containsText" text="超过">
      <formula>NOT(ISERROR(SEARCH("超过",F47)))</formula>
    </cfRule>
  </conditionalFormatting>
  <conditionalFormatting sqref="E46">
    <cfRule type="expression" dxfId="82" priority="12" stopIfTrue="1">
      <formula>$F$46="超过30%"</formula>
    </cfRule>
  </conditionalFormatting>
  <conditionalFormatting sqref="E47">
    <cfRule type="expression" dxfId="81" priority="11" stopIfTrue="1">
      <formula>$F$47="超过20%"</formula>
    </cfRule>
  </conditionalFormatting>
  <conditionalFormatting sqref="E48">
    <cfRule type="expression" dxfId="80" priority="10" stopIfTrue="1">
      <formula>$F$48="超过30%"</formula>
    </cfRule>
  </conditionalFormatting>
  <conditionalFormatting sqref="G48">
    <cfRule type="expression" dxfId="79" priority="9" stopIfTrue="1">
      <formula>$H$48="超过30%"</formula>
    </cfRule>
  </conditionalFormatting>
  <conditionalFormatting sqref="G46">
    <cfRule type="expression" dxfId="78" priority="8" stopIfTrue="1">
      <formula>$H$46="超过30%"</formula>
    </cfRule>
  </conditionalFormatting>
  <conditionalFormatting sqref="G47">
    <cfRule type="expression" dxfId="77" priority="7" stopIfTrue="1">
      <formula>$H$47="超过20%"</formula>
    </cfRule>
  </conditionalFormatting>
  <conditionalFormatting sqref="J46">
    <cfRule type="containsText" dxfId="76" priority="6" stopIfTrue="1" operator="containsText" text="超过">
      <formula>NOT(ISERROR(SEARCH("超过",J46)))</formula>
    </cfRule>
  </conditionalFormatting>
  <conditionalFormatting sqref="J48">
    <cfRule type="containsText" dxfId="75" priority="5" stopIfTrue="1" operator="containsText" text="超过">
      <formula>NOT(ISERROR(SEARCH("超过",J48)))</formula>
    </cfRule>
  </conditionalFormatting>
  <conditionalFormatting sqref="J47">
    <cfRule type="containsText" dxfId="74" priority="4" stopIfTrue="1" operator="containsText" text="超过">
      <formula>NOT(ISERROR(SEARCH("超过",J47)))</formula>
    </cfRule>
  </conditionalFormatting>
  <conditionalFormatting sqref="I46">
    <cfRule type="expression" dxfId="73" priority="3" stopIfTrue="1">
      <formula>$J$46="超过30%"</formula>
    </cfRule>
  </conditionalFormatting>
  <conditionalFormatting sqref="I47">
    <cfRule type="expression" dxfId="72" priority="2" stopIfTrue="1">
      <formula>$J$47="超过20%"</formula>
    </cfRule>
  </conditionalFormatting>
  <conditionalFormatting sqref="I48">
    <cfRule type="expression" dxfId="7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26" sqref="C126:G131"/>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56.82</v>
      </c>
      <c r="E3" s="1901" t="s">
        <v>2014</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622"/>
      <c r="M4" s="643"/>
      <c r="N4" s="643"/>
      <c r="O4" s="643"/>
      <c r="P4" s="3485" t="s">
        <v>467</v>
      </c>
      <c r="Q4" s="3486"/>
      <c r="R4" s="3491" t="s">
        <v>463</v>
      </c>
      <c r="S4" s="3492"/>
      <c r="T4" s="3491" t="s">
        <v>464</v>
      </c>
      <c r="U4" s="3492"/>
      <c r="V4" s="3497" t="s">
        <v>465</v>
      </c>
      <c r="W4" s="3497"/>
      <c r="X4" s="2601"/>
      <c r="Y4" s="3491" t="s">
        <v>467</v>
      </c>
      <c r="Z4" s="3492"/>
      <c r="AA4" s="3478" t="s">
        <v>463</v>
      </c>
      <c r="AB4" s="3479" t="s">
        <v>464</v>
      </c>
      <c r="AC4" s="3478" t="s">
        <v>465</v>
      </c>
    </row>
    <row r="5" spans="1:29" ht="15">
      <c r="A5" s="601"/>
      <c r="B5" s="602"/>
      <c r="C5" s="3474" t="s">
        <v>2890</v>
      </c>
      <c r="D5" s="3475"/>
      <c r="E5" s="3498" t="s">
        <v>2891</v>
      </c>
      <c r="F5" s="3499"/>
      <c r="G5" s="3474" t="s">
        <v>2892</v>
      </c>
      <c r="H5" s="3475"/>
      <c r="I5" s="3474" t="s">
        <v>2893</v>
      </c>
      <c r="J5" s="3475"/>
      <c r="K5" s="812"/>
      <c r="L5" s="2622"/>
      <c r="M5" s="643"/>
      <c r="N5" s="643"/>
      <c r="O5" s="643"/>
      <c r="P5" s="3487"/>
      <c r="Q5" s="3488"/>
      <c r="R5" s="3493"/>
      <c r="S5" s="3494"/>
      <c r="T5" s="3493"/>
      <c r="U5" s="3494"/>
      <c r="V5" s="3497"/>
      <c r="W5" s="3497"/>
      <c r="X5" s="2601"/>
      <c r="Y5" s="3493"/>
      <c r="Z5" s="3494"/>
      <c r="AA5" s="3479"/>
      <c r="AB5" s="3479"/>
      <c r="AC5" s="3479"/>
    </row>
    <row r="6" spans="1:29" ht="15.75" thickBot="1">
      <c r="A6" s="603"/>
      <c r="B6" s="604"/>
      <c r="C6" s="3471" t="s">
        <v>2894</v>
      </c>
      <c r="D6" s="3472"/>
      <c r="E6" s="3469" t="s">
        <v>2894</v>
      </c>
      <c r="F6" s="3470"/>
      <c r="G6" s="3471" t="s">
        <v>2894</v>
      </c>
      <c r="H6" s="3472"/>
      <c r="I6" s="3471" t="s">
        <v>2894</v>
      </c>
      <c r="J6" s="3472"/>
      <c r="K6" s="812" t="s">
        <v>411</v>
      </c>
      <c r="L6" s="2622"/>
      <c r="M6" s="643"/>
      <c r="N6" s="643"/>
      <c r="O6" s="643"/>
      <c r="P6" s="3489"/>
      <c r="Q6" s="3490"/>
      <c r="R6" s="3493"/>
      <c r="S6" s="3494"/>
      <c r="T6" s="3495"/>
      <c r="U6" s="3496"/>
      <c r="V6" s="3497"/>
      <c r="W6" s="3497"/>
      <c r="X6" s="2601"/>
      <c r="Y6" s="3495"/>
      <c r="Z6" s="3496"/>
      <c r="AA6" s="3480"/>
      <c r="AB6" s="3480"/>
      <c r="AC6" s="3480"/>
    </row>
    <row r="7" spans="1:29" s="218" customFormat="1" ht="15.75" thickBot="1">
      <c r="A7" s="605" t="s">
        <v>412</v>
      </c>
      <c r="B7" s="606"/>
      <c r="C7" s="607">
        <f>'数据-取费表'!B2</f>
        <v>42934</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3" t="s">
        <v>416</v>
      </c>
      <c r="Q9" s="2599" t="str">
        <f t="shared" ref="Q9:Q14" si="6">B9</f>
        <v>用途</v>
      </c>
      <c r="R9" s="1110" t="s">
        <v>61</v>
      </c>
      <c r="S9" s="1111">
        <f t="shared" si="0"/>
        <v>100</v>
      </c>
      <c r="T9" s="1110" t="s">
        <v>61</v>
      </c>
      <c r="U9" s="1111">
        <f t="shared" si="1"/>
        <v>100</v>
      </c>
      <c r="V9" s="1110" t="s">
        <v>61</v>
      </c>
      <c r="W9" s="1111">
        <f t="shared" si="2"/>
        <v>100</v>
      </c>
      <c r="X9" s="1112"/>
      <c r="Y9" s="3311"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3"/>
      <c r="Q10" s="2599" t="str">
        <f t="shared" si="6"/>
        <v>土地使用年限（年）</v>
      </c>
      <c r="R10" s="1110" t="s">
        <v>61</v>
      </c>
      <c r="S10" s="1111">
        <f t="shared" si="0"/>
        <v>100</v>
      </c>
      <c r="T10" s="1110" t="s">
        <v>61</v>
      </c>
      <c r="U10" s="1111">
        <f t="shared" si="1"/>
        <v>100</v>
      </c>
      <c r="V10" s="1110" t="s">
        <v>61</v>
      </c>
      <c r="W10" s="1111">
        <f t="shared" si="2"/>
        <v>100</v>
      </c>
      <c r="X10" s="1112"/>
      <c r="Y10" s="3311"/>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3"/>
      <c r="Q11" s="2599">
        <f t="shared" si="6"/>
        <v>111</v>
      </c>
      <c r="R11" s="1110" t="s">
        <v>61</v>
      </c>
      <c r="S11" s="1111">
        <f t="shared" si="0"/>
        <v>100</v>
      </c>
      <c r="T11" s="1110" t="s">
        <v>61</v>
      </c>
      <c r="U11" s="1111">
        <f t="shared" si="1"/>
        <v>100</v>
      </c>
      <c r="V11" s="1110" t="s">
        <v>61</v>
      </c>
      <c r="W11" s="1111">
        <f t="shared" si="2"/>
        <v>100</v>
      </c>
      <c r="X11" s="1112"/>
      <c r="Y11" s="3311"/>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3"/>
      <c r="Q12" s="2599">
        <f t="shared" si="6"/>
        <v>111</v>
      </c>
      <c r="R12" s="1110" t="s">
        <v>61</v>
      </c>
      <c r="S12" s="1111">
        <f t="shared" si="0"/>
        <v>100</v>
      </c>
      <c r="T12" s="1110" t="s">
        <v>61</v>
      </c>
      <c r="U12" s="1111">
        <f t="shared" si="1"/>
        <v>100</v>
      </c>
      <c r="V12" s="1110" t="s">
        <v>61</v>
      </c>
      <c r="W12" s="1111">
        <f t="shared" si="2"/>
        <v>100</v>
      </c>
      <c r="X12" s="1112"/>
      <c r="Y12" s="3311"/>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3"/>
      <c r="Q13" s="2599">
        <f t="shared" si="6"/>
        <v>111</v>
      </c>
      <c r="R13" s="1110" t="s">
        <v>61</v>
      </c>
      <c r="S13" s="1111">
        <f t="shared" si="0"/>
        <v>100</v>
      </c>
      <c r="T13" s="1110" t="s">
        <v>61</v>
      </c>
      <c r="U13" s="1111">
        <f t="shared" si="1"/>
        <v>100</v>
      </c>
      <c r="V13" s="1110" t="s">
        <v>61</v>
      </c>
      <c r="W13" s="1111">
        <f t="shared" si="2"/>
        <v>100</v>
      </c>
      <c r="X13" s="1112"/>
      <c r="Y13" s="3311"/>
      <c r="Z13" s="206">
        <f t="shared" si="7"/>
        <v>111</v>
      </c>
      <c r="AA13" s="1113">
        <f t="shared" si="3"/>
        <v>1</v>
      </c>
      <c r="AB13" s="1113">
        <f t="shared" si="4"/>
        <v>1</v>
      </c>
      <c r="AC13" s="1113">
        <f t="shared" si="5"/>
        <v>1</v>
      </c>
    </row>
    <row r="14" spans="1:29" ht="171">
      <c r="A14" s="598" t="s">
        <v>420</v>
      </c>
      <c r="B14" s="831" t="s">
        <v>468</v>
      </c>
      <c r="C14" s="2574" t="str">
        <f>IF(B1="工业",估价对象房地状况!G4,估价对象房地状况!C6)</f>
        <v>以估价对象为圆心，半径1公里内有75、95、112、115、411路等10余条公共线路及地铁6号线（青年路站）、八通线（四惠东站）、小区内有地下车库，综合评价交通便捷度较好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1" t="s">
        <v>421</v>
      </c>
      <c r="Q14" s="2600" t="str">
        <f t="shared" si="6"/>
        <v>交通便捷度</v>
      </c>
      <c r="R14" s="1115" t="s">
        <v>61</v>
      </c>
      <c r="S14" s="1116">
        <f t="shared" si="0"/>
        <v>100</v>
      </c>
      <c r="T14" s="1115" t="s">
        <v>61</v>
      </c>
      <c r="U14" s="1116">
        <f t="shared" si="1"/>
        <v>100</v>
      </c>
      <c r="V14" s="1115" t="s">
        <v>61</v>
      </c>
      <c r="W14" s="1116">
        <f t="shared" si="2"/>
        <v>100</v>
      </c>
      <c r="X14" s="2601"/>
      <c r="Y14" s="3501"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2"/>
      <c r="Q15" s="2600"/>
      <c r="R15" s="1115"/>
      <c r="S15" s="1116"/>
      <c r="T15" s="1115"/>
      <c r="U15" s="1116"/>
      <c r="V15" s="1115"/>
      <c r="W15" s="1116"/>
      <c r="X15" s="2601"/>
      <c r="Y15" s="3502"/>
      <c r="Z15" s="2603"/>
      <c r="AA15" s="1118">
        <v>1</v>
      </c>
      <c r="AB15" s="1118">
        <v>1</v>
      </c>
      <c r="AC15" s="1118">
        <v>1</v>
      </c>
    </row>
    <row r="16" spans="1:29" ht="42.75">
      <c r="A16" s="601"/>
      <c r="B16" s="892" t="s">
        <v>2554</v>
      </c>
      <c r="C16" s="2576" t="str">
        <f>IF(B1="工业",估价对象房地状况!G5,估价对象房地状况!C7)</f>
        <v>较好——有餐饮、医院、超市、学校等</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2"/>
      <c r="Q16" s="2600" t="str">
        <f>B16</f>
        <v>公共配套设施</v>
      </c>
      <c r="R16" s="1115" t="s">
        <v>61</v>
      </c>
      <c r="S16" s="1116">
        <f>F16</f>
        <v>100</v>
      </c>
      <c r="T16" s="1115" t="s">
        <v>61</v>
      </c>
      <c r="U16" s="1116">
        <f>H16</f>
        <v>100</v>
      </c>
      <c r="V16" s="1115" t="s">
        <v>61</v>
      </c>
      <c r="W16" s="1116">
        <f>J16</f>
        <v>100</v>
      </c>
      <c r="X16" s="2601"/>
      <c r="Y16" s="3502"/>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2"/>
      <c r="Q17" s="2600"/>
      <c r="R17" s="1115"/>
      <c r="S17" s="1116"/>
      <c r="T17" s="1115"/>
      <c r="U17" s="1116"/>
      <c r="V17" s="1115"/>
      <c r="W17" s="1116"/>
      <c r="X17" s="2601"/>
      <c r="Y17" s="3502"/>
      <c r="Z17" s="2603"/>
      <c r="AA17" s="1118">
        <v>1</v>
      </c>
      <c r="AB17" s="1118">
        <v>1</v>
      </c>
      <c r="AC17" s="1118">
        <v>1</v>
      </c>
    </row>
    <row r="18" spans="1:29" ht="15">
      <c r="A18" s="601"/>
      <c r="B18" s="894" t="s">
        <v>2555</v>
      </c>
      <c r="C18" s="2576" t="str">
        <f>IF(B1="工业",估价对象房地状况!G6,估价对象房地状况!C8)</f>
        <v>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2"/>
      <c r="Q18" s="2600" t="str">
        <f>B18</f>
        <v>基础设施水平</v>
      </c>
      <c r="R18" s="1115" t="s">
        <v>61</v>
      </c>
      <c r="S18" s="1116">
        <f>F18</f>
        <v>100</v>
      </c>
      <c r="T18" s="1115" t="s">
        <v>61</v>
      </c>
      <c r="U18" s="1116">
        <f>H18</f>
        <v>100</v>
      </c>
      <c r="V18" s="1115" t="s">
        <v>61</v>
      </c>
      <c r="W18" s="1116">
        <f>J18</f>
        <v>100</v>
      </c>
      <c r="X18" s="2601"/>
      <c r="Y18" s="3502"/>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2"/>
      <c r="Q19" s="2600"/>
      <c r="R19" s="1115"/>
      <c r="S19" s="1116"/>
      <c r="T19" s="1115"/>
      <c r="U19" s="1116"/>
      <c r="V19" s="1115"/>
      <c r="W19" s="1116"/>
      <c r="X19" s="2601"/>
      <c r="Y19" s="3502"/>
      <c r="Z19" s="2603"/>
      <c r="AA19" s="1118">
        <v>1</v>
      </c>
      <c r="AB19" s="1118">
        <v>1</v>
      </c>
      <c r="AC19" s="1118">
        <v>1</v>
      </c>
    </row>
    <row r="20" spans="1:29" ht="85.5">
      <c r="A20" s="601"/>
      <c r="B20" s="833" t="s">
        <v>469</v>
      </c>
      <c r="C20" s="2576" t="str">
        <f>IF(B1="工业",估价对象房地状况!G7,估价对象房地状况!C9)</f>
        <v>区域自然环境：兴隆公园、通惠河；人文环境：中国紫檀博物馆；综合评价环境状况较好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2"/>
      <c r="Q20" s="2600" t="str">
        <f>B20</f>
        <v>自然及人文环境</v>
      </c>
      <c r="R20" s="1115" t="s">
        <v>61</v>
      </c>
      <c r="S20" s="1116">
        <f>F20</f>
        <v>100</v>
      </c>
      <c r="T20" s="1115" t="s">
        <v>61</v>
      </c>
      <c r="U20" s="1116">
        <f>H20</f>
        <v>100</v>
      </c>
      <c r="V20" s="1115" t="s">
        <v>61</v>
      </c>
      <c r="W20" s="1116">
        <f>J20</f>
        <v>100</v>
      </c>
      <c r="X20" s="2601"/>
      <c r="Y20" s="3502"/>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2"/>
      <c r="Q21" s="2600"/>
      <c r="R21" s="1115"/>
      <c r="S21" s="1116"/>
      <c r="T21" s="1115"/>
      <c r="U21" s="1116"/>
      <c r="V21" s="1115"/>
      <c r="W21" s="1116"/>
      <c r="X21" s="2601"/>
      <c r="Y21" s="3502"/>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2"/>
      <c r="Q22" s="2600" t="str">
        <f>B22</f>
        <v>楼层</v>
      </c>
      <c r="R22" s="1115" t="s">
        <v>61</v>
      </c>
      <c r="S22" s="1116">
        <f>F22</f>
        <v>100</v>
      </c>
      <c r="T22" s="1115" t="s">
        <v>61</v>
      </c>
      <c r="U22" s="1116">
        <f>H22</f>
        <v>100</v>
      </c>
      <c r="V22" s="1115" t="s">
        <v>61</v>
      </c>
      <c r="W22" s="1116">
        <f>J22</f>
        <v>100</v>
      </c>
      <c r="X22" s="2601"/>
      <c r="Y22" s="3502"/>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2"/>
      <c r="Q23" s="2600">
        <f>B23</f>
        <v>111</v>
      </c>
      <c r="R23" s="1115" t="s">
        <v>61</v>
      </c>
      <c r="S23" s="1116">
        <f>F23</f>
        <v>100</v>
      </c>
      <c r="T23" s="1115" t="s">
        <v>61</v>
      </c>
      <c r="U23" s="1116">
        <f>H23</f>
        <v>100</v>
      </c>
      <c r="V23" s="1115" t="s">
        <v>61</v>
      </c>
      <c r="W23" s="1116">
        <f>J23</f>
        <v>100</v>
      </c>
      <c r="X23" s="2601"/>
      <c r="Y23" s="3502"/>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2"/>
      <c r="Q24" s="2600">
        <f t="shared" ref="Q24:Q36" si="11">B24</f>
        <v>111</v>
      </c>
      <c r="R24" s="1115" t="s">
        <v>61</v>
      </c>
      <c r="S24" s="1116">
        <f>F24</f>
        <v>100</v>
      </c>
      <c r="T24" s="1115" t="s">
        <v>61</v>
      </c>
      <c r="U24" s="1116">
        <f>H24</f>
        <v>100</v>
      </c>
      <c r="V24" s="1115" t="s">
        <v>61</v>
      </c>
      <c r="W24" s="1116">
        <f>J24</f>
        <v>100</v>
      </c>
      <c r="X24" s="2601"/>
      <c r="Y24" s="3502"/>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2"/>
      <c r="Q25" s="2599">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3"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4"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4"/>
      <c r="Q27" s="1119" t="str">
        <f t="shared" si="11"/>
        <v>项目停车位配比</v>
      </c>
      <c r="R27" s="1120" t="s">
        <v>61</v>
      </c>
      <c r="S27" s="1121">
        <f t="shared" si="12"/>
        <v>100</v>
      </c>
      <c r="T27" s="1120" t="s">
        <v>61</v>
      </c>
      <c r="U27" s="1121">
        <f t="shared" si="13"/>
        <v>100</v>
      </c>
      <c r="V27" s="1120" t="s">
        <v>61</v>
      </c>
      <c r="W27" s="1121">
        <f t="shared" si="14"/>
        <v>100</v>
      </c>
      <c r="X27" s="1122"/>
      <c r="Y27" s="350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4"/>
      <c r="Q28" s="2600" t="str">
        <f t="shared" si="11"/>
        <v>公共部分装修</v>
      </c>
      <c r="R28" s="1115" t="s">
        <v>61</v>
      </c>
      <c r="S28" s="1116">
        <f t="shared" si="12"/>
        <v>100</v>
      </c>
      <c r="T28" s="1115" t="s">
        <v>61</v>
      </c>
      <c r="U28" s="1116">
        <f t="shared" si="13"/>
        <v>100</v>
      </c>
      <c r="V28" s="1115" t="s">
        <v>61</v>
      </c>
      <c r="W28" s="1116">
        <f t="shared" si="14"/>
        <v>100</v>
      </c>
      <c r="X28" s="2601"/>
      <c r="Y28" s="3504"/>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4"/>
      <c r="Q29" s="2600" t="str">
        <f t="shared" si="11"/>
        <v>成新率</v>
      </c>
      <c r="R29" s="1115" t="s">
        <v>61</v>
      </c>
      <c r="S29" s="1116" t="e">
        <f t="shared" si="12"/>
        <v>#N/A</v>
      </c>
      <c r="T29" s="1115" t="s">
        <v>61</v>
      </c>
      <c r="U29" s="1116" t="e">
        <f t="shared" si="13"/>
        <v>#N/A</v>
      </c>
      <c r="V29" s="1115" t="s">
        <v>61</v>
      </c>
      <c r="W29" s="1116" t="e">
        <f t="shared" si="14"/>
        <v>#N/A</v>
      </c>
      <c r="X29" s="2601"/>
      <c r="Y29" s="3504"/>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4"/>
      <c r="Q30" s="2600" t="str">
        <f t="shared" si="11"/>
        <v>物业等级</v>
      </c>
      <c r="R30" s="1115" t="s">
        <v>61</v>
      </c>
      <c r="S30" s="1116">
        <f t="shared" si="12"/>
        <v>100</v>
      </c>
      <c r="T30" s="1115" t="s">
        <v>61</v>
      </c>
      <c r="U30" s="1116">
        <f t="shared" si="13"/>
        <v>100</v>
      </c>
      <c r="V30" s="1115" t="s">
        <v>61</v>
      </c>
      <c r="W30" s="1116">
        <f t="shared" si="14"/>
        <v>100</v>
      </c>
      <c r="X30" s="2601"/>
      <c r="Y30" s="3504"/>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4"/>
      <c r="Q31" s="2599" t="str">
        <f t="shared" si="11"/>
        <v>停车位面积</v>
      </c>
      <c r="R31" s="1110" t="s">
        <v>61</v>
      </c>
      <c r="S31" s="1111" t="e">
        <f t="shared" si="12"/>
        <v>#N/A</v>
      </c>
      <c r="T31" s="1110" t="s">
        <v>61</v>
      </c>
      <c r="U31" s="1111" t="e">
        <f t="shared" si="13"/>
        <v>#N/A</v>
      </c>
      <c r="V31" s="1110" t="s">
        <v>61</v>
      </c>
      <c r="W31" s="1111" t="e">
        <f t="shared" si="14"/>
        <v>#N/A</v>
      </c>
      <c r="X31" s="1112"/>
      <c r="Y31" s="350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4" t="s">
        <v>423</v>
      </c>
      <c r="Q32" s="2600" t="str">
        <f t="shared" si="11"/>
        <v>车位类型</v>
      </c>
      <c r="R32" s="1115" t="s">
        <v>61</v>
      </c>
      <c r="S32" s="1116">
        <f t="shared" si="12"/>
        <v>100</v>
      </c>
      <c r="T32" s="1115" t="s">
        <v>61</v>
      </c>
      <c r="U32" s="1116">
        <f t="shared" si="13"/>
        <v>100</v>
      </c>
      <c r="V32" s="1115" t="s">
        <v>61</v>
      </c>
      <c r="W32" s="1116">
        <f t="shared" si="14"/>
        <v>100</v>
      </c>
      <c r="X32" s="2601"/>
      <c r="Y32" s="3504"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4"/>
      <c r="Q33" s="2600" t="str">
        <f t="shared" si="11"/>
        <v>是否直接入户</v>
      </c>
      <c r="R33" s="1115" t="s">
        <v>61</v>
      </c>
      <c r="S33" s="1116">
        <f t="shared" si="12"/>
        <v>100</v>
      </c>
      <c r="T33" s="1115" t="s">
        <v>61</v>
      </c>
      <c r="U33" s="1116">
        <f t="shared" si="13"/>
        <v>100</v>
      </c>
      <c r="V33" s="1115" t="s">
        <v>61</v>
      </c>
      <c r="W33" s="1116">
        <f t="shared" si="14"/>
        <v>100</v>
      </c>
      <c r="X33" s="2601"/>
      <c r="Y33" s="3504"/>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4"/>
      <c r="Q34" s="2600">
        <f t="shared" si="11"/>
        <v>111</v>
      </c>
      <c r="R34" s="1115" t="s">
        <v>61</v>
      </c>
      <c r="S34" s="1116">
        <f t="shared" si="12"/>
        <v>100</v>
      </c>
      <c r="T34" s="1115" t="s">
        <v>61</v>
      </c>
      <c r="U34" s="1116">
        <f t="shared" si="13"/>
        <v>100</v>
      </c>
      <c r="V34" s="1115" t="s">
        <v>61</v>
      </c>
      <c r="W34" s="1116">
        <f t="shared" si="14"/>
        <v>100</v>
      </c>
      <c r="X34" s="2601"/>
      <c r="Y34" s="3504"/>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4"/>
      <c r="Q35" s="1119">
        <f t="shared" si="11"/>
        <v>111</v>
      </c>
      <c r="R35" s="1120" t="s">
        <v>61</v>
      </c>
      <c r="S35" s="1121">
        <f t="shared" si="12"/>
        <v>100</v>
      </c>
      <c r="T35" s="1120" t="s">
        <v>61</v>
      </c>
      <c r="U35" s="1121">
        <f t="shared" si="13"/>
        <v>100</v>
      </c>
      <c r="V35" s="1120" t="s">
        <v>61</v>
      </c>
      <c r="W35" s="1121">
        <f t="shared" si="14"/>
        <v>100</v>
      </c>
      <c r="X35" s="1122"/>
      <c r="Y35" s="350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4"/>
      <c r="Q36" s="2600">
        <f t="shared" si="11"/>
        <v>111</v>
      </c>
      <c r="R36" s="1115" t="s">
        <v>61</v>
      </c>
      <c r="S36" s="1116">
        <f t="shared" si="12"/>
        <v>100</v>
      </c>
      <c r="T36" s="1115" t="s">
        <v>61</v>
      </c>
      <c r="U36" s="1116">
        <f t="shared" si="13"/>
        <v>100</v>
      </c>
      <c r="V36" s="1115" t="s">
        <v>61</v>
      </c>
      <c r="W36" s="1116">
        <f t="shared" si="14"/>
        <v>100</v>
      </c>
      <c r="X36" s="2601"/>
      <c r="Y36" s="3504"/>
      <c r="Z36" s="2603">
        <f t="shared" si="15"/>
        <v>111</v>
      </c>
      <c r="AA36" s="1118">
        <f t="shared" si="3"/>
        <v>1</v>
      </c>
      <c r="AB36" s="1118">
        <f t="shared" si="4"/>
        <v>1</v>
      </c>
      <c r="AC36" s="1118">
        <f t="shared" si="5"/>
        <v>1</v>
      </c>
    </row>
    <row r="37" spans="1:29" ht="15">
      <c r="A37" s="113" t="s">
        <v>2015</v>
      </c>
      <c r="B37" s="1903" t="s">
        <v>2865</v>
      </c>
      <c r="C37" s="2610" t="s">
        <v>20</v>
      </c>
      <c r="D37" s="2611"/>
      <c r="E37" s="2612"/>
      <c r="F37" s="2613"/>
      <c r="G37" s="2614"/>
      <c r="H37" s="2615"/>
      <c r="I37" s="2612"/>
      <c r="J37" s="2615"/>
      <c r="K37" s="821"/>
      <c r="L37" s="2633"/>
      <c r="M37" s="1098"/>
      <c r="N37" s="643"/>
      <c r="O37" s="1098"/>
      <c r="P37" s="3473" t="str">
        <f>A37</f>
        <v>成交单价</v>
      </c>
      <c r="Q37" s="3473"/>
      <c r="R37" s="3505">
        <f>E37</f>
        <v>0</v>
      </c>
      <c r="S37" s="3505"/>
      <c r="T37" s="3505">
        <f>G37</f>
        <v>0</v>
      </c>
      <c r="U37" s="3505"/>
      <c r="V37" s="3505">
        <f>I37</f>
        <v>0</v>
      </c>
      <c r="W37" s="3505"/>
      <c r="X37" s="1098"/>
      <c r="Y37" s="1124"/>
      <c r="Z37" s="1098"/>
      <c r="AA37" s="1098"/>
      <c r="AB37" s="1098"/>
      <c r="AC37" s="1098"/>
    </row>
    <row r="38" spans="1:29" ht="15.75" thickBot="1">
      <c r="A38" s="115" t="s">
        <v>2016</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3" t="str">
        <f>A38</f>
        <v>比较价值</v>
      </c>
      <c r="Q38" s="3473"/>
      <c r="R38" s="3505" t="e">
        <f>IF(E1="售价",ROUND(PRODUCT(R37,AA7:AA36),0),ROUND(PRODUCT(R37,AA7:AA36),1))</f>
        <v>#DIV/0!</v>
      </c>
      <c r="S38" s="3505"/>
      <c r="T38" s="3505" t="e">
        <f>IF(E1="售价",ROUND(PRODUCT(T37,AB7:AB36),0),ROUND(PRODUCT(T37,AB7:AB36),1))</f>
        <v>#DIV/0!</v>
      </c>
      <c r="U38" s="3505"/>
      <c r="V38" s="3505" t="e">
        <f>IF(E1="售价",ROUND(PRODUCT(V37,AC7:AC36),0),ROUND(PRODUCT(V37,AC7:AC36),1))</f>
        <v>#DIV/0!</v>
      </c>
      <c r="W38" s="3505"/>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6" t="str">
        <f>A39</f>
        <v>估价对象XX用房的比较价值（楼面单价，元/平方米）</v>
      </c>
      <c r="Q39" s="3507"/>
      <c r="R39" s="3508" t="e">
        <f>IF(E1="售价",ROUND(AVERAGE(R38:V38),0),ROUND(AVERAGE(R38:V38),1))</f>
        <v>#DIV/0!</v>
      </c>
      <c r="S39" s="3508"/>
      <c r="T39" s="3508"/>
      <c r="U39" s="3508"/>
      <c r="V39" s="3508"/>
      <c r="W39" s="3508"/>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2541</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2556</v>
      </c>
      <c r="C67" s="129" t="s">
        <v>2545</v>
      </c>
      <c r="D67" s="129" t="s">
        <v>2546</v>
      </c>
      <c r="E67" s="129" t="s">
        <v>2547</v>
      </c>
      <c r="F67" s="129" t="s">
        <v>2548</v>
      </c>
      <c r="G67" s="129" t="s">
        <v>2549</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70" priority="14" stopIfTrue="1" operator="containsText" text="超过">
      <formula>NOT(ISERROR(SEARCH("超过",F42)))</formula>
    </cfRule>
  </conditionalFormatting>
  <conditionalFormatting sqref="J44">
    <cfRule type="containsText" dxfId="69" priority="13" stopIfTrue="1" operator="containsText" text="超过">
      <formula>NOT(ISERROR(SEARCH("超过",J44)))</formula>
    </cfRule>
  </conditionalFormatting>
  <conditionalFormatting sqref="H44">
    <cfRule type="containsText" dxfId="68" priority="12" stopIfTrue="1" operator="containsText" text="超过">
      <formula>NOT(ISERROR(SEARCH("超过",H44)))</formula>
    </cfRule>
  </conditionalFormatting>
  <conditionalFormatting sqref="F44">
    <cfRule type="containsText" dxfId="67" priority="11" stopIfTrue="1" operator="containsText" text="超过">
      <formula>NOT(ISERROR(SEARCH("超过",F44)))</formula>
    </cfRule>
  </conditionalFormatting>
  <conditionalFormatting sqref="F43 H43 J43">
    <cfRule type="containsText" dxfId="66" priority="10" stopIfTrue="1" operator="containsText" text="超过">
      <formula>NOT(ISERROR(SEARCH("超过",F43)))</formula>
    </cfRule>
  </conditionalFormatting>
  <conditionalFormatting sqref="E42">
    <cfRule type="expression" dxfId="65" priority="9" stopIfTrue="1">
      <formula>$F$42="超过30%"</formula>
    </cfRule>
  </conditionalFormatting>
  <conditionalFormatting sqref="G44">
    <cfRule type="expression" dxfId="64" priority="8" stopIfTrue="1">
      <formula>$H$54+$H$44="超过30%"</formula>
    </cfRule>
  </conditionalFormatting>
  <conditionalFormatting sqref="E43">
    <cfRule type="expression" dxfId="63" priority="7" stopIfTrue="1">
      <formula>$F$43="超过20%"</formula>
    </cfRule>
  </conditionalFormatting>
  <conditionalFormatting sqref="E44">
    <cfRule type="expression" dxfId="62" priority="6" stopIfTrue="1">
      <formula>$F$44="超过30%"</formula>
    </cfRule>
  </conditionalFormatting>
  <conditionalFormatting sqref="G42">
    <cfRule type="expression" dxfId="61" priority="5" stopIfTrue="1">
      <formula>$H$52+$H$42="超过30%"</formula>
    </cfRule>
  </conditionalFormatting>
  <conditionalFormatting sqref="G43">
    <cfRule type="expression" dxfId="60" priority="4" stopIfTrue="1">
      <formula>$H$43="超过20%"</formula>
    </cfRule>
  </conditionalFormatting>
  <conditionalFormatting sqref="I42">
    <cfRule type="expression" dxfId="59" priority="3" stopIfTrue="1">
      <formula>$J$52+$J$42="超过30%"</formula>
    </cfRule>
  </conditionalFormatting>
  <conditionalFormatting sqref="I43">
    <cfRule type="expression" dxfId="58" priority="2" stopIfTrue="1">
      <formula>$J$53+$J$43="超过20%"</formula>
    </cfRule>
  </conditionalFormatting>
  <conditionalFormatting sqref="I44">
    <cfRule type="expression" dxfId="5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26" sqref="C126:G131"/>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56.82</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206"/>
      <c r="M4" s="2207"/>
      <c r="N4" s="2207"/>
      <c r="O4" s="2207"/>
      <c r="P4" s="3485" t="s">
        <v>467</v>
      </c>
      <c r="Q4" s="3486"/>
      <c r="R4" s="3491" t="s">
        <v>463</v>
      </c>
      <c r="S4" s="3492"/>
      <c r="T4" s="3491" t="s">
        <v>464</v>
      </c>
      <c r="U4" s="3492"/>
      <c r="V4" s="3497" t="s">
        <v>465</v>
      </c>
      <c r="W4" s="3497"/>
      <c r="X4" s="1109"/>
      <c r="Y4" s="3491" t="s">
        <v>467</v>
      </c>
      <c r="Z4" s="3492"/>
      <c r="AA4" s="3478" t="s">
        <v>463</v>
      </c>
      <c r="AB4" s="3479" t="s">
        <v>464</v>
      </c>
      <c r="AC4" s="3478" t="s">
        <v>465</v>
      </c>
    </row>
    <row r="5" spans="1:29" ht="15">
      <c r="A5" s="601"/>
      <c r="B5" s="602"/>
      <c r="C5" s="3405" t="s">
        <v>1038</v>
      </c>
      <c r="D5" s="3406"/>
      <c r="E5" s="3403" t="s">
        <v>1039</v>
      </c>
      <c r="F5" s="3404"/>
      <c r="G5" s="3405" t="s">
        <v>57</v>
      </c>
      <c r="H5" s="3406"/>
      <c r="I5" s="3405" t="s">
        <v>1040</v>
      </c>
      <c r="J5" s="3406"/>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07" t="s">
        <v>1041</v>
      </c>
      <c r="D6" s="3408"/>
      <c r="E6" s="3409" t="s">
        <v>1041</v>
      </c>
      <c r="F6" s="3410"/>
      <c r="G6" s="3407" t="s">
        <v>1041</v>
      </c>
      <c r="H6" s="3408"/>
      <c r="I6" s="3407" t="s">
        <v>1041</v>
      </c>
      <c r="J6" s="3408"/>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42934</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3" t="s">
        <v>416</v>
      </c>
      <c r="Q9" s="192" t="str">
        <f t="shared" ref="Q9:Q14" si="6">B9</f>
        <v>用途</v>
      </c>
      <c r="R9" s="1110" t="s">
        <v>61</v>
      </c>
      <c r="S9" s="1111">
        <f t="shared" si="0"/>
        <v>100</v>
      </c>
      <c r="T9" s="1110" t="s">
        <v>61</v>
      </c>
      <c r="U9" s="1111">
        <f t="shared" si="1"/>
        <v>100</v>
      </c>
      <c r="V9" s="1110" t="s">
        <v>61</v>
      </c>
      <c r="W9" s="1111">
        <f t="shared" si="2"/>
        <v>100</v>
      </c>
      <c r="X9" s="1112"/>
      <c r="Y9" s="3311"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11"/>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3"/>
      <c r="Q11" s="192">
        <f t="shared" si="6"/>
        <v>111</v>
      </c>
      <c r="R11" s="1110" t="s">
        <v>61</v>
      </c>
      <c r="S11" s="1111">
        <f t="shared" si="0"/>
        <v>100</v>
      </c>
      <c r="T11" s="1110" t="s">
        <v>61</v>
      </c>
      <c r="U11" s="1111">
        <f t="shared" si="1"/>
        <v>100</v>
      </c>
      <c r="V11" s="1110" t="s">
        <v>61</v>
      </c>
      <c r="W11" s="1111">
        <f t="shared" si="2"/>
        <v>100</v>
      </c>
      <c r="X11" s="1112"/>
      <c r="Y11" s="3311"/>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11"/>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11"/>
      <c r="Z13" s="206">
        <f t="shared" si="7"/>
        <v>111</v>
      </c>
      <c r="AA13" s="1113">
        <f t="shared" si="3"/>
        <v>1</v>
      </c>
      <c r="AB13" s="1113">
        <f t="shared" si="4"/>
        <v>1</v>
      </c>
      <c r="AC13" s="1113">
        <f t="shared" si="5"/>
        <v>1</v>
      </c>
    </row>
    <row r="14" spans="1:29" ht="175.5">
      <c r="A14" s="637" t="s">
        <v>420</v>
      </c>
      <c r="B14" s="209" t="s">
        <v>468</v>
      </c>
      <c r="C14" s="164" t="str">
        <f>IF(B1="工业",估价对象房地状况!G4,估价对象房地状况!C6)</f>
        <v>以估价对象为圆心，半径1公里内有75、95、112、115、411路等10余条公共线路及地铁6号线（青年路站）、八通线（四惠东站）、小区内有地下车库，综合评价交通便捷度较好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1" t="s">
        <v>421</v>
      </c>
      <c r="Q14" s="1114" t="str">
        <f t="shared" si="6"/>
        <v>交通便捷度</v>
      </c>
      <c r="R14" s="1115" t="s">
        <v>61</v>
      </c>
      <c r="S14" s="1116">
        <f t="shared" si="0"/>
        <v>100</v>
      </c>
      <c r="T14" s="1115" t="s">
        <v>61</v>
      </c>
      <c r="U14" s="1116">
        <f t="shared" si="1"/>
        <v>100</v>
      </c>
      <c r="V14" s="1115" t="s">
        <v>61</v>
      </c>
      <c r="W14" s="1116">
        <f t="shared" si="2"/>
        <v>100</v>
      </c>
      <c r="X14" s="1109"/>
      <c r="Y14" s="3501"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2"/>
      <c r="Q15" s="1114"/>
      <c r="R15" s="1115"/>
      <c r="S15" s="1116"/>
      <c r="T15" s="1115"/>
      <c r="U15" s="1116"/>
      <c r="V15" s="1115"/>
      <c r="W15" s="1116"/>
      <c r="X15" s="1109"/>
      <c r="Y15" s="3502"/>
      <c r="Z15" s="1117"/>
      <c r="AA15" s="1118">
        <v>1</v>
      </c>
      <c r="AB15" s="1118">
        <v>1</v>
      </c>
      <c r="AC15" s="1118">
        <v>1</v>
      </c>
    </row>
    <row r="16" spans="1:29" ht="40.5">
      <c r="A16" s="626"/>
      <c r="B16" s="892" t="s">
        <v>2554</v>
      </c>
      <c r="C16" s="108" t="str">
        <f>IF(B1="工业",估价对象房地状况!G5,估价对象房地状况!C7)</f>
        <v>较好——有餐饮、医院、超市、学校等</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2"/>
      <c r="Q16" s="1114" t="str">
        <f>B16</f>
        <v>公共配套设施</v>
      </c>
      <c r="R16" s="1115" t="s">
        <v>61</v>
      </c>
      <c r="S16" s="1116">
        <f>F16</f>
        <v>100</v>
      </c>
      <c r="T16" s="1115" t="s">
        <v>61</v>
      </c>
      <c r="U16" s="1116">
        <f>H16</f>
        <v>100</v>
      </c>
      <c r="V16" s="1115" t="s">
        <v>61</v>
      </c>
      <c r="W16" s="1116">
        <f>J16</f>
        <v>100</v>
      </c>
      <c r="X16" s="1109"/>
      <c r="Y16" s="3502"/>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2"/>
      <c r="Q17" s="1114"/>
      <c r="R17" s="1115"/>
      <c r="S17" s="1116"/>
      <c r="T17" s="1115"/>
      <c r="U17" s="1116"/>
      <c r="V17" s="1115"/>
      <c r="W17" s="1116"/>
      <c r="X17" s="1109"/>
      <c r="Y17" s="3502"/>
      <c r="Z17" s="1117"/>
      <c r="AA17" s="1118">
        <v>1</v>
      </c>
      <c r="AB17" s="1118">
        <v>1</v>
      </c>
      <c r="AC17" s="1118">
        <v>1</v>
      </c>
    </row>
    <row r="18" spans="1:29" ht="15">
      <c r="A18" s="626"/>
      <c r="B18" s="894" t="s">
        <v>2555</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2"/>
      <c r="Q18" s="2551" t="str">
        <f>B18</f>
        <v>基础设施水平</v>
      </c>
      <c r="R18" s="1115" t="s">
        <v>61</v>
      </c>
      <c r="S18" s="1116">
        <f>F18</f>
        <v>100</v>
      </c>
      <c r="T18" s="1115" t="s">
        <v>61</v>
      </c>
      <c r="U18" s="1116">
        <f>H18</f>
        <v>100</v>
      </c>
      <c r="V18" s="1115" t="s">
        <v>61</v>
      </c>
      <c r="W18" s="1116">
        <f>J18</f>
        <v>100</v>
      </c>
      <c r="X18" s="2552"/>
      <c r="Y18" s="3502"/>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2"/>
      <c r="Q19" s="2551"/>
      <c r="R19" s="1115"/>
      <c r="S19" s="1116"/>
      <c r="T19" s="1115"/>
      <c r="U19" s="1116"/>
      <c r="V19" s="1115"/>
      <c r="W19" s="1116"/>
      <c r="X19" s="2552"/>
      <c r="Y19" s="3502"/>
      <c r="Z19" s="2553"/>
      <c r="AA19" s="1118">
        <v>1</v>
      </c>
      <c r="AB19" s="1118">
        <v>1</v>
      </c>
      <c r="AC19" s="1118">
        <v>1</v>
      </c>
    </row>
    <row r="20" spans="1:29" ht="94.5">
      <c r="A20" s="626"/>
      <c r="B20" s="649" t="s">
        <v>469</v>
      </c>
      <c r="C20" s="108" t="str">
        <f>IF(B1="工业",估价对象房地状况!G7,估价对象房地状况!C9)</f>
        <v>区域自然环境：兴隆公园、通惠河；人文环境：中国紫檀博物馆；综合评价环境状况较好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2"/>
      <c r="Q20" s="1114" t="str">
        <f>B20</f>
        <v>自然及人文环境</v>
      </c>
      <c r="R20" s="1115" t="s">
        <v>61</v>
      </c>
      <c r="S20" s="1116">
        <f>F20</f>
        <v>100</v>
      </c>
      <c r="T20" s="1115" t="s">
        <v>61</v>
      </c>
      <c r="U20" s="1116">
        <f>H20</f>
        <v>100</v>
      </c>
      <c r="V20" s="1115" t="s">
        <v>61</v>
      </c>
      <c r="W20" s="1116">
        <f>J20</f>
        <v>100</v>
      </c>
      <c r="X20" s="1109"/>
      <c r="Y20" s="3502"/>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2"/>
      <c r="Q21" s="1114"/>
      <c r="R21" s="1115"/>
      <c r="S21" s="1116"/>
      <c r="T21" s="1115"/>
      <c r="U21" s="1116"/>
      <c r="V21" s="1115"/>
      <c r="W21" s="1116"/>
      <c r="X21" s="1109"/>
      <c r="Y21" s="3502"/>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2"/>
      <c r="Q22" s="1114" t="str">
        <f>B22</f>
        <v>楼层</v>
      </c>
      <c r="R22" s="1115" t="s">
        <v>61</v>
      </c>
      <c r="S22" s="1116">
        <f>F22</f>
        <v>100</v>
      </c>
      <c r="T22" s="1115" t="s">
        <v>61</v>
      </c>
      <c r="U22" s="1116">
        <f>H22</f>
        <v>100</v>
      </c>
      <c r="V22" s="1115" t="s">
        <v>61</v>
      </c>
      <c r="W22" s="1116">
        <f>J22</f>
        <v>100</v>
      </c>
      <c r="X22" s="1109"/>
      <c r="Y22" s="3502"/>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2"/>
      <c r="Q23" s="1114">
        <f>B23</f>
        <v>111</v>
      </c>
      <c r="R23" s="1115" t="s">
        <v>61</v>
      </c>
      <c r="S23" s="1116">
        <f>F23</f>
        <v>100</v>
      </c>
      <c r="T23" s="1115" t="s">
        <v>61</v>
      </c>
      <c r="U23" s="1116">
        <f>H23</f>
        <v>100</v>
      </c>
      <c r="V23" s="1115" t="s">
        <v>61</v>
      </c>
      <c r="W23" s="1116">
        <f>J23</f>
        <v>100</v>
      </c>
      <c r="X23" s="1109"/>
      <c r="Y23" s="3502"/>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2"/>
      <c r="Q24" s="1114">
        <f t="shared" ref="Q24:Q34" si="11">B24</f>
        <v>111</v>
      </c>
      <c r="R24" s="1115" t="s">
        <v>61</v>
      </c>
      <c r="S24" s="1116">
        <f>F24</f>
        <v>100</v>
      </c>
      <c r="T24" s="1115" t="s">
        <v>61</v>
      </c>
      <c r="U24" s="1116">
        <f>H24</f>
        <v>100</v>
      </c>
      <c r="V24" s="1115" t="s">
        <v>61</v>
      </c>
      <c r="W24" s="1116">
        <f>J24</f>
        <v>100</v>
      </c>
      <c r="X24" s="1109"/>
      <c r="Y24" s="3502"/>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2"/>
      <c r="Q25" s="192">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4"/>
      <c r="Q27" s="1119" t="str">
        <f t="shared" si="11"/>
        <v>成新率</v>
      </c>
      <c r="R27" s="1120" t="s">
        <v>61</v>
      </c>
      <c r="S27" s="1121" t="e">
        <f t="shared" si="12"/>
        <v>#N/A</v>
      </c>
      <c r="T27" s="1120" t="s">
        <v>61</v>
      </c>
      <c r="U27" s="1121" t="e">
        <f t="shared" si="13"/>
        <v>#N/A</v>
      </c>
      <c r="V27" s="1120" t="s">
        <v>61</v>
      </c>
      <c r="W27" s="1121" t="e">
        <f t="shared" si="14"/>
        <v>#N/A</v>
      </c>
      <c r="X27" s="1122"/>
      <c r="Y27" s="350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4"/>
      <c r="Q28" s="1114" t="str">
        <f t="shared" si="11"/>
        <v>物业等级</v>
      </c>
      <c r="R28" s="1115" t="s">
        <v>61</v>
      </c>
      <c r="S28" s="1116">
        <f t="shared" si="12"/>
        <v>100</v>
      </c>
      <c r="T28" s="1115" t="s">
        <v>61</v>
      </c>
      <c r="U28" s="1116">
        <f t="shared" si="13"/>
        <v>100</v>
      </c>
      <c r="V28" s="1115" t="s">
        <v>61</v>
      </c>
      <c r="W28" s="1116">
        <f t="shared" si="14"/>
        <v>100</v>
      </c>
      <c r="X28" s="1109"/>
      <c r="Y28" s="350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4"/>
      <c r="Q29" s="1114" t="str">
        <f t="shared" si="11"/>
        <v>有无电梯</v>
      </c>
      <c r="R29" s="1115" t="s">
        <v>61</v>
      </c>
      <c r="S29" s="1116">
        <f t="shared" si="12"/>
        <v>100</v>
      </c>
      <c r="T29" s="1115" t="s">
        <v>61</v>
      </c>
      <c r="U29" s="1116">
        <f t="shared" si="13"/>
        <v>100</v>
      </c>
      <c r="V29" s="1115" t="s">
        <v>61</v>
      </c>
      <c r="W29" s="1116">
        <f t="shared" si="14"/>
        <v>100</v>
      </c>
      <c r="X29" s="1109"/>
      <c r="Y29" s="350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4"/>
      <c r="Q30" s="1114" t="str">
        <f t="shared" si="11"/>
        <v>建筑面积</v>
      </c>
      <c r="R30" s="1115" t="s">
        <v>61</v>
      </c>
      <c r="S30" s="1116" t="e">
        <f t="shared" si="12"/>
        <v>#N/A</v>
      </c>
      <c r="T30" s="1115" t="s">
        <v>61</v>
      </c>
      <c r="U30" s="1116" t="e">
        <f t="shared" si="13"/>
        <v>#N/A</v>
      </c>
      <c r="V30" s="1115" t="s">
        <v>61</v>
      </c>
      <c r="W30" s="1116" t="e">
        <f t="shared" si="14"/>
        <v>#N/A</v>
      </c>
      <c r="X30" s="1109"/>
      <c r="Y30" s="350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4"/>
      <c r="Q31" s="192" t="str">
        <f t="shared" si="11"/>
        <v>是否封闭</v>
      </c>
      <c r="R31" s="1110" t="s">
        <v>61</v>
      </c>
      <c r="S31" s="1111">
        <f t="shared" si="12"/>
        <v>100</v>
      </c>
      <c r="T31" s="1110" t="s">
        <v>61</v>
      </c>
      <c r="U31" s="1111">
        <f t="shared" si="13"/>
        <v>100</v>
      </c>
      <c r="V31" s="1110" t="s">
        <v>61</v>
      </c>
      <c r="W31" s="1111">
        <f t="shared" si="14"/>
        <v>100</v>
      </c>
      <c r="X31" s="1112"/>
      <c r="Y31" s="350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4" t="s">
        <v>423</v>
      </c>
      <c r="Q32" s="1114">
        <f t="shared" si="11"/>
        <v>111</v>
      </c>
      <c r="R32" s="1115" t="s">
        <v>61</v>
      </c>
      <c r="S32" s="1116">
        <f t="shared" si="12"/>
        <v>100</v>
      </c>
      <c r="T32" s="1115" t="s">
        <v>61</v>
      </c>
      <c r="U32" s="1116">
        <f t="shared" si="13"/>
        <v>100</v>
      </c>
      <c r="V32" s="1115" t="s">
        <v>61</v>
      </c>
      <c r="W32" s="1116">
        <f t="shared" si="14"/>
        <v>100</v>
      </c>
      <c r="X32" s="1109"/>
      <c r="Y32" s="350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4"/>
      <c r="Q33" s="1114">
        <f t="shared" si="11"/>
        <v>111</v>
      </c>
      <c r="R33" s="1115" t="s">
        <v>61</v>
      </c>
      <c r="S33" s="1116">
        <f t="shared" si="12"/>
        <v>100</v>
      </c>
      <c r="T33" s="1115" t="s">
        <v>61</v>
      </c>
      <c r="U33" s="1116">
        <f t="shared" si="13"/>
        <v>100</v>
      </c>
      <c r="V33" s="1115" t="s">
        <v>61</v>
      </c>
      <c r="W33" s="1116">
        <f t="shared" si="14"/>
        <v>100</v>
      </c>
      <c r="X33" s="1109"/>
      <c r="Y33" s="350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4"/>
      <c r="Q34" s="1114">
        <f t="shared" si="11"/>
        <v>111</v>
      </c>
      <c r="R34" s="1115" t="s">
        <v>61</v>
      </c>
      <c r="S34" s="1116">
        <f t="shared" si="12"/>
        <v>100</v>
      </c>
      <c r="T34" s="1115" t="s">
        <v>61</v>
      </c>
      <c r="U34" s="1116">
        <f t="shared" si="13"/>
        <v>100</v>
      </c>
      <c r="V34" s="1115" t="s">
        <v>61</v>
      </c>
      <c r="W34" s="1116">
        <f t="shared" si="14"/>
        <v>100</v>
      </c>
      <c r="X34" s="1109"/>
      <c r="Y34" s="3504"/>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3" t="str">
        <f>A35</f>
        <v>成交单价（元/平方米）</v>
      </c>
      <c r="Q35" s="3473"/>
      <c r="R35" s="3505">
        <f>E35</f>
        <v>0</v>
      </c>
      <c r="S35" s="3505"/>
      <c r="T35" s="3505">
        <f>G35</f>
        <v>0</v>
      </c>
      <c r="U35" s="3505"/>
      <c r="V35" s="3505">
        <f>I35</f>
        <v>0</v>
      </c>
      <c r="W35" s="3505"/>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3" t="str">
        <f>A36</f>
        <v>比较价值（元/平方米）</v>
      </c>
      <c r="Q36" s="3473"/>
      <c r="R36" s="3505" t="e">
        <f>IF(E1="售价",ROUND(PRODUCT(R35,AA7:AA34),0),ROUND(PRODUCT(R35,AA7:AA34),1))</f>
        <v>#DIV/0!</v>
      </c>
      <c r="S36" s="3505"/>
      <c r="T36" s="3505" t="e">
        <f>IF(E1="售价",ROUND(PRODUCT(T35,AB7:AB34),0),ROUND(PRODUCT(T35,AB7:AB34),1))</f>
        <v>#DIV/0!</v>
      </c>
      <c r="U36" s="3505"/>
      <c r="V36" s="3505" t="e">
        <f>IF(E1="售价",ROUND(PRODUCT(V35,AC7:AC34),0),ROUND(PRODUCT(V35,AC7:AC34),1))</f>
        <v>#DIV/0!</v>
      </c>
      <c r="W36" s="3505"/>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6" t="str">
        <f>A37</f>
        <v>估价对象XX用房的比较价值（楼面单价，元/平方米）</v>
      </c>
      <c r="Q37" s="3507"/>
      <c r="R37" s="3508" t="e">
        <f>IF(E1="售价",ROUND(AVERAGE(R36:V36),0),ROUND(AVERAGE(R36:V36),1))</f>
        <v>#DIV/0!</v>
      </c>
      <c r="S37" s="3508"/>
      <c r="T37" s="3508"/>
      <c r="U37" s="3508"/>
      <c r="V37" s="3508"/>
      <c r="W37" s="3508"/>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2541</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2556</v>
      </c>
      <c r="C65" s="129" t="s">
        <v>2545</v>
      </c>
      <c r="D65" s="129" t="s">
        <v>2546</v>
      </c>
      <c r="E65" s="129" t="s">
        <v>2547</v>
      </c>
      <c r="F65" s="129" t="s">
        <v>2548</v>
      </c>
      <c r="G65" s="129" t="s">
        <v>2549</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56" priority="14" stopIfTrue="1" operator="containsText" text="超过">
      <formula>NOT(ISERROR(SEARCH("超过",F40)))</formula>
    </cfRule>
  </conditionalFormatting>
  <conditionalFormatting sqref="J42">
    <cfRule type="containsText" dxfId="55" priority="13" stopIfTrue="1" operator="containsText" text="超过">
      <formula>NOT(ISERROR(SEARCH("超过",J42)))</formula>
    </cfRule>
  </conditionalFormatting>
  <conditionalFormatting sqref="H42">
    <cfRule type="containsText" dxfId="54" priority="12" stopIfTrue="1" operator="containsText" text="超过">
      <formula>NOT(ISERROR(SEARCH("超过",H42)))</formula>
    </cfRule>
  </conditionalFormatting>
  <conditionalFormatting sqref="F42">
    <cfRule type="containsText" dxfId="53" priority="11" stopIfTrue="1" operator="containsText" text="超过">
      <formula>NOT(ISERROR(SEARCH("超过",F42)))</formula>
    </cfRule>
  </conditionalFormatting>
  <conditionalFormatting sqref="F41 H41 J41">
    <cfRule type="containsText" dxfId="52" priority="10" stopIfTrue="1" operator="containsText" text="超过">
      <formula>NOT(ISERROR(SEARCH("超过",F41)))</formula>
    </cfRule>
  </conditionalFormatting>
  <conditionalFormatting sqref="E40">
    <cfRule type="expression" dxfId="51" priority="9" stopIfTrue="1">
      <formula>$F$40="超过30%"</formula>
    </cfRule>
  </conditionalFormatting>
  <conditionalFormatting sqref="G42">
    <cfRule type="expression" dxfId="50" priority="8" stopIfTrue="1">
      <formula>$H$54+$H$42="超过30%"</formula>
    </cfRule>
  </conditionalFormatting>
  <conditionalFormatting sqref="E41">
    <cfRule type="expression" dxfId="49" priority="7" stopIfTrue="1">
      <formula>$F$41="超过20%"</formula>
    </cfRule>
  </conditionalFormatting>
  <conditionalFormatting sqref="E42">
    <cfRule type="expression" dxfId="48" priority="6" stopIfTrue="1">
      <formula>$F$42="超过30%"</formula>
    </cfRule>
  </conditionalFormatting>
  <conditionalFormatting sqref="G40">
    <cfRule type="expression" dxfId="47" priority="5" stopIfTrue="1">
      <formula>$H$52+$H$40="超过30%"</formula>
    </cfRule>
  </conditionalFormatting>
  <conditionalFormatting sqref="G41">
    <cfRule type="expression" dxfId="46" priority="4" stopIfTrue="1">
      <formula>$H$53+$H$41="超过20%"</formula>
    </cfRule>
  </conditionalFormatting>
  <conditionalFormatting sqref="I40">
    <cfRule type="expression" dxfId="45" priority="3" stopIfTrue="1">
      <formula>$J$40="超过30%"</formula>
    </cfRule>
  </conditionalFormatting>
  <conditionalFormatting sqref="I41">
    <cfRule type="expression" dxfId="44" priority="2" stopIfTrue="1">
      <formula>$J$41="超过20%"</formula>
    </cfRule>
  </conditionalFormatting>
  <conditionalFormatting sqref="I42">
    <cfRule type="expression" dxfId="4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2202</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2203</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30" ht="15">
      <c r="A5" s="601"/>
      <c r="B5" s="602"/>
      <c r="C5" s="3405" t="s">
        <v>1038</v>
      </c>
      <c r="D5" s="3406"/>
      <c r="E5" s="3403" t="s">
        <v>1039</v>
      </c>
      <c r="F5" s="3404"/>
      <c r="G5" s="3405" t="s">
        <v>1042</v>
      </c>
      <c r="H5" s="3406"/>
      <c r="I5" s="3405" t="s">
        <v>1040</v>
      </c>
      <c r="J5" s="3406"/>
      <c r="K5" s="812"/>
      <c r="L5" s="2206"/>
      <c r="M5" s="2207"/>
      <c r="N5" s="2207"/>
      <c r="O5" s="2207"/>
      <c r="P5" s="3487"/>
      <c r="Q5" s="3488"/>
      <c r="R5" s="3493"/>
      <c r="S5" s="3494"/>
      <c r="T5" s="3493"/>
      <c r="U5" s="3494"/>
      <c r="V5" s="3497"/>
      <c r="W5" s="3497"/>
      <c r="X5" s="1109"/>
      <c r="Y5" s="3493"/>
      <c r="Z5" s="3494"/>
      <c r="AA5" s="3479"/>
      <c r="AB5" s="3479"/>
      <c r="AC5" s="3479"/>
    </row>
    <row r="6" spans="1:30" ht="15.75" thickBot="1">
      <c r="A6" s="603"/>
      <c r="B6" s="604"/>
      <c r="C6" s="3407" t="s">
        <v>1041</v>
      </c>
      <c r="D6" s="3408"/>
      <c r="E6" s="3409" t="s">
        <v>1041</v>
      </c>
      <c r="F6" s="3410"/>
      <c r="G6" s="3407" t="s">
        <v>1041</v>
      </c>
      <c r="H6" s="3408"/>
      <c r="I6" s="3407" t="s">
        <v>1041</v>
      </c>
      <c r="J6" s="3408"/>
      <c r="K6" s="812" t="s">
        <v>411</v>
      </c>
      <c r="L6" s="2206"/>
      <c r="M6" s="2207"/>
      <c r="N6" s="2207"/>
      <c r="O6" s="2207"/>
      <c r="P6" s="3489"/>
      <c r="Q6" s="3490"/>
      <c r="R6" s="3493"/>
      <c r="S6" s="3494"/>
      <c r="T6" s="3495"/>
      <c r="U6" s="3496"/>
      <c r="V6" s="3497"/>
      <c r="W6" s="3497"/>
      <c r="X6" s="1109"/>
      <c r="Y6" s="3495"/>
      <c r="Z6" s="3496"/>
      <c r="AA6" s="3480"/>
      <c r="AB6" s="3480"/>
      <c r="AC6" s="3480"/>
    </row>
    <row r="7" spans="1:30" s="218" customFormat="1" ht="15.75" thickBot="1">
      <c r="A7" s="605" t="s">
        <v>412</v>
      </c>
      <c r="B7" s="606"/>
      <c r="C7" s="607">
        <f>'数据-取费表'!B2</f>
        <v>42934</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11"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11"/>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11"/>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3"/>
      <c r="Q12" s="192" t="str">
        <f t="shared" si="6"/>
        <v>配建</v>
      </c>
      <c r="R12" s="1110" t="s">
        <v>61</v>
      </c>
      <c r="S12" s="1111">
        <f t="shared" si="0"/>
        <v>100</v>
      </c>
      <c r="T12" s="1110" t="s">
        <v>61</v>
      </c>
      <c r="U12" s="1111">
        <f t="shared" si="1"/>
        <v>100</v>
      </c>
      <c r="V12" s="1110" t="s">
        <v>61</v>
      </c>
      <c r="W12" s="1111">
        <f t="shared" si="2"/>
        <v>100</v>
      </c>
      <c r="X12" s="1112"/>
      <c r="Y12" s="3311"/>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11"/>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11"/>
      <c r="Z14" s="206">
        <f t="shared" si="7"/>
        <v>111</v>
      </c>
      <c r="AA14" s="1113">
        <f>D14/F14</f>
        <v>1</v>
      </c>
      <c r="AB14" s="1113">
        <f>D14/H14</f>
        <v>1</v>
      </c>
      <c r="AC14" s="1113">
        <f>D14/J14</f>
        <v>1</v>
      </c>
    </row>
    <row r="15" spans="1:30" ht="135">
      <c r="A15" s="598" t="s">
        <v>420</v>
      </c>
      <c r="B15" s="2581" t="s">
        <v>299</v>
      </c>
      <c r="C15" s="160" t="str">
        <f>估价对象房地状况!C15</f>
        <v>估价对象周边有朝阳园、丽景馨居、青年汇佳园、爱这城等居住小区，社区发展完善程度较好，综合评价居住社区成熟度较好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1" t="s">
        <v>421</v>
      </c>
      <c r="Q15" s="1114" t="str">
        <f t="shared" si="6"/>
        <v>居住社区成熟度</v>
      </c>
      <c r="R15" s="1115" t="s">
        <v>61</v>
      </c>
      <c r="S15" s="1116">
        <f t="shared" si="0"/>
        <v>100</v>
      </c>
      <c r="T15" s="1115" t="s">
        <v>61</v>
      </c>
      <c r="U15" s="1116">
        <f t="shared" si="1"/>
        <v>100</v>
      </c>
      <c r="V15" s="1115" t="s">
        <v>61</v>
      </c>
      <c r="W15" s="1116">
        <f t="shared" si="2"/>
        <v>100</v>
      </c>
      <c r="X15" s="1109"/>
      <c r="Y15" s="3501"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81">
      <c r="A17" s="601"/>
      <c r="B17" s="2583" t="s">
        <v>449</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2"/>
      <c r="Q17" s="1114" t="str">
        <f>B17</f>
        <v>商业繁华度</v>
      </c>
      <c r="R17" s="1115" t="s">
        <v>61</v>
      </c>
      <c r="S17" s="1116">
        <f>F17</f>
        <v>100</v>
      </c>
      <c r="T17" s="1115" t="s">
        <v>61</v>
      </c>
      <c r="U17" s="1116">
        <f>H17</f>
        <v>100</v>
      </c>
      <c r="V17" s="1115" t="s">
        <v>61</v>
      </c>
      <c r="W17" s="1116">
        <f>J17</f>
        <v>100</v>
      </c>
      <c r="X17" s="1109"/>
      <c r="Y17" s="3502"/>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81">
      <c r="A19" s="601"/>
      <c r="B19" s="2583" t="s">
        <v>454</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2"/>
      <c r="Q19" s="1114" t="str">
        <f>B19</f>
        <v>办公集聚程度</v>
      </c>
      <c r="R19" s="1115" t="s">
        <v>61</v>
      </c>
      <c r="S19" s="1116">
        <f>F19</f>
        <v>100</v>
      </c>
      <c r="T19" s="1115" t="s">
        <v>61</v>
      </c>
      <c r="U19" s="1116">
        <f>H19</f>
        <v>100</v>
      </c>
      <c r="V19" s="1115" t="s">
        <v>61</v>
      </c>
      <c r="W19" s="1116">
        <f>J19</f>
        <v>100</v>
      </c>
      <c r="X19" s="1109"/>
      <c r="Y19" s="3502"/>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2"/>
      <c r="Q20" s="1114"/>
      <c r="R20" s="1115"/>
      <c r="S20" s="1116"/>
      <c r="T20" s="1115"/>
      <c r="U20" s="1116"/>
      <c r="V20" s="1115"/>
      <c r="W20" s="1116"/>
      <c r="X20" s="1109"/>
      <c r="Y20" s="3502"/>
      <c r="Z20" s="1117"/>
      <c r="AA20" s="1118">
        <v>1</v>
      </c>
      <c r="AB20" s="1118">
        <v>1</v>
      </c>
      <c r="AC20" s="1118">
        <v>1</v>
      </c>
    </row>
    <row r="21" spans="1:29" ht="175.5">
      <c r="A21" s="601"/>
      <c r="B21" s="2583" t="s">
        <v>468</v>
      </c>
      <c r="C21" s="162" t="str">
        <f>估价对象房地状况!C18</f>
        <v>以估价对象为圆心，半径1公里内有75、95、112、115、411路等10余条公共线路及地铁6号线（青年路站）、八通线（四惠东站）、小区内有地下车库，综合评价交通便捷度较好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2"/>
      <c r="Q21" s="1114" t="str">
        <f>B21</f>
        <v>交通便捷度</v>
      </c>
      <c r="R21" s="1115" t="s">
        <v>61</v>
      </c>
      <c r="S21" s="1116">
        <f>F21</f>
        <v>100</v>
      </c>
      <c r="T21" s="1115" t="s">
        <v>61</v>
      </c>
      <c r="U21" s="1116">
        <f>H21</f>
        <v>100</v>
      </c>
      <c r="V21" s="1115" t="s">
        <v>61</v>
      </c>
      <c r="W21" s="1116">
        <f>J21</f>
        <v>100</v>
      </c>
      <c r="X21" s="1109"/>
      <c r="Y21" s="3502"/>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2"/>
      <c r="Q23" s="1114" t="str">
        <f t="shared" ref="Q23:Q37" si="8">B23</f>
        <v>区域土地利用方向</v>
      </c>
      <c r="R23" s="1115" t="s">
        <v>61</v>
      </c>
      <c r="S23" s="1116">
        <f>F23</f>
        <v>100</v>
      </c>
      <c r="T23" s="1115" t="s">
        <v>61</v>
      </c>
      <c r="U23" s="1116">
        <f>H23</f>
        <v>100</v>
      </c>
      <c r="V23" s="1115" t="s">
        <v>61</v>
      </c>
      <c r="W23" s="1116">
        <f>J23</f>
        <v>100</v>
      </c>
      <c r="X23" s="1109"/>
      <c r="Y23" s="3502"/>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2"/>
      <c r="Q24" s="1282"/>
      <c r="R24" s="1115"/>
      <c r="S24" s="1116"/>
      <c r="T24" s="1115"/>
      <c r="U24" s="1116"/>
      <c r="V24" s="1115"/>
      <c r="W24" s="1116"/>
      <c r="X24" s="1281"/>
      <c r="Y24" s="3502"/>
      <c r="Z24" s="1283"/>
      <c r="AA24" s="1118"/>
      <c r="AB24" s="1118"/>
      <c r="AC24" s="1118"/>
    </row>
    <row r="25" spans="1:29" ht="94.5">
      <c r="A25" s="601"/>
      <c r="B25" s="2585" t="s">
        <v>496</v>
      </c>
      <c r="C25" s="166" t="str">
        <f>估价对象房地状况!C20</f>
        <v>区域自然环境：兴隆公园、通惠河；人文环境：中国紫檀博物馆；综合评价环境状况较好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2"/>
      <c r="Q25" s="1114" t="str">
        <f t="shared" si="8"/>
        <v>自然及人文环境状况</v>
      </c>
      <c r="R25" s="1115" t="s">
        <v>61</v>
      </c>
      <c r="S25" s="1116">
        <f>F25</f>
        <v>100</v>
      </c>
      <c r="T25" s="1115" t="s">
        <v>61</v>
      </c>
      <c r="U25" s="1116">
        <f>H25</f>
        <v>100</v>
      </c>
      <c r="V25" s="1115" t="s">
        <v>61</v>
      </c>
      <c r="W25" s="1116">
        <f>J25</f>
        <v>100</v>
      </c>
      <c r="X25" s="1109"/>
      <c r="Y25" s="3502"/>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2"/>
      <c r="Q26" s="1114"/>
      <c r="R26" s="1115"/>
      <c r="S26" s="1116"/>
      <c r="T26" s="1115"/>
      <c r="U26" s="1116"/>
      <c r="V26" s="1115"/>
      <c r="W26" s="1116"/>
      <c r="X26" s="1109"/>
      <c r="Y26" s="3502"/>
      <c r="Z26" s="1117"/>
      <c r="AA26" s="1118">
        <v>1</v>
      </c>
      <c r="AB26" s="1118">
        <v>1</v>
      </c>
      <c r="AC26" s="1118">
        <v>1</v>
      </c>
    </row>
    <row r="27" spans="1:29" ht="40.5">
      <c r="A27" s="601"/>
      <c r="B27" s="2588" t="s">
        <v>2550</v>
      </c>
      <c r="C27" s="162" t="str">
        <f>估价对象房地状况!C21</f>
        <v>较好——有餐饮、医院、超市、学校等</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2"/>
      <c r="Q27" s="2547" t="str">
        <f t="shared" ref="Q27" si="9">B27</f>
        <v>公共配套设施</v>
      </c>
      <c r="R27" s="1110" t="s">
        <v>61</v>
      </c>
      <c r="S27" s="1111">
        <f>F27</f>
        <v>100</v>
      </c>
      <c r="T27" s="1110" t="s">
        <v>61</v>
      </c>
      <c r="U27" s="1111">
        <f>H27</f>
        <v>100</v>
      </c>
      <c r="V27" s="1110" t="s">
        <v>61</v>
      </c>
      <c r="W27" s="1111">
        <f>J27</f>
        <v>100</v>
      </c>
      <c r="X27" s="2552"/>
      <c r="Y27" s="3502"/>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2"/>
      <c r="Q28" s="2551"/>
      <c r="R28" s="1115"/>
      <c r="S28" s="1116"/>
      <c r="T28" s="1115"/>
      <c r="U28" s="1116"/>
      <c r="V28" s="1115"/>
      <c r="W28" s="1116"/>
      <c r="X28" s="2552"/>
      <c r="Y28" s="3502"/>
      <c r="Z28" s="206"/>
      <c r="AA28" s="1118">
        <v>1</v>
      </c>
      <c r="AB28" s="1118">
        <v>1</v>
      </c>
      <c r="AC28" s="1118">
        <v>1</v>
      </c>
    </row>
    <row r="29" spans="1:29" s="218" customFormat="1" ht="15">
      <c r="A29" s="851"/>
      <c r="B29" s="2588" t="s">
        <v>2557</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2"/>
      <c r="Q29" s="192" t="str">
        <f t="shared" si="8"/>
        <v>基础设施水平</v>
      </c>
      <c r="R29" s="1110" t="s">
        <v>61</v>
      </c>
      <c r="S29" s="1111">
        <f>F29</f>
        <v>100</v>
      </c>
      <c r="T29" s="1110" t="s">
        <v>61</v>
      </c>
      <c r="U29" s="1111">
        <f>H29</f>
        <v>100</v>
      </c>
      <c r="V29" s="1110" t="s">
        <v>61</v>
      </c>
      <c r="W29" s="1111">
        <f>J29</f>
        <v>100</v>
      </c>
      <c r="X29" s="1112"/>
      <c r="Y29" s="3502"/>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2"/>
      <c r="Q30" s="192"/>
      <c r="R30" s="1110"/>
      <c r="S30" s="1111"/>
      <c r="T30" s="1110"/>
      <c r="U30" s="1111"/>
      <c r="V30" s="1110"/>
      <c r="W30" s="1111"/>
      <c r="X30" s="1112"/>
      <c r="Y30" s="3502"/>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2"/>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2"/>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2"/>
      <c r="Q32" s="1114" t="str">
        <f t="shared" si="8"/>
        <v>毗邻道路的类型与等级</v>
      </c>
      <c r="R32" s="1115" t="s">
        <v>61</v>
      </c>
      <c r="S32" s="1116">
        <f t="shared" si="10"/>
        <v>100</v>
      </c>
      <c r="T32" s="1115" t="s">
        <v>61</v>
      </c>
      <c r="U32" s="1116">
        <f t="shared" si="11"/>
        <v>100</v>
      </c>
      <c r="V32" s="1115" t="s">
        <v>61</v>
      </c>
      <c r="W32" s="1116">
        <f t="shared" si="12"/>
        <v>100</v>
      </c>
      <c r="X32" s="1109"/>
      <c r="Y32" s="3502"/>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2"/>
      <c r="Q33" s="1114"/>
      <c r="R33" s="1115"/>
      <c r="S33" s="1116"/>
      <c r="T33" s="1115"/>
      <c r="U33" s="1116"/>
      <c r="V33" s="1115"/>
      <c r="W33" s="1116"/>
      <c r="X33" s="1109"/>
      <c r="Y33" s="3502"/>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2"/>
      <c r="Q34" s="1114" t="str">
        <f t="shared" si="8"/>
        <v>土地级别</v>
      </c>
      <c r="R34" s="1115" t="s">
        <v>61</v>
      </c>
      <c r="S34" s="1116">
        <f t="shared" si="10"/>
        <v>100</v>
      </c>
      <c r="T34" s="1115" t="s">
        <v>61</v>
      </c>
      <c r="U34" s="1116">
        <f t="shared" si="11"/>
        <v>100</v>
      </c>
      <c r="V34" s="1115" t="s">
        <v>61</v>
      </c>
      <c r="W34" s="1116">
        <f t="shared" si="12"/>
        <v>100</v>
      </c>
      <c r="X34" s="1109"/>
      <c r="Y34" s="3502"/>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2"/>
      <c r="Q35" s="1114">
        <f t="shared" si="8"/>
        <v>111</v>
      </c>
      <c r="R35" s="1115" t="s">
        <v>61</v>
      </c>
      <c r="S35" s="1116">
        <f t="shared" si="10"/>
        <v>100</v>
      </c>
      <c r="T35" s="1115" t="s">
        <v>61</v>
      </c>
      <c r="U35" s="1116">
        <f t="shared" si="11"/>
        <v>100</v>
      </c>
      <c r="V35" s="1115" t="s">
        <v>61</v>
      </c>
      <c r="W35" s="1116">
        <f t="shared" si="12"/>
        <v>100</v>
      </c>
      <c r="X35" s="1109"/>
      <c r="Y35" s="3502"/>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3" t="s">
        <v>423</v>
      </c>
      <c r="Q36" s="1114">
        <f t="shared" si="8"/>
        <v>111</v>
      </c>
      <c r="R36" s="1115" t="s">
        <v>61</v>
      </c>
      <c r="S36" s="1116">
        <f t="shared" si="10"/>
        <v>100</v>
      </c>
      <c r="T36" s="1115" t="s">
        <v>61</v>
      </c>
      <c r="U36" s="1116">
        <f t="shared" si="11"/>
        <v>100</v>
      </c>
      <c r="V36" s="1115" t="s">
        <v>61</v>
      </c>
      <c r="W36" s="1116">
        <f t="shared" si="12"/>
        <v>100</v>
      </c>
      <c r="X36" s="1109"/>
      <c r="Y36" s="3504"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4"/>
      <c r="Q37" s="1114">
        <f t="shared" si="8"/>
        <v>111</v>
      </c>
      <c r="R37" s="1120" t="s">
        <v>61</v>
      </c>
      <c r="S37" s="1121">
        <f t="shared" si="10"/>
        <v>100</v>
      </c>
      <c r="T37" s="1120" t="s">
        <v>61</v>
      </c>
      <c r="U37" s="1121">
        <f t="shared" si="11"/>
        <v>100</v>
      </c>
      <c r="V37" s="1120" t="s">
        <v>61</v>
      </c>
      <c r="W37" s="1121">
        <f t="shared" si="12"/>
        <v>100</v>
      </c>
      <c r="X37" s="1122"/>
      <c r="Y37" s="3504"/>
      <c r="Z37" s="1123">
        <f t="shared" si="13"/>
        <v>111</v>
      </c>
      <c r="AA37" s="1118">
        <f t="shared" si="3"/>
        <v>1</v>
      </c>
      <c r="AB37" s="1118">
        <f t="shared" si="4"/>
        <v>1</v>
      </c>
      <c r="AC37" s="1118">
        <f t="shared" si="5"/>
        <v>1</v>
      </c>
    </row>
    <row r="38" spans="1:29" ht="15">
      <c r="A38" s="598" t="s">
        <v>2559</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4"/>
      <c r="Q38" s="1114" t="str">
        <f>B38</f>
        <v>宗地面积</v>
      </c>
      <c r="R38" s="1115" t="s">
        <v>61</v>
      </c>
      <c r="S38" s="1116" t="e">
        <f t="shared" si="10"/>
        <v>#N/A</v>
      </c>
      <c r="T38" s="1115" t="s">
        <v>61</v>
      </c>
      <c r="U38" s="1116" t="e">
        <f t="shared" si="11"/>
        <v>#N/A</v>
      </c>
      <c r="V38" s="1115" t="s">
        <v>61</v>
      </c>
      <c r="W38" s="1116" t="e">
        <f t="shared" si="12"/>
        <v>#N/A</v>
      </c>
      <c r="X38" s="1109"/>
      <c r="Y38" s="350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4"/>
      <c r="Q39" s="1114" t="str">
        <f t="shared" ref="Q39:Q45" si="14">B39</f>
        <v>宗地形状</v>
      </c>
      <c r="R39" s="1115" t="s">
        <v>61</v>
      </c>
      <c r="S39" s="1116">
        <f t="shared" si="10"/>
        <v>100</v>
      </c>
      <c r="T39" s="1115" t="s">
        <v>61</v>
      </c>
      <c r="U39" s="1116">
        <f t="shared" si="11"/>
        <v>100</v>
      </c>
      <c r="V39" s="1115" t="s">
        <v>61</v>
      </c>
      <c r="W39" s="1116">
        <f t="shared" si="12"/>
        <v>100</v>
      </c>
      <c r="X39" s="1109"/>
      <c r="Y39" s="350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4"/>
      <c r="Q40" s="1114" t="str">
        <f t="shared" si="14"/>
        <v>临街宽度及深度</v>
      </c>
      <c r="R40" s="1115" t="s">
        <v>61</v>
      </c>
      <c r="S40" s="1116">
        <f t="shared" si="10"/>
        <v>100</v>
      </c>
      <c r="T40" s="1115" t="s">
        <v>61</v>
      </c>
      <c r="U40" s="1116">
        <f t="shared" si="11"/>
        <v>100</v>
      </c>
      <c r="V40" s="1115" t="s">
        <v>61</v>
      </c>
      <c r="W40" s="1116">
        <f t="shared" si="12"/>
        <v>100</v>
      </c>
      <c r="X40" s="1109"/>
      <c r="Y40" s="3504"/>
      <c r="Z40" s="1117" t="str">
        <f t="shared" si="13"/>
        <v>临街宽度及深度</v>
      </c>
      <c r="AA40" s="1118">
        <f t="shared" si="3"/>
        <v>1</v>
      </c>
      <c r="AB40" s="1118">
        <f t="shared" si="4"/>
        <v>1</v>
      </c>
      <c r="AC40" s="1118">
        <f t="shared" si="5"/>
        <v>1</v>
      </c>
    </row>
    <row r="41" spans="1:29" s="218" customFormat="1" ht="15">
      <c r="A41" s="672"/>
      <c r="B41" s="2425" t="s">
        <v>2421</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4"/>
      <c r="Q41" s="1114" t="str">
        <f t="shared" si="14"/>
        <v>宗地开发程度</v>
      </c>
      <c r="R41" s="1110" t="s">
        <v>61</v>
      </c>
      <c r="S41" s="1111">
        <f t="shared" si="10"/>
        <v>100</v>
      </c>
      <c r="T41" s="1110" t="s">
        <v>61</v>
      </c>
      <c r="U41" s="1111">
        <f t="shared" si="11"/>
        <v>100</v>
      </c>
      <c r="V41" s="1110" t="s">
        <v>61</v>
      </c>
      <c r="W41" s="1111">
        <f t="shared" si="12"/>
        <v>100</v>
      </c>
      <c r="X41" s="1112"/>
      <c r="Y41" s="350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4" t="s">
        <v>423</v>
      </c>
      <c r="Q42" s="1114" t="str">
        <f t="shared" si="14"/>
        <v>工程地质条件</v>
      </c>
      <c r="R42" s="1115" t="s">
        <v>61</v>
      </c>
      <c r="S42" s="1116">
        <f t="shared" si="10"/>
        <v>100</v>
      </c>
      <c r="T42" s="1115" t="s">
        <v>61</v>
      </c>
      <c r="U42" s="1116">
        <f t="shared" si="11"/>
        <v>100</v>
      </c>
      <c r="V42" s="1115" t="s">
        <v>61</v>
      </c>
      <c r="W42" s="1116">
        <f t="shared" si="12"/>
        <v>100</v>
      </c>
      <c r="X42" s="1109"/>
      <c r="Y42" s="350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4"/>
      <c r="Q43" s="1114">
        <f t="shared" si="14"/>
        <v>111</v>
      </c>
      <c r="R43" s="1115" t="s">
        <v>61</v>
      </c>
      <c r="S43" s="1116">
        <f t="shared" si="10"/>
        <v>100</v>
      </c>
      <c r="T43" s="1115" t="s">
        <v>61</v>
      </c>
      <c r="U43" s="1116">
        <f t="shared" si="11"/>
        <v>100</v>
      </c>
      <c r="V43" s="1115" t="s">
        <v>61</v>
      </c>
      <c r="W43" s="1116">
        <f t="shared" si="12"/>
        <v>100</v>
      </c>
      <c r="X43" s="1109"/>
      <c r="Y43" s="350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4"/>
      <c r="Q44" s="1114">
        <f t="shared" si="14"/>
        <v>111</v>
      </c>
      <c r="R44" s="1115" t="s">
        <v>61</v>
      </c>
      <c r="S44" s="1116">
        <f t="shared" si="10"/>
        <v>100</v>
      </c>
      <c r="T44" s="1115" t="s">
        <v>61</v>
      </c>
      <c r="U44" s="1116">
        <f t="shared" si="11"/>
        <v>100</v>
      </c>
      <c r="V44" s="1115" t="s">
        <v>61</v>
      </c>
      <c r="W44" s="1116">
        <f t="shared" si="12"/>
        <v>100</v>
      </c>
      <c r="X44" s="1109"/>
      <c r="Y44" s="350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4"/>
      <c r="Q45" s="1114">
        <f t="shared" si="14"/>
        <v>111</v>
      </c>
      <c r="R45" s="1120" t="s">
        <v>61</v>
      </c>
      <c r="S45" s="1121">
        <f t="shared" si="10"/>
        <v>100</v>
      </c>
      <c r="T45" s="1120" t="s">
        <v>61</v>
      </c>
      <c r="U45" s="1121">
        <f t="shared" si="11"/>
        <v>100</v>
      </c>
      <c r="V45" s="1120" t="s">
        <v>61</v>
      </c>
      <c r="W45" s="1121">
        <f t="shared" si="12"/>
        <v>100</v>
      </c>
      <c r="X45" s="1122"/>
      <c r="Y45" s="3504"/>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3" t="str">
        <f>A46</f>
        <v>成交单价</v>
      </c>
      <c r="Q46" s="3473"/>
      <c r="R46" s="3497">
        <f>E46</f>
        <v>0</v>
      </c>
      <c r="S46" s="3497"/>
      <c r="T46" s="3497">
        <f>G46</f>
        <v>0</v>
      </c>
      <c r="U46" s="3497"/>
      <c r="V46" s="3497">
        <f>I46</f>
        <v>0</v>
      </c>
      <c r="W46" s="3497"/>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3" t="str">
        <f>A47</f>
        <v>比较价值（元/平方米）</v>
      </c>
      <c r="Q47" s="3473"/>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6" t="str">
        <f>A48</f>
        <v>估价对象XX用房的比较价值（楼面单价，元/平方米）</v>
      </c>
      <c r="Q48" s="3507"/>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1807</v>
      </c>
      <c r="D55" s="2266" t="s">
        <v>2229</v>
      </c>
      <c r="E55" s="957" t="s">
        <v>505</v>
      </c>
      <c r="F55" s="958" t="s">
        <v>506</v>
      </c>
      <c r="G55" s="1612" t="s">
        <v>1806</v>
      </c>
      <c r="H55" s="1612" t="str">
        <f>项目基本情况!G8</f>
        <v>朝阳区甘露园南里15号院4门422</v>
      </c>
      <c r="I55" s="1608" t="s">
        <v>1808</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0.8</v>
      </c>
      <c r="D57" s="2265">
        <v>0.25</v>
      </c>
      <c r="E57" s="965">
        <v>0</v>
      </c>
      <c r="F57" s="962" t="e">
        <f t="shared" si="15"/>
        <v>#DIV/0!</v>
      </c>
      <c r="G57" s="1609">
        <f>SUMIF(修正!$A$45:$A$56,项目基本情况!$F$9,修正!B45:B56)</f>
        <v>0.8</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0.5</v>
      </c>
      <c r="D58" s="2265">
        <v>0.25</v>
      </c>
      <c r="E58" s="965">
        <v>0</v>
      </c>
      <c r="F58" s="962" t="e">
        <f t="shared" si="15"/>
        <v>#DIV/0!</v>
      </c>
      <c r="G58" s="1609">
        <f>SUMIF(修正!$A$45:$A$56,项目基本情况!$F$9,修正!C45:C56)</f>
        <v>0.5</v>
      </c>
      <c r="H58" s="1610"/>
      <c r="I58" s="2222"/>
      <c r="J58" s="2222"/>
      <c r="K58" s="2226"/>
      <c r="L58" s="2227"/>
      <c r="M58" s="2222"/>
      <c r="N58" s="2222"/>
      <c r="O58" s="1607"/>
    </row>
    <row r="59" spans="1:15" s="963" customFormat="1">
      <c r="A59" s="964" t="s">
        <v>510</v>
      </c>
      <c r="B59" s="395" t="e">
        <f t="shared" si="16"/>
        <v>#DIV/0!</v>
      </c>
      <c r="C59" s="334">
        <f t="shared" si="17"/>
        <v>0.36</v>
      </c>
      <c r="D59" s="2265">
        <v>0.25</v>
      </c>
      <c r="E59" s="965">
        <v>0</v>
      </c>
      <c r="F59" s="962" t="e">
        <f t="shared" si="15"/>
        <v>#DIV/0!</v>
      </c>
      <c r="G59" s="1609">
        <f>SUMIF(修正!$A$45:$A$56,项目基本情况!$F$9,修正!D45:D56)</f>
        <v>0.36</v>
      </c>
      <c r="H59" s="1610"/>
      <c r="I59" s="2220"/>
      <c r="J59" s="2225"/>
      <c r="K59" s="2221"/>
      <c r="L59" s="2221"/>
      <c r="M59" s="2220"/>
      <c r="N59" s="2220"/>
      <c r="O59" s="1607"/>
    </row>
    <row r="60" spans="1:15" s="963" customFormat="1">
      <c r="A60" s="964" t="s">
        <v>511</v>
      </c>
      <c r="B60" s="395" t="e">
        <f t="shared" si="16"/>
        <v>#DIV/0!</v>
      </c>
      <c r="C60" s="334">
        <f t="shared" si="17"/>
        <v>0.3</v>
      </c>
      <c r="D60" s="2265">
        <v>0.25</v>
      </c>
      <c r="E60" s="965">
        <v>0</v>
      </c>
      <c r="F60" s="962" t="e">
        <f t="shared" si="15"/>
        <v>#DIV/0!</v>
      </c>
      <c r="G60" s="1609">
        <f>SUMIF(修正!$A$45:$A$56,项目基本情况!$F$9,修正!E45:E56)</f>
        <v>0.3</v>
      </c>
      <c r="H60" s="1610"/>
      <c r="I60" s="2222"/>
      <c r="J60" s="2222"/>
      <c r="K60" s="2226"/>
      <c r="L60" s="2227"/>
      <c r="M60" s="2222"/>
      <c r="N60" s="2222"/>
      <c r="O60" s="1607"/>
    </row>
    <row r="61" spans="1:15" s="963" customFormat="1">
      <c r="A61" s="964" t="s">
        <v>512</v>
      </c>
      <c r="B61" s="395" t="e">
        <f t="shared" si="16"/>
        <v>#DIV/0!</v>
      </c>
      <c r="C61" s="334">
        <f t="shared" si="17"/>
        <v>0.3</v>
      </c>
      <c r="D61" s="2265">
        <v>0.25</v>
      </c>
      <c r="E61" s="965">
        <v>0</v>
      </c>
      <c r="F61" s="962" t="e">
        <f t="shared" si="15"/>
        <v>#DIV/0!</v>
      </c>
      <c r="G61" s="1609">
        <f>SUMIF(修正!A45:A56,项目基本情况!F9,修正!F45:F56)</f>
        <v>0.3</v>
      </c>
      <c r="H61" s="1610"/>
      <c r="I61" s="2220"/>
      <c r="J61" s="2225"/>
      <c r="K61" s="2221"/>
      <c r="L61" s="2221"/>
      <c r="M61" s="2220"/>
      <c r="N61" s="2220"/>
      <c r="O61" s="1607"/>
    </row>
    <row r="62" spans="1:15" s="963" customFormat="1">
      <c r="A62" s="964" t="s">
        <v>513</v>
      </c>
      <c r="B62" s="395" t="e">
        <f t="shared" si="16"/>
        <v>#DIV/0!</v>
      </c>
      <c r="C62" s="334">
        <f t="shared" si="17"/>
        <v>0.3</v>
      </c>
      <c r="D62" s="2265">
        <v>0.25</v>
      </c>
      <c r="E62" s="965">
        <v>0</v>
      </c>
      <c r="F62" s="962" t="e">
        <f t="shared" si="15"/>
        <v>#DIV/0!</v>
      </c>
      <c r="G62" s="1609">
        <f>SUMIF(修正!A45:A56,项目基本情况!F9,修正!G45:G56)</f>
        <v>0.3</v>
      </c>
      <c r="H62" s="1610"/>
      <c r="I62" s="2222"/>
      <c r="J62" s="2222"/>
      <c r="K62" s="2226"/>
      <c r="L62" s="2227"/>
      <c r="M62" s="2222"/>
      <c r="N62" s="2222"/>
      <c r="O62" s="1607"/>
    </row>
    <row r="63" spans="1:15" s="963" customFormat="1">
      <c r="A63" s="964" t="s">
        <v>514</v>
      </c>
      <c r="B63" s="395" t="e">
        <f t="shared" si="16"/>
        <v>#DIV/0!</v>
      </c>
      <c r="C63" s="334">
        <f>IF($C$55="北京市系数",G63,H63)</f>
        <v>0.25</v>
      </c>
      <c r="D63" s="2265">
        <v>0.25</v>
      </c>
      <c r="E63" s="965">
        <v>0</v>
      </c>
      <c r="F63" s="962" t="e">
        <f t="shared" si="15"/>
        <v>#DIV/0!</v>
      </c>
      <c r="G63" s="1609">
        <f>SUMIF(修正!A45:A56,项目基本情况!F9,修正!H45:H56)</f>
        <v>0.25</v>
      </c>
      <c r="H63" s="1610"/>
      <c r="I63" s="2220"/>
      <c r="J63" s="2225"/>
      <c r="K63" s="2221"/>
      <c r="L63" s="2221"/>
      <c r="M63" s="2220"/>
      <c r="N63" s="2220"/>
      <c r="O63" s="1607"/>
    </row>
    <row r="64" spans="1:15" s="963" customFormat="1">
      <c r="A64" s="964" t="s">
        <v>515</v>
      </c>
      <c r="B64" s="395" t="e">
        <f t="shared" si="16"/>
        <v>#DIV/0!</v>
      </c>
      <c r="C64" s="334">
        <f t="shared" si="17"/>
        <v>0.25</v>
      </c>
      <c r="D64" s="2265">
        <v>0.25</v>
      </c>
      <c r="E64" s="965">
        <v>0</v>
      </c>
      <c r="F64" s="962" t="e">
        <f t="shared" si="15"/>
        <v>#DIV/0!</v>
      </c>
      <c r="G64" s="1609">
        <f>G63</f>
        <v>0.25</v>
      </c>
      <c r="H64" s="1610"/>
      <c r="I64" s="2222"/>
      <c r="J64" s="2222"/>
      <c r="K64" s="2226"/>
      <c r="L64" s="2227"/>
      <c r="M64" s="2222"/>
      <c r="N64" s="2222"/>
      <c r="O64" s="1607"/>
    </row>
    <row r="65" spans="1:17" s="963" customFormat="1">
      <c r="A65" s="964" t="s">
        <v>516</v>
      </c>
      <c r="B65" s="395" t="e">
        <f t="shared" si="16"/>
        <v>#DIV/0!</v>
      </c>
      <c r="C65" s="334">
        <f t="shared" si="17"/>
        <v>0.25</v>
      </c>
      <c r="D65" s="2265">
        <v>0.25</v>
      </c>
      <c r="E65" s="965">
        <v>0</v>
      </c>
      <c r="F65" s="962" t="e">
        <f t="shared" si="15"/>
        <v>#DIV/0!</v>
      </c>
      <c r="G65" s="1609">
        <f>G63</f>
        <v>0.25</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2663</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2558</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2557</v>
      </c>
      <c r="C102" s="129" t="s">
        <v>2545</v>
      </c>
      <c r="D102" s="129" t="s">
        <v>2546</v>
      </c>
      <c r="E102" s="129" t="s">
        <v>2547</v>
      </c>
      <c r="F102" s="129" t="s">
        <v>2548</v>
      </c>
      <c r="G102" s="129" t="s">
        <v>2549</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61" t="str">
        <f t="shared" ref="C116:L116" si="25">C117&amp;"(含)"&amp;"-"&amp;D117</f>
        <v>(含)-</v>
      </c>
      <c r="D116" s="3061" t="str">
        <f t="shared" si="25"/>
        <v>(含)-</v>
      </c>
      <c r="E116" s="3061" t="str">
        <f t="shared" si="25"/>
        <v>(含)-</v>
      </c>
      <c r="F116" s="3061" t="str">
        <f t="shared" si="25"/>
        <v>(含)-</v>
      </c>
      <c r="G116" s="3061" t="str">
        <f t="shared" si="25"/>
        <v>(含)-</v>
      </c>
      <c r="H116" s="3061" t="str">
        <f t="shared" si="25"/>
        <v>(含)-</v>
      </c>
      <c r="I116" s="3061" t="str">
        <f t="shared" si="25"/>
        <v>(含)-</v>
      </c>
      <c r="J116" s="3061" t="str">
        <f t="shared" si="25"/>
        <v>(含)-</v>
      </c>
      <c r="K116" s="3061" t="str">
        <f t="shared" si="25"/>
        <v>(含)-</v>
      </c>
      <c r="L116" s="3062" t="str">
        <f t="shared" si="25"/>
        <v>(含)-</v>
      </c>
      <c r="M116" s="3063"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2422</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42" priority="14" stopIfTrue="1" operator="containsText" text="超过">
      <formula>NOT(ISERROR(SEARCH("超过",F51)))</formula>
    </cfRule>
  </conditionalFormatting>
  <conditionalFormatting sqref="J53">
    <cfRule type="containsText" dxfId="41" priority="13" stopIfTrue="1" operator="containsText" text="超过">
      <formula>NOT(ISERROR(SEARCH("超过",J53)))</formula>
    </cfRule>
  </conditionalFormatting>
  <conditionalFormatting sqref="H53">
    <cfRule type="containsText" dxfId="40" priority="12" stopIfTrue="1" operator="containsText" text="超过">
      <formula>NOT(ISERROR(SEARCH("超过",H53)))</formula>
    </cfRule>
  </conditionalFormatting>
  <conditionalFormatting sqref="F53">
    <cfRule type="containsText" dxfId="39" priority="11" stopIfTrue="1" operator="containsText" text="超过">
      <formula>NOT(ISERROR(SEARCH("超过",F53)))</formula>
    </cfRule>
  </conditionalFormatting>
  <conditionalFormatting sqref="F52 H52 J52">
    <cfRule type="containsText" dxfId="38" priority="10" stopIfTrue="1" operator="containsText" text="超过">
      <formula>NOT(ISERROR(SEARCH("超过",F52)))</formula>
    </cfRule>
  </conditionalFormatting>
  <conditionalFormatting sqref="E51">
    <cfRule type="expression" dxfId="37" priority="9" stopIfTrue="1">
      <formula>$F$51="超过30%"</formula>
    </cfRule>
  </conditionalFormatting>
  <conditionalFormatting sqref="G53">
    <cfRule type="expression" dxfId="36" priority="8" stopIfTrue="1">
      <formula>$H$53="超过30%"</formula>
    </cfRule>
  </conditionalFormatting>
  <conditionalFormatting sqref="E52">
    <cfRule type="expression" dxfId="35" priority="7" stopIfTrue="1">
      <formula>$F$52="超过20%"</formula>
    </cfRule>
  </conditionalFormatting>
  <conditionalFormatting sqref="E53">
    <cfRule type="expression" dxfId="34" priority="6" stopIfTrue="1">
      <formula>$F$53="超过30%"</formula>
    </cfRule>
  </conditionalFormatting>
  <conditionalFormatting sqref="G51">
    <cfRule type="expression" dxfId="33" priority="5" stopIfTrue="1">
      <formula>$H$53+$H$51="超过30%"</formula>
    </cfRule>
  </conditionalFormatting>
  <conditionalFormatting sqref="G52">
    <cfRule type="expression" dxfId="32" priority="4" stopIfTrue="1">
      <formula>$H$52="超过20%"</formula>
    </cfRule>
  </conditionalFormatting>
  <conditionalFormatting sqref="I51">
    <cfRule type="expression" dxfId="31" priority="3" stopIfTrue="1">
      <formula>$J$51="超过30%"</formula>
    </cfRule>
  </conditionalFormatting>
  <conditionalFormatting sqref="I52">
    <cfRule type="expression" dxfId="30" priority="2" stopIfTrue="1">
      <formula>$J$52="超过20%"</formula>
    </cfRule>
  </conditionalFormatting>
  <conditionalFormatting sqref="I53">
    <cfRule type="expression" dxfId="29"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27" sqref="C127:G13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2202</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2203</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29" ht="15">
      <c r="A5" s="601"/>
      <c r="B5" s="602"/>
      <c r="C5" s="3405" t="s">
        <v>1038</v>
      </c>
      <c r="D5" s="3406"/>
      <c r="E5" s="3403" t="s">
        <v>1039</v>
      </c>
      <c r="F5" s="3404"/>
      <c r="G5" s="3405" t="s">
        <v>1042</v>
      </c>
      <c r="H5" s="3406"/>
      <c r="I5" s="3405" t="s">
        <v>1040</v>
      </c>
      <c r="J5" s="3406"/>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07" t="s">
        <v>1041</v>
      </c>
      <c r="D6" s="3408"/>
      <c r="E6" s="3409" t="s">
        <v>1041</v>
      </c>
      <c r="F6" s="3410"/>
      <c r="G6" s="3407" t="s">
        <v>1041</v>
      </c>
      <c r="H6" s="3408"/>
      <c r="I6" s="3407" t="s">
        <v>1041</v>
      </c>
      <c r="J6" s="3408"/>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42934</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11"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11"/>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11"/>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11"/>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11"/>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11"/>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1" t="s">
        <v>421</v>
      </c>
      <c r="Q15" s="1114" t="str">
        <f t="shared" si="6"/>
        <v>产业集聚程度</v>
      </c>
      <c r="R15" s="1115" t="s">
        <v>61</v>
      </c>
      <c r="S15" s="1116">
        <f t="shared" si="0"/>
        <v>100</v>
      </c>
      <c r="T15" s="1115" t="s">
        <v>61</v>
      </c>
      <c r="U15" s="1116">
        <f t="shared" si="1"/>
        <v>100</v>
      </c>
      <c r="V15" s="1115" t="s">
        <v>61</v>
      </c>
      <c r="W15" s="1116">
        <f t="shared" si="2"/>
        <v>100</v>
      </c>
      <c r="X15" s="1109"/>
      <c r="Y15" s="3501"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2"/>
      <c r="Q17" s="1114" t="str">
        <f>B17</f>
        <v>交通便捷度</v>
      </c>
      <c r="R17" s="1115" t="s">
        <v>61</v>
      </c>
      <c r="S17" s="1116">
        <f>F17</f>
        <v>100</v>
      </c>
      <c r="T17" s="1115" t="s">
        <v>61</v>
      </c>
      <c r="U17" s="1116">
        <f>H17</f>
        <v>100</v>
      </c>
      <c r="V17" s="1115" t="s">
        <v>61</v>
      </c>
      <c r="W17" s="1116">
        <f>J17</f>
        <v>100</v>
      </c>
      <c r="X17" s="1109"/>
      <c r="Y17" s="3502"/>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2"/>
      <c r="Q19" s="1114" t="str">
        <f t="shared" ref="Q19:Q33" si="8">B19</f>
        <v>区域土地利用方向</v>
      </c>
      <c r="R19" s="1115" t="s">
        <v>61</v>
      </c>
      <c r="S19" s="1116">
        <f>F19</f>
        <v>100</v>
      </c>
      <c r="T19" s="1115" t="s">
        <v>61</v>
      </c>
      <c r="U19" s="1116">
        <f>H19</f>
        <v>100</v>
      </c>
      <c r="V19" s="1115" t="s">
        <v>61</v>
      </c>
      <c r="W19" s="1116">
        <f>J19</f>
        <v>100</v>
      </c>
      <c r="X19" s="1109"/>
      <c r="Y19" s="3502"/>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2"/>
      <c r="Q20" s="1282"/>
      <c r="R20" s="1115"/>
      <c r="S20" s="1116"/>
      <c r="T20" s="1115"/>
      <c r="U20" s="1116"/>
      <c r="V20" s="1115"/>
      <c r="W20" s="1116"/>
      <c r="X20" s="1281"/>
      <c r="Y20" s="3502"/>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2"/>
      <c r="Q21" s="1114" t="str">
        <f t="shared" si="8"/>
        <v>环境状况</v>
      </c>
      <c r="R21" s="1115" t="s">
        <v>61</v>
      </c>
      <c r="S21" s="1116">
        <f>F21</f>
        <v>100</v>
      </c>
      <c r="T21" s="1115" t="s">
        <v>61</v>
      </c>
      <c r="U21" s="1116">
        <f>H21</f>
        <v>100</v>
      </c>
      <c r="V21" s="1115" t="s">
        <v>61</v>
      </c>
      <c r="W21" s="1116">
        <f>J21</f>
        <v>100</v>
      </c>
      <c r="X21" s="1109"/>
      <c r="Y21" s="3502"/>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s="218" customFormat="1" ht="40.5">
      <c r="A23" s="851"/>
      <c r="B23" s="892" t="s">
        <v>2550</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2"/>
      <c r="Q23" s="192" t="str">
        <f t="shared" si="8"/>
        <v>公共配套设施</v>
      </c>
      <c r="R23" s="1110" t="s">
        <v>61</v>
      </c>
      <c r="S23" s="1111">
        <f>F23</f>
        <v>100</v>
      </c>
      <c r="T23" s="1110" t="s">
        <v>61</v>
      </c>
      <c r="U23" s="1111">
        <f>H23</f>
        <v>100</v>
      </c>
      <c r="V23" s="1110" t="s">
        <v>61</v>
      </c>
      <c r="W23" s="1111">
        <f>J23</f>
        <v>100</v>
      </c>
      <c r="X23" s="1112"/>
      <c r="Y23" s="3502"/>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2"/>
      <c r="Q24" s="192"/>
      <c r="R24" s="1110"/>
      <c r="S24" s="1111"/>
      <c r="T24" s="1110"/>
      <c r="U24" s="1111"/>
      <c r="V24" s="1110"/>
      <c r="W24" s="1111"/>
      <c r="X24" s="1112"/>
      <c r="Y24" s="3502"/>
      <c r="Z24" s="206"/>
      <c r="AA24" s="1113">
        <v>1</v>
      </c>
      <c r="AB24" s="1113">
        <v>1</v>
      </c>
      <c r="AC24" s="1113">
        <v>1</v>
      </c>
    </row>
    <row r="25" spans="1:29" s="218" customFormat="1" ht="40.5">
      <c r="A25" s="851"/>
      <c r="B25" s="894" t="s">
        <v>2557</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2"/>
      <c r="Q25" s="2547" t="str">
        <f t="shared" ref="Q25" si="9">B25</f>
        <v>基础设施水平</v>
      </c>
      <c r="R25" s="1110" t="s">
        <v>61</v>
      </c>
      <c r="S25" s="1111">
        <f>F25</f>
        <v>100</v>
      </c>
      <c r="T25" s="1110" t="s">
        <v>61</v>
      </c>
      <c r="U25" s="1111">
        <f>H25</f>
        <v>100</v>
      </c>
      <c r="V25" s="1110" t="s">
        <v>61</v>
      </c>
      <c r="W25" s="1111">
        <f>J25</f>
        <v>100</v>
      </c>
      <c r="X25" s="1112"/>
      <c r="Y25" s="3502"/>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2"/>
      <c r="Q26" s="2547"/>
      <c r="R26" s="1110"/>
      <c r="S26" s="1111"/>
      <c r="T26" s="1110"/>
      <c r="U26" s="1111"/>
      <c r="V26" s="1110"/>
      <c r="W26" s="1111"/>
      <c r="X26" s="1112"/>
      <c r="Y26" s="3502"/>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2"/>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2"/>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2"/>
      <c r="Q28" s="1114" t="str">
        <f t="shared" si="8"/>
        <v>毗邻道路的类型与等级</v>
      </c>
      <c r="R28" s="1115" t="s">
        <v>61</v>
      </c>
      <c r="S28" s="1116">
        <f t="shared" si="10"/>
        <v>100</v>
      </c>
      <c r="T28" s="1115" t="s">
        <v>61</v>
      </c>
      <c r="U28" s="1116">
        <f t="shared" si="11"/>
        <v>100</v>
      </c>
      <c r="V28" s="1115" t="s">
        <v>61</v>
      </c>
      <c r="W28" s="1116">
        <f t="shared" si="12"/>
        <v>100</v>
      </c>
      <c r="X28" s="1109"/>
      <c r="Y28" s="3502"/>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2"/>
      <c r="Q29" s="1114"/>
      <c r="R29" s="1115"/>
      <c r="S29" s="1116"/>
      <c r="T29" s="1115"/>
      <c r="U29" s="1116"/>
      <c r="V29" s="1115"/>
      <c r="W29" s="1116"/>
      <c r="X29" s="1109"/>
      <c r="Y29" s="3502"/>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2"/>
      <c r="Q30" s="1114" t="str">
        <f t="shared" si="8"/>
        <v>土地级别</v>
      </c>
      <c r="R30" s="1115" t="s">
        <v>61</v>
      </c>
      <c r="S30" s="1116">
        <f t="shared" si="10"/>
        <v>100</v>
      </c>
      <c r="T30" s="1115" t="s">
        <v>61</v>
      </c>
      <c r="U30" s="1116">
        <f t="shared" si="11"/>
        <v>100</v>
      </c>
      <c r="V30" s="1115" t="s">
        <v>61</v>
      </c>
      <c r="W30" s="1116">
        <f t="shared" si="12"/>
        <v>100</v>
      </c>
      <c r="X30" s="1109"/>
      <c r="Y30" s="3502"/>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2"/>
      <c r="Q31" s="1114">
        <f t="shared" si="8"/>
        <v>111</v>
      </c>
      <c r="R31" s="1115" t="s">
        <v>61</v>
      </c>
      <c r="S31" s="1116">
        <f t="shared" si="10"/>
        <v>100</v>
      </c>
      <c r="T31" s="1115" t="s">
        <v>61</v>
      </c>
      <c r="U31" s="1116">
        <f t="shared" si="11"/>
        <v>100</v>
      </c>
      <c r="V31" s="1115" t="s">
        <v>61</v>
      </c>
      <c r="W31" s="1116">
        <f t="shared" si="12"/>
        <v>100</v>
      </c>
      <c r="X31" s="1109"/>
      <c r="Y31" s="3502"/>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3" t="s">
        <v>423</v>
      </c>
      <c r="Q32" s="1114">
        <f t="shared" si="8"/>
        <v>111</v>
      </c>
      <c r="R32" s="1115" t="s">
        <v>61</v>
      </c>
      <c r="S32" s="1116">
        <f t="shared" si="10"/>
        <v>100</v>
      </c>
      <c r="T32" s="1115" t="s">
        <v>61</v>
      </c>
      <c r="U32" s="1116">
        <f t="shared" si="11"/>
        <v>100</v>
      </c>
      <c r="V32" s="1115" t="s">
        <v>61</v>
      </c>
      <c r="W32" s="1116">
        <f t="shared" si="12"/>
        <v>100</v>
      </c>
      <c r="X32" s="1109"/>
      <c r="Y32" s="350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4"/>
      <c r="Q33" s="1114">
        <f t="shared" si="8"/>
        <v>111</v>
      </c>
      <c r="R33" s="1120" t="s">
        <v>61</v>
      </c>
      <c r="S33" s="1121">
        <f t="shared" si="10"/>
        <v>100</v>
      </c>
      <c r="T33" s="1120" t="s">
        <v>61</v>
      </c>
      <c r="U33" s="1121">
        <f t="shared" si="11"/>
        <v>100</v>
      </c>
      <c r="V33" s="1120" t="s">
        <v>61</v>
      </c>
      <c r="W33" s="1121">
        <f t="shared" si="12"/>
        <v>100</v>
      </c>
      <c r="X33" s="1122"/>
      <c r="Y33" s="350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4"/>
      <c r="Q34" s="1114" t="str">
        <f>B34</f>
        <v>宗地面积</v>
      </c>
      <c r="R34" s="1115" t="s">
        <v>61</v>
      </c>
      <c r="S34" s="1116" t="e">
        <f t="shared" si="10"/>
        <v>#N/A</v>
      </c>
      <c r="T34" s="1115" t="s">
        <v>61</v>
      </c>
      <c r="U34" s="1116" t="e">
        <f t="shared" si="11"/>
        <v>#N/A</v>
      </c>
      <c r="V34" s="1115" t="s">
        <v>61</v>
      </c>
      <c r="W34" s="1116" t="e">
        <f t="shared" si="12"/>
        <v>#N/A</v>
      </c>
      <c r="X34" s="1109"/>
      <c r="Y34" s="350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4"/>
      <c r="Q35" s="1114" t="str">
        <f t="shared" ref="Q35:Q40" si="14">B35</f>
        <v>宗地形状</v>
      </c>
      <c r="R35" s="1115" t="s">
        <v>61</v>
      </c>
      <c r="S35" s="1116">
        <f t="shared" si="10"/>
        <v>100</v>
      </c>
      <c r="T35" s="1115" t="s">
        <v>61</v>
      </c>
      <c r="U35" s="1116">
        <f t="shared" si="11"/>
        <v>100</v>
      </c>
      <c r="V35" s="1115" t="s">
        <v>61</v>
      </c>
      <c r="W35" s="1116">
        <f t="shared" si="12"/>
        <v>100</v>
      </c>
      <c r="X35" s="1109"/>
      <c r="Y35" s="3504"/>
      <c r="Z35" s="1117" t="str">
        <f t="shared" si="13"/>
        <v>宗地形状</v>
      </c>
      <c r="AA35" s="1118">
        <f t="shared" si="3"/>
        <v>1</v>
      </c>
      <c r="AB35" s="1118">
        <f t="shared" si="4"/>
        <v>1</v>
      </c>
      <c r="AC35" s="1118">
        <f t="shared" si="5"/>
        <v>1</v>
      </c>
    </row>
    <row r="36" spans="1:29" s="218" customFormat="1" ht="15">
      <c r="A36" s="672"/>
      <c r="B36" s="2425" t="s">
        <v>2421</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4"/>
      <c r="Q36" s="1114" t="str">
        <f t="shared" si="14"/>
        <v>宗地开发程度</v>
      </c>
      <c r="R36" s="1110" t="s">
        <v>61</v>
      </c>
      <c r="S36" s="1111">
        <f t="shared" si="10"/>
        <v>100</v>
      </c>
      <c r="T36" s="1110" t="s">
        <v>61</v>
      </c>
      <c r="U36" s="1111">
        <f t="shared" si="11"/>
        <v>100</v>
      </c>
      <c r="V36" s="1110" t="s">
        <v>61</v>
      </c>
      <c r="W36" s="1111">
        <f t="shared" si="12"/>
        <v>100</v>
      </c>
      <c r="X36" s="1112"/>
      <c r="Y36" s="350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4" t="s">
        <v>532</v>
      </c>
      <c r="Q37" s="1114" t="str">
        <f t="shared" si="14"/>
        <v>工程地质条件</v>
      </c>
      <c r="R37" s="1115" t="s">
        <v>61</v>
      </c>
      <c r="S37" s="1116">
        <f t="shared" si="10"/>
        <v>100</v>
      </c>
      <c r="T37" s="1115" t="s">
        <v>61</v>
      </c>
      <c r="U37" s="1116">
        <f t="shared" si="11"/>
        <v>100</v>
      </c>
      <c r="V37" s="1115" t="s">
        <v>61</v>
      </c>
      <c r="W37" s="1116">
        <f t="shared" si="12"/>
        <v>100</v>
      </c>
      <c r="X37" s="1109"/>
      <c r="Y37" s="350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4"/>
      <c r="Q38" s="1114">
        <f t="shared" si="14"/>
        <v>111</v>
      </c>
      <c r="R38" s="1115" t="s">
        <v>61</v>
      </c>
      <c r="S38" s="1116">
        <f t="shared" si="10"/>
        <v>100</v>
      </c>
      <c r="T38" s="1115" t="s">
        <v>61</v>
      </c>
      <c r="U38" s="1116">
        <f t="shared" si="11"/>
        <v>100</v>
      </c>
      <c r="V38" s="1115" t="s">
        <v>61</v>
      </c>
      <c r="W38" s="1116">
        <f t="shared" si="12"/>
        <v>100</v>
      </c>
      <c r="X38" s="1109"/>
      <c r="Y38" s="350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4"/>
      <c r="Q39" s="1114">
        <f t="shared" si="14"/>
        <v>111</v>
      </c>
      <c r="R39" s="1115" t="s">
        <v>61</v>
      </c>
      <c r="S39" s="1116">
        <f t="shared" si="10"/>
        <v>100</v>
      </c>
      <c r="T39" s="1115" t="s">
        <v>61</v>
      </c>
      <c r="U39" s="1116">
        <f t="shared" si="11"/>
        <v>100</v>
      </c>
      <c r="V39" s="1115" t="s">
        <v>61</v>
      </c>
      <c r="W39" s="1116">
        <f t="shared" si="12"/>
        <v>100</v>
      </c>
      <c r="X39" s="1109"/>
      <c r="Y39" s="350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4"/>
      <c r="Q40" s="1114">
        <f t="shared" si="14"/>
        <v>111</v>
      </c>
      <c r="R40" s="1120" t="s">
        <v>61</v>
      </c>
      <c r="S40" s="1121">
        <f t="shared" si="10"/>
        <v>100</v>
      </c>
      <c r="T40" s="1120" t="s">
        <v>61</v>
      </c>
      <c r="U40" s="1121">
        <f t="shared" si="11"/>
        <v>100</v>
      </c>
      <c r="V40" s="1120" t="s">
        <v>61</v>
      </c>
      <c r="W40" s="1121">
        <f t="shared" si="12"/>
        <v>100</v>
      </c>
      <c r="X40" s="1122"/>
      <c r="Y40" s="350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3" t="str">
        <f>A41</f>
        <v>成交单价</v>
      </c>
      <c r="Q41" s="3473"/>
      <c r="R41" s="3497">
        <f>E41</f>
        <v>0</v>
      </c>
      <c r="S41" s="3497"/>
      <c r="T41" s="3497">
        <f>G41</f>
        <v>0</v>
      </c>
      <c r="U41" s="3497"/>
      <c r="V41" s="3497">
        <f>I41</f>
        <v>0</v>
      </c>
      <c r="W41" s="349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3" t="str">
        <f>A42</f>
        <v>比较价值（元/平方米）</v>
      </c>
      <c r="Q42" s="3473"/>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6" t="str">
        <f>A43</f>
        <v>估价对象XX用房的比较价值（楼面单价，元/平方米）</v>
      </c>
      <c r="Q43" s="3507"/>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1807</v>
      </c>
      <c r="D50" s="2266" t="s">
        <v>2229</v>
      </c>
      <c r="E50" s="957" t="s">
        <v>505</v>
      </c>
      <c r="F50" s="958" t="s">
        <v>506</v>
      </c>
      <c r="G50" s="1600" t="s">
        <v>1806</v>
      </c>
      <c r="H50" s="1600" t="str">
        <f>项目基本情况!G8</f>
        <v>朝阳区甘露园南里15号院4门422</v>
      </c>
      <c r="I50" s="2237" t="s">
        <v>1808</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0.8</v>
      </c>
      <c r="D52" s="2265">
        <v>0.25</v>
      </c>
      <c r="E52" s="965">
        <v>0</v>
      </c>
      <c r="F52" s="962" t="e">
        <f t="shared" si="15"/>
        <v>#DIV/0!</v>
      </c>
      <c r="G52" s="1609">
        <f>SUMIF(修正!$A$45:$A$56,项目基本情况!$F$9,修正!B45:B56)</f>
        <v>0.8</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0.5</v>
      </c>
      <c r="D53" s="2265">
        <v>0.25</v>
      </c>
      <c r="E53" s="965">
        <v>0</v>
      </c>
      <c r="F53" s="962" t="e">
        <f t="shared" si="15"/>
        <v>#DIV/0!</v>
      </c>
      <c r="G53" s="1609">
        <f>SUMIF(修正!$A$45:$A$56,项目基本情况!$F$9,修正!C45:C56)</f>
        <v>0.5</v>
      </c>
      <c r="H53" s="1610"/>
      <c r="I53" s="2222"/>
      <c r="J53" s="2225"/>
      <c r="K53" s="2221"/>
      <c r="L53" s="2221"/>
      <c r="M53" s="2220"/>
      <c r="N53" s="2220"/>
      <c r="O53" s="2220"/>
    </row>
    <row r="54" spans="1:17" s="963" customFormat="1">
      <c r="A54" s="964" t="s">
        <v>510</v>
      </c>
      <c r="B54" s="395" t="e">
        <f t="shared" si="16"/>
        <v>#DIV/0!</v>
      </c>
      <c r="C54" s="334">
        <f t="shared" si="17"/>
        <v>0.36</v>
      </c>
      <c r="D54" s="2265">
        <v>0.25</v>
      </c>
      <c r="E54" s="965">
        <v>0</v>
      </c>
      <c r="F54" s="962" t="e">
        <f t="shared" si="15"/>
        <v>#DIV/0!</v>
      </c>
      <c r="G54" s="1609">
        <f>SUMIF(修正!$A$45:$A$56,项目基本情况!$F$9,修正!D45:D56)</f>
        <v>0.36</v>
      </c>
      <c r="H54" s="1610"/>
      <c r="I54" s="2220"/>
      <c r="J54" s="2225"/>
      <c r="K54" s="2221"/>
      <c r="L54" s="2221"/>
      <c r="M54" s="2220"/>
      <c r="N54" s="2220"/>
      <c r="O54" s="2220"/>
    </row>
    <row r="55" spans="1:17" s="963" customFormat="1">
      <c r="A55" s="964" t="s">
        <v>511</v>
      </c>
      <c r="B55" s="395" t="e">
        <f t="shared" si="16"/>
        <v>#DIV/0!</v>
      </c>
      <c r="C55" s="334">
        <f t="shared" si="17"/>
        <v>0.3</v>
      </c>
      <c r="D55" s="2265">
        <v>0.25</v>
      </c>
      <c r="E55" s="965">
        <v>0</v>
      </c>
      <c r="F55" s="962" t="e">
        <f t="shared" si="15"/>
        <v>#DIV/0!</v>
      </c>
      <c r="G55" s="1609">
        <f>SUMIF(修正!$A$45:$A$56,项目基本情况!$F$9,修正!E45:E56)</f>
        <v>0.3</v>
      </c>
      <c r="H55" s="1610"/>
      <c r="I55" s="2222"/>
      <c r="J55" s="2225"/>
      <c r="K55" s="2221"/>
      <c r="L55" s="2221"/>
      <c r="M55" s="2220"/>
      <c r="N55" s="2220"/>
      <c r="O55" s="2220"/>
    </row>
    <row r="56" spans="1:17" s="963" customFormat="1">
      <c r="A56" s="964" t="s">
        <v>512</v>
      </c>
      <c r="B56" s="395" t="e">
        <f t="shared" si="16"/>
        <v>#DIV/0!</v>
      </c>
      <c r="C56" s="334">
        <f t="shared" si="17"/>
        <v>0.25</v>
      </c>
      <c r="D56" s="2265">
        <v>0.25</v>
      </c>
      <c r="E56" s="965">
        <v>0</v>
      </c>
      <c r="F56" s="962" t="e">
        <f t="shared" si="15"/>
        <v>#DIV/0!</v>
      </c>
      <c r="G56" s="1609">
        <f>SUMIF(修正!A40:A51,项目基本情况!F9,修正!F45:F56)</f>
        <v>0.25</v>
      </c>
      <c r="H56" s="1610"/>
      <c r="I56" s="2220"/>
      <c r="J56" s="2225"/>
      <c r="K56" s="2221"/>
      <c r="L56" s="2221"/>
      <c r="M56" s="2220"/>
      <c r="N56" s="2220"/>
      <c r="O56" s="2220"/>
    </row>
    <row r="57" spans="1:17" s="963" customFormat="1">
      <c r="A57" s="964" t="s">
        <v>513</v>
      </c>
      <c r="B57" s="395" t="e">
        <f t="shared" si="16"/>
        <v>#DIV/0!</v>
      </c>
      <c r="C57" s="334">
        <f t="shared" si="17"/>
        <v>0.25</v>
      </c>
      <c r="D57" s="2265">
        <v>0.25</v>
      </c>
      <c r="E57" s="965">
        <v>0</v>
      </c>
      <c r="F57" s="962" t="e">
        <f t="shared" si="15"/>
        <v>#DIV/0!</v>
      </c>
      <c r="G57" s="1609">
        <f>SUMIF(修正!A40:A51,项目基本情况!F9,修正!G45:G56)</f>
        <v>0.25</v>
      </c>
      <c r="H57" s="1610"/>
      <c r="I57" s="2222"/>
      <c r="J57" s="2225"/>
      <c r="K57" s="2221"/>
      <c r="L57" s="2221"/>
      <c r="M57" s="2220"/>
      <c r="N57" s="2220"/>
      <c r="O57" s="2220"/>
    </row>
    <row r="58" spans="1:17" s="963" customFormat="1">
      <c r="A58" s="964" t="s">
        <v>514</v>
      </c>
      <c r="B58" s="395" t="e">
        <f t="shared" si="16"/>
        <v>#DIV/0!</v>
      </c>
      <c r="C58" s="334">
        <f t="shared" si="17"/>
        <v>0.2</v>
      </c>
      <c r="D58" s="2265">
        <v>0.25</v>
      </c>
      <c r="E58" s="965">
        <v>0</v>
      </c>
      <c r="F58" s="962" t="e">
        <f t="shared" si="15"/>
        <v>#DIV/0!</v>
      </c>
      <c r="G58" s="1609">
        <f>SUMIF(修正!A40:A51,项目基本情况!F9,修正!H45:H56)</f>
        <v>0.2</v>
      </c>
      <c r="H58" s="1610"/>
      <c r="I58" s="2220"/>
      <c r="J58" s="2225"/>
      <c r="K58" s="2221"/>
      <c r="L58" s="2221"/>
      <c r="M58" s="2220"/>
      <c r="N58" s="2220"/>
      <c r="O58" s="2220"/>
    </row>
    <row r="59" spans="1:17" s="963" customFormat="1">
      <c r="A59" s="964" t="s">
        <v>515</v>
      </c>
      <c r="B59" s="395" t="e">
        <f t="shared" si="16"/>
        <v>#DIV/0!</v>
      </c>
      <c r="C59" s="334">
        <f t="shared" si="17"/>
        <v>0.2</v>
      </c>
      <c r="D59" s="2265">
        <v>0.25</v>
      </c>
      <c r="E59" s="965">
        <v>0</v>
      </c>
      <c r="F59" s="962" t="e">
        <f t="shared" si="15"/>
        <v>#DIV/0!</v>
      </c>
      <c r="G59" s="1609">
        <f>G58</f>
        <v>0.2</v>
      </c>
      <c r="H59" s="1610"/>
      <c r="I59" s="2222"/>
      <c r="J59" s="2225"/>
      <c r="K59" s="2221"/>
      <c r="L59" s="2221"/>
      <c r="M59" s="2220"/>
      <c r="N59" s="2220"/>
      <c r="O59" s="2220"/>
    </row>
    <row r="60" spans="1:17" s="963" customFormat="1">
      <c r="A60" s="964" t="s">
        <v>516</v>
      </c>
      <c r="B60" s="395" t="e">
        <f t="shared" si="16"/>
        <v>#DIV/0!</v>
      </c>
      <c r="C60" s="334">
        <f t="shared" si="17"/>
        <v>0.2</v>
      </c>
      <c r="D60" s="2265">
        <v>0.25</v>
      </c>
      <c r="E60" s="965">
        <v>0</v>
      </c>
      <c r="F60" s="962" t="e">
        <f t="shared" si="15"/>
        <v>#DIV/0!</v>
      </c>
      <c r="G60" s="1609">
        <f>G58</f>
        <v>0.2</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2663</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2664</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2558</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2557</v>
      </c>
      <c r="C93" s="129" t="s">
        <v>2545</v>
      </c>
      <c r="D93" s="129" t="s">
        <v>2546</v>
      </c>
      <c r="E93" s="129" t="s">
        <v>2547</v>
      </c>
      <c r="F93" s="129" t="s">
        <v>2548</v>
      </c>
      <c r="G93" s="129" t="s">
        <v>2549</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61" t="str">
        <f t="shared" ref="C107:L107" si="25">C108&amp;"(含)"&amp;"-"&amp;D108</f>
        <v>(含)-</v>
      </c>
      <c r="D107" s="3061" t="str">
        <f t="shared" si="25"/>
        <v>(含)-</v>
      </c>
      <c r="E107" s="3061" t="str">
        <f t="shared" si="25"/>
        <v>(含)-</v>
      </c>
      <c r="F107" s="3061" t="str">
        <f t="shared" si="25"/>
        <v>(含)-</v>
      </c>
      <c r="G107" s="3061" t="str">
        <f t="shared" si="25"/>
        <v>(含)-</v>
      </c>
      <c r="H107" s="3061" t="str">
        <f t="shared" si="25"/>
        <v>(含)-</v>
      </c>
      <c r="I107" s="3061" t="str">
        <f t="shared" si="25"/>
        <v>(含)-</v>
      </c>
      <c r="J107" s="3061" t="str">
        <f t="shared" si="25"/>
        <v>(含)-</v>
      </c>
      <c r="K107" s="3061" t="str">
        <f t="shared" si="25"/>
        <v>(含)-</v>
      </c>
      <c r="L107" s="3062" t="str">
        <f t="shared" si="25"/>
        <v>(含)-</v>
      </c>
      <c r="M107" s="3063"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2422</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8" priority="14" stopIfTrue="1" operator="containsText" text="超过">
      <formula>NOT(ISERROR(SEARCH("超过",F46)))</formula>
    </cfRule>
  </conditionalFormatting>
  <conditionalFormatting sqref="J48">
    <cfRule type="containsText" dxfId="27" priority="13" stopIfTrue="1" operator="containsText" text="超过">
      <formula>NOT(ISERROR(SEARCH("超过",J48)))</formula>
    </cfRule>
  </conditionalFormatting>
  <conditionalFormatting sqref="H48">
    <cfRule type="containsText" dxfId="26" priority="12" stopIfTrue="1" operator="containsText" text="超过">
      <formula>NOT(ISERROR(SEARCH("超过",H48)))</formula>
    </cfRule>
  </conditionalFormatting>
  <conditionalFormatting sqref="F48">
    <cfRule type="containsText" dxfId="25" priority="11" stopIfTrue="1" operator="containsText" text="超过">
      <formula>NOT(ISERROR(SEARCH("超过",F48)))</formula>
    </cfRule>
  </conditionalFormatting>
  <conditionalFormatting sqref="F47 H47 J47">
    <cfRule type="containsText" dxfId="24" priority="10" stopIfTrue="1" operator="containsText" text="超过">
      <formula>NOT(ISERROR(SEARCH("超过",F47)))</formula>
    </cfRule>
  </conditionalFormatting>
  <conditionalFormatting sqref="E46">
    <cfRule type="expression" dxfId="23" priority="9" stopIfTrue="1">
      <formula>$F$46="超过30%"</formula>
    </cfRule>
  </conditionalFormatting>
  <conditionalFormatting sqref="G48">
    <cfRule type="expression" dxfId="22" priority="8" stopIfTrue="1">
      <formula>$H$48="超过30%"</formula>
    </cfRule>
  </conditionalFormatting>
  <conditionalFormatting sqref="E48">
    <cfRule type="expression" dxfId="21" priority="6" stopIfTrue="1">
      <formula>$F$48="超过30%"</formula>
    </cfRule>
  </conditionalFormatting>
  <conditionalFormatting sqref="G46">
    <cfRule type="expression" dxfId="20" priority="5" stopIfTrue="1">
      <formula>$H$46="超过30%"</formula>
    </cfRule>
  </conditionalFormatting>
  <conditionalFormatting sqref="G47">
    <cfRule type="expression" dxfId="19" priority="4" stopIfTrue="1">
      <formula>$H$47="超过20%"</formula>
    </cfRule>
  </conditionalFormatting>
  <conditionalFormatting sqref="I46">
    <cfRule type="expression" dxfId="18" priority="3" stopIfTrue="1">
      <formula>$J$46="超过30%"</formula>
    </cfRule>
  </conditionalFormatting>
  <conditionalFormatting sqref="I47">
    <cfRule type="expression" dxfId="17" priority="2" stopIfTrue="1">
      <formula>$J$47="超过20%"</formula>
    </cfRule>
  </conditionalFormatting>
  <conditionalFormatting sqref="I48">
    <cfRule type="expression" dxfId="16" priority="1" stopIfTrue="1">
      <formula>$J$48="超过30%"</formula>
    </cfRule>
  </conditionalFormatting>
  <conditionalFormatting sqref="E47">
    <cfRule type="expression" dxfId="15"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118"/>
  <sheetViews>
    <sheetView view="pageBreakPreview" topLeftCell="A73" zoomScale="80" zoomScaleNormal="90" zoomScaleSheetLayoutView="80" workbookViewId="0">
      <selection sqref="A1:J52"/>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2423</v>
      </c>
      <c r="D1" s="1444">
        <f>SUM(D29:D30,D33:D39)</f>
        <v>56.82</v>
      </c>
      <c r="E1" s="1444"/>
      <c r="F1" s="1444"/>
      <c r="G1" s="1444"/>
      <c r="H1" s="1444"/>
      <c r="I1" s="1444"/>
      <c r="J1" s="1444"/>
      <c r="L1" s="1712" t="s">
        <v>1139</v>
      </c>
      <c r="M1" s="1930">
        <f>SUMPRODUCT((区片价!B5:B9=I2)*(区片价!C3:F3=E2)*(区片价!C5:F9))</f>
        <v>0</v>
      </c>
      <c r="N1" s="1933">
        <f>SUMPRODUCT((因素修正幅度!B5:B9=I2)*(因素修正幅度!C3:F3=E2)*(因素修正幅度!C5:F9))</f>
        <v>0</v>
      </c>
      <c r="O1" s="2240"/>
      <c r="P1" s="2240"/>
      <c r="Q1" s="2240"/>
      <c r="R1" s="2860" t="s">
        <v>2753</v>
      </c>
      <c r="S1" s="2860" t="s">
        <v>2754</v>
      </c>
      <c r="T1" s="2860" t="s">
        <v>2755</v>
      </c>
      <c r="U1" s="2860" t="s">
        <v>2756</v>
      </c>
      <c r="V1" s="2860" t="s">
        <v>2757</v>
      </c>
      <c r="W1" s="2861"/>
      <c r="X1" s="2861"/>
      <c r="Y1" s="2861"/>
      <c r="Z1" s="2861"/>
      <c r="AA1" s="2861"/>
      <c r="AB1" s="2861"/>
      <c r="AC1" s="2862"/>
      <c r="AD1" s="2863"/>
      <c r="AE1" s="2863"/>
      <c r="AF1" s="2863"/>
      <c r="AG1" s="2863"/>
      <c r="AH1" s="2863"/>
      <c r="AI1" s="2863"/>
      <c r="AJ1" s="2864"/>
    </row>
    <row r="2" spans="1:36" ht="24">
      <c r="A2" s="33" t="s">
        <v>1707</v>
      </c>
      <c r="B2" s="385">
        <f ca="1">C26</f>
        <v>2610027</v>
      </c>
      <c r="C2" s="1284" t="s">
        <v>1853</v>
      </c>
      <c r="D2" s="1449" t="s">
        <v>1903</v>
      </c>
      <c r="E2" s="1618" t="s">
        <v>25</v>
      </c>
      <c r="F2" s="1449" t="s">
        <v>1708</v>
      </c>
      <c r="G2" s="1715" t="str">
        <f>项目基本情况!F9</f>
        <v>二级</v>
      </c>
      <c r="H2" s="1718" t="s">
        <v>1709</v>
      </c>
      <c r="I2" s="1715" t="str">
        <f>项目基本情况!F10</f>
        <v>Ⅱ—10</v>
      </c>
      <c r="J2" s="1450"/>
      <c r="L2" s="1713" t="s">
        <v>1199</v>
      </c>
      <c r="M2" s="1931">
        <f>SUMPRODUCT((区片价!B10:B28=I2)*(区片价!C3:F3=E2)*(区片价!C10:F28))</f>
        <v>21350</v>
      </c>
      <c r="N2" s="1934">
        <f>SUMPRODUCT((因素修正幅度!B10:B28=I2)*(因素修正幅度!C3:F3=E2)*(因素修正幅度!C10:F28))</f>
        <v>8.6999999999999994E-2</v>
      </c>
      <c r="O2" s="2240"/>
      <c r="P2" s="2240"/>
      <c r="Q2" s="2240"/>
      <c r="R2" s="2865">
        <v>1</v>
      </c>
      <c r="S2" s="2865">
        <f>ROUND(IF(G3&gt;1,IF(R2&lt;7,SUMPRODUCT((B93:B98=R2)*(C92:N92=G2)*(C93:N98)),SUMIF(C92:N92,G2,C100:N100)),IF(R2&lt;7,SUMPRODUCT((B102:B107=R2)*(C92:N92=G2)*(C102:N107)),SUMIF(C92:N92,G2,C109:N109))),4)</f>
        <v>1.9361999999999999</v>
      </c>
      <c r="T2" s="2865">
        <f ca="1">ROUND($C$5*$C$18*$C$19*$C$20*S2*$C$24,0)</f>
        <v>88940</v>
      </c>
      <c r="U2" s="2866"/>
      <c r="V2" s="2865">
        <f ca="1">ROUND(T2*U2/10000,0)</f>
        <v>0</v>
      </c>
      <c r="W2" s="2861"/>
      <c r="X2" s="2861"/>
      <c r="Y2" s="2861"/>
      <c r="Z2" s="2861"/>
      <c r="AA2" s="2861"/>
      <c r="AB2" s="2861"/>
      <c r="AC2" s="2862"/>
      <c r="AD2" s="2863"/>
      <c r="AE2" s="2863"/>
      <c r="AF2" s="2863"/>
      <c r="AG2" s="2863"/>
      <c r="AH2" s="2863"/>
      <c r="AI2" s="2863"/>
      <c r="AJ2" s="2864"/>
    </row>
    <row r="3" spans="1:36" ht="24">
      <c r="A3" s="34" t="s">
        <v>1710</v>
      </c>
      <c r="B3" s="385">
        <f ca="1">ROUND(B2/D1,0)</f>
        <v>45935</v>
      </c>
      <c r="C3" s="1284" t="s">
        <v>1711</v>
      </c>
      <c r="D3" s="1449" t="s">
        <v>1051</v>
      </c>
      <c r="E3" s="1619" t="s">
        <v>2966</v>
      </c>
      <c r="F3" s="1666" t="s">
        <v>1886</v>
      </c>
      <c r="G3" s="1451">
        <f>项目基本情况!C15</f>
        <v>2.5</v>
      </c>
      <c r="H3" s="1452" t="s">
        <v>1052</v>
      </c>
      <c r="I3" s="1620">
        <v>15</v>
      </c>
      <c r="J3" s="1450" t="s">
        <v>1053</v>
      </c>
      <c r="L3" s="1713" t="s">
        <v>1377</v>
      </c>
      <c r="M3" s="1931">
        <f>SUMPRODUCT((区片价!B29:B48=I2)*(区片价!C3:F3=E2)*(区片价!C29:F48))</f>
        <v>0</v>
      </c>
      <c r="N3" s="1934">
        <f>SUMPRODUCT((因素修正幅度!B29:B48=I2)*(因素修正幅度!C3:F3=E2)*(因素修正幅度!C29:F48))</f>
        <v>0</v>
      </c>
      <c r="O3" s="2240"/>
      <c r="P3" s="2240"/>
      <c r="Q3" s="2240"/>
      <c r="R3" s="2865">
        <v>2</v>
      </c>
      <c r="S3" s="2865">
        <f>ROUND(IF(G3&gt;1,IF(R3&lt;7,SUMPRODUCT((B93:B98=R3)*(C92:N92=G2)*(C93:N98)),SUMIF(C92:N92,G2,C100:N100)),IF(R3&lt;7,SUMPRODUCT((B102:B107=R3)*(C92:N92=G2)*(C102:N107)),SUMIF(C92:N92,G2,C109:N109))),4)</f>
        <v>1.4198</v>
      </c>
      <c r="T3" s="2865">
        <f t="shared" ref="T3:T16" ca="1" si="0">ROUND($C$5*$C$18*$C$19*$C$20*S3*$C$24,0)</f>
        <v>65219</v>
      </c>
      <c r="U3" s="2866"/>
      <c r="V3" s="2865">
        <f t="shared" ref="V3:V16" ca="1" si="1">ROUND(T3*U3/10000,0)</f>
        <v>0</v>
      </c>
      <c r="W3" s="2861"/>
      <c r="X3" s="2861"/>
      <c r="Y3" s="2861"/>
      <c r="Z3" s="2861"/>
      <c r="AA3" s="2861"/>
      <c r="AB3" s="2861"/>
      <c r="AC3" s="2862"/>
      <c r="AD3" s="2863"/>
      <c r="AE3" s="2863"/>
      <c r="AF3" s="2863"/>
      <c r="AG3" s="2863"/>
      <c r="AH3" s="2863"/>
      <c r="AI3" s="2863"/>
      <c r="AJ3" s="2864"/>
    </row>
    <row r="4" spans="1:36" ht="15">
      <c r="A4" s="3524"/>
      <c r="B4" s="3525"/>
      <c r="C4" s="3525"/>
      <c r="D4" s="3526"/>
      <c r="E4" s="3526"/>
      <c r="F4" s="3526"/>
      <c r="G4" s="3526"/>
      <c r="H4" s="3526"/>
      <c r="I4" s="3526"/>
      <c r="J4" s="3527"/>
      <c r="L4" s="1713" t="s">
        <v>1049</v>
      </c>
      <c r="M4" s="1931">
        <f>SUMPRODUCT((区片价!B49:B75=I2)*(区片价!C3:F3=E2)*(区片价!C49:F75))</f>
        <v>0</v>
      </c>
      <c r="N4" s="1934">
        <f>SUMPRODUCT((因素修正幅度!B49:B75=I2)*(因素修正幅度!C3:F3=E2)*(因素修正幅度!C49:F75))</f>
        <v>0</v>
      </c>
      <c r="O4" s="2240"/>
      <c r="P4" s="2240"/>
      <c r="Q4" s="2240"/>
      <c r="R4" s="2865">
        <v>3</v>
      </c>
      <c r="S4" s="2865">
        <f>ROUND(IF(G3&gt;1,IF(R4&lt;7,SUMPRODUCT((B93:B98=R4)*(C92:N92=G2)*(C93:N98)),SUMIF(C92:N92,G2,C100:N100)),IF(R4&lt;7,SUMPRODUCT((B102:B107=R4)*(C92:N92=G2)*(C102:N107)),SUMIF(C92:N92,G2,C109:N109))),4)</f>
        <v>1.1594</v>
      </c>
      <c r="T4" s="2865">
        <f t="shared" ca="1" si="0"/>
        <v>53257</v>
      </c>
      <c r="U4" s="2866"/>
      <c r="V4" s="2865">
        <f t="shared" ca="1" si="1"/>
        <v>0</v>
      </c>
      <c r="W4" s="2861"/>
      <c r="X4" s="2861"/>
      <c r="Y4" s="2861"/>
      <c r="Z4" s="2861"/>
      <c r="AA4" s="2861"/>
      <c r="AB4" s="2861"/>
      <c r="AC4" s="2862"/>
      <c r="AD4" s="2863"/>
      <c r="AE4" s="2863"/>
      <c r="AF4" s="2863"/>
      <c r="AG4" s="2863"/>
      <c r="AH4" s="2863"/>
      <c r="AI4" s="2863"/>
      <c r="AJ4" s="2864"/>
    </row>
    <row r="5" spans="1:36" s="1461" customFormat="1" ht="15.75" thickBot="1">
      <c r="A5" s="1453" t="s">
        <v>1712</v>
      </c>
      <c r="B5" s="1454" t="s">
        <v>1713</v>
      </c>
      <c r="C5" s="1455">
        <f>ROUND(IF(E2="商业",IF(F16="增加",C6*C7+C16,C6*C7-C16),IF(E2="住宅",IF(F16="增加",C6*C12+C16,C6*C12-C16),IF(F16="增加",C6+C16,C6-C16))),0)</f>
        <v>31259</v>
      </c>
      <c r="D5" s="1456"/>
      <c r="E5" s="1457"/>
      <c r="F5" s="1457"/>
      <c r="G5" s="1458"/>
      <c r="H5" s="1458"/>
      <c r="I5" s="1458"/>
      <c r="J5" s="1459"/>
      <c r="K5" s="2245"/>
      <c r="L5" s="1713" t="s">
        <v>1458</v>
      </c>
      <c r="M5" s="1931">
        <f>SUMPRODUCT((区片价!B76:B109=I2)*(区片价!C3:F3=E2)*(区片价!C76:F109))</f>
        <v>0</v>
      </c>
      <c r="N5" s="1934">
        <f>SUMPRODUCT((因素修正幅度!B76:B109=I2)*(因素修正幅度!C3:F3=E2)*(因素修正幅度!C76:F109))</f>
        <v>0</v>
      </c>
      <c r="O5" s="2240"/>
      <c r="P5" s="2240"/>
      <c r="Q5" s="2240"/>
      <c r="R5" s="2865">
        <v>4</v>
      </c>
      <c r="S5" s="2865">
        <f>ROUND(IF(G3&gt;1,IF(R5&lt;7,SUMPRODUCT((B93:B98=R5)*(C92:N92=G2)*(C93:N98)),SUMIF(C92:N92,G2,C100:N100)),IF(R5&lt;7,SUMPRODUCT((B102:B107=R5)*(C92:N92=G2)*(C102:N107)),SUMIF(C92:N92,G2,C109:N109))),4)</f>
        <v>0.96220000000000006</v>
      </c>
      <c r="T5" s="2865">
        <f t="shared" ca="1" si="0"/>
        <v>44199</v>
      </c>
      <c r="U5" s="2866"/>
      <c r="V5" s="2865">
        <f t="shared" ca="1" si="1"/>
        <v>0</v>
      </c>
      <c r="W5" s="2861"/>
      <c r="X5" s="2861"/>
      <c r="Y5" s="2861"/>
      <c r="Z5" s="2861"/>
      <c r="AA5" s="2861"/>
      <c r="AB5" s="2861"/>
      <c r="AC5" s="2867"/>
      <c r="AD5" s="2868"/>
      <c r="AE5" s="2868"/>
      <c r="AF5" s="2868"/>
      <c r="AG5" s="2868"/>
      <c r="AH5" s="2868"/>
      <c r="AI5" s="2868"/>
      <c r="AJ5" s="2869"/>
    </row>
    <row r="6" spans="1:36" ht="15.75" thickBot="1">
      <c r="A6" s="1462">
        <v>1</v>
      </c>
      <c r="B6" s="1463" t="s">
        <v>1713</v>
      </c>
      <c r="C6" s="1464">
        <f>SUMIF(L1:L12,G2,M1:M12)</f>
        <v>21350</v>
      </c>
      <c r="D6" s="1465" t="s">
        <v>1714</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f>ROUND(IF(G3&gt;1,IF(R6&lt;7,SUMPRODUCT((B93:B98=R6)*(C92:N92=G2)*(C93:N98)),SUMIF(C92:N92,G2,C100:N100)),IF(R6&lt;7,SUMPRODUCT((B102:B107=R6)*(C92:N92=G2)*(C102:N107)),SUMIF(C92:N92,G2,C109:N109))),4)</f>
        <v>0.8417</v>
      </c>
      <c r="T6" s="2865">
        <f t="shared" ca="1" si="0"/>
        <v>38664</v>
      </c>
      <c r="U6" s="2866"/>
      <c r="V6" s="2865">
        <f t="shared" ca="1" si="1"/>
        <v>0</v>
      </c>
      <c r="W6" s="2861"/>
      <c r="X6" s="2861"/>
      <c r="Y6" s="2861"/>
      <c r="Z6" s="2861"/>
      <c r="AA6" s="2861"/>
      <c r="AB6" s="2861"/>
      <c r="AC6" s="2867"/>
      <c r="AD6" s="2868"/>
      <c r="AE6" s="2868"/>
      <c r="AF6" s="2868"/>
      <c r="AG6" s="2868"/>
      <c r="AH6" s="2868"/>
      <c r="AI6" s="2868"/>
      <c r="AJ6" s="2869"/>
    </row>
    <row r="7" spans="1:36" ht="24">
      <c r="A7" s="3511" t="str">
        <f>IF(E2="商业",IF(C8="不临58条商业街","",2),"")</f>
        <v/>
      </c>
      <c r="B7" s="1469" t="s">
        <v>1715</v>
      </c>
      <c r="C7" s="1470" t="e">
        <f>IF(C8="不临58条商业街",1,ROUND(1+(1.6*E8+1.2*E9+0.8*E10+0.4*E11)*C9,4))</f>
        <v>#DIV/0!</v>
      </c>
      <c r="D7" s="1471" t="s">
        <v>1716</v>
      </c>
      <c r="E7" s="1621"/>
      <c r="F7" s="1472"/>
      <c r="G7" s="1473"/>
      <c r="H7" s="1473"/>
      <c r="I7" s="1473"/>
      <c r="J7" s="1474"/>
      <c r="K7" s="2246"/>
      <c r="L7" s="1713" t="s">
        <v>1461</v>
      </c>
      <c r="M7" s="1931">
        <f>SUMPRODUCT((区片价!B158:B205=I2)*(区片价!C3:F3=E2)*(区片价!C158:F205))</f>
        <v>0</v>
      </c>
      <c r="N7" s="1934">
        <f>SUMPRODUCT((因素修正幅度!B158:B205=I2)*(因素修正幅度!C3:F3=E2)*(因素修正幅度!C158:F205))</f>
        <v>0</v>
      </c>
      <c r="O7" s="2240"/>
      <c r="P7" s="2240"/>
      <c r="Q7" s="2240"/>
      <c r="R7" s="2865">
        <v>6</v>
      </c>
      <c r="S7" s="2865">
        <f>ROUND(IF(G3&gt;1,IF(R7&lt;7,SUMPRODUCT((B93:B98=R7)*(C92:N92=G2)*(C93:N98)),SUMIF(C92:N92,G2,C100:N100)),IF(R7&lt;7,SUMPRODUCT((B102:B107=R7)*(C92:N92=G2)*(C102:N107)),SUMIF(C92:N92,G2,C109:N109))),4)</f>
        <v>0.76080000000000003</v>
      </c>
      <c r="T7" s="2865">
        <f t="shared" ca="1" si="0"/>
        <v>34947</v>
      </c>
      <c r="U7" s="2866"/>
      <c r="V7" s="2865">
        <f t="shared" ca="1" si="1"/>
        <v>0</v>
      </c>
      <c r="W7" s="2870" t="s">
        <v>2758</v>
      </c>
      <c r="X7" s="2871" t="str">
        <f>G2</f>
        <v>二级</v>
      </c>
      <c r="Y7" s="2871" t="s">
        <v>2759</v>
      </c>
      <c r="Z7" s="2872">
        <f>G3</f>
        <v>2.5</v>
      </c>
      <c r="AA7" s="2873"/>
      <c r="AB7" s="2873"/>
      <c r="AC7" s="2874"/>
      <c r="AD7" s="2875"/>
      <c r="AE7" s="2875"/>
      <c r="AF7" s="2875"/>
      <c r="AG7" s="2875"/>
      <c r="AH7" s="2875"/>
      <c r="AI7" s="2875"/>
      <c r="AJ7" s="2876"/>
    </row>
    <row r="8" spans="1:36" ht="15">
      <c r="A8" s="3512"/>
      <c r="B8" s="1452" t="s">
        <v>1717</v>
      </c>
      <c r="C8" s="1622"/>
      <c r="D8" s="1475" t="s">
        <v>1054</v>
      </c>
      <c r="E8" s="1476" t="e">
        <f>ROUND(C11/E7,4)</f>
        <v>#DIV/0!</v>
      </c>
      <c r="F8" s="1477" t="s">
        <v>1718</v>
      </c>
      <c r="G8" s="1478"/>
      <c r="H8" s="1478"/>
      <c r="I8" s="1478"/>
      <c r="J8" s="1479"/>
      <c r="L8" s="1713" t="s">
        <v>1463</v>
      </c>
      <c r="M8" s="1931">
        <f>SUMPRODUCT((区片价!B206:B244=I2)*(区片价!C3:F3=E2)*(区片价!C206:F244))</f>
        <v>0</v>
      </c>
      <c r="N8" s="1934">
        <f>SUMPRODUCT((因素修正幅度!B206:B244=I2)*(因素修正幅度!C3:F3=E2)*(因素修正幅度!C206:F244))</f>
        <v>0</v>
      </c>
      <c r="O8" s="2240"/>
      <c r="P8" s="2240"/>
      <c r="Q8" s="2240"/>
      <c r="R8" s="2865">
        <v>7</v>
      </c>
      <c r="S8" s="2866"/>
      <c r="T8" s="2865">
        <f t="shared" ca="1" si="0"/>
        <v>0</v>
      </c>
      <c r="U8" s="2866"/>
      <c r="V8" s="2865">
        <f t="shared" ca="1" si="1"/>
        <v>0</v>
      </c>
      <c r="W8" s="3521" t="s">
        <v>2760</v>
      </c>
      <c r="X8" s="3522"/>
      <c r="Y8" s="2877" t="s">
        <v>167</v>
      </c>
      <c r="Z8" s="2877" t="s">
        <v>168</v>
      </c>
      <c r="AA8" s="2877" t="s">
        <v>163</v>
      </c>
      <c r="AB8" s="2877" t="s">
        <v>164</v>
      </c>
      <c r="AC8" s="2877" t="s">
        <v>165</v>
      </c>
      <c r="AD8" s="2877" t="s">
        <v>166</v>
      </c>
      <c r="AE8" s="2877" t="s">
        <v>1212</v>
      </c>
      <c r="AF8" s="2877" t="s">
        <v>1091</v>
      </c>
      <c r="AG8" s="2877" t="s">
        <v>1234</v>
      </c>
      <c r="AH8" s="2877" t="s">
        <v>1093</v>
      </c>
      <c r="AI8" s="2877" t="s">
        <v>1094</v>
      </c>
      <c r="AJ8" s="2877" t="s">
        <v>1095</v>
      </c>
    </row>
    <row r="9" spans="1:36" ht="15">
      <c r="A9" s="3512"/>
      <c r="B9" s="1452" t="s">
        <v>1719</v>
      </c>
      <c r="C9" s="1480">
        <f>SUMIF(修正!C59:C119,C8,修正!E59:E119)</f>
        <v>0</v>
      </c>
      <c r="D9" s="334" t="s">
        <v>1055</v>
      </c>
      <c r="E9" s="334" t="e">
        <f>ROUND(C11/E7,4)</f>
        <v>#DIV/0!</v>
      </c>
      <c r="F9" s="1477" t="s">
        <v>1720</v>
      </c>
      <c r="G9" s="1478"/>
      <c r="H9" s="1478"/>
      <c r="I9" s="1478"/>
      <c r="J9" s="1479"/>
      <c r="L9" s="1713" t="s">
        <v>1465</v>
      </c>
      <c r="M9" s="1931">
        <f>SUMPRODUCT((区片价!B245:B289=I2)*(区片价!C3:F3=E2)*(区片价!C245:F289))</f>
        <v>0</v>
      </c>
      <c r="N9" s="1934">
        <f>SUMPRODUCT((因素修正幅度!B245:B289=I2)*(因素修正幅度!C3:F3=E2)*(因素修正幅度!C245:F289))</f>
        <v>0</v>
      </c>
      <c r="O9" s="2240"/>
      <c r="P9" s="2240"/>
      <c r="Q9" s="2240"/>
      <c r="R9" s="2865">
        <v>8</v>
      </c>
      <c r="S9" s="2866"/>
      <c r="T9" s="2865">
        <f t="shared" ca="1" si="0"/>
        <v>0</v>
      </c>
      <c r="U9" s="2866"/>
      <c r="V9" s="2865">
        <f t="shared" ca="1" si="1"/>
        <v>0</v>
      </c>
      <c r="W9" s="3523" t="s">
        <v>2761</v>
      </c>
      <c r="X9" s="2878" t="s">
        <v>2407</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2"/>
      <c r="B10" s="1452" t="s">
        <v>1721</v>
      </c>
      <c r="C10" s="334">
        <f>SUMIF(修正!C59:C119,C8,修正!F59:F119)</f>
        <v>0</v>
      </c>
      <c r="D10" s="334" t="s">
        <v>1056</v>
      </c>
      <c r="E10" s="334" t="e">
        <f>ROUND(C11/E7,4)</f>
        <v>#DIV/0!</v>
      </c>
      <c r="F10" s="1477" t="s">
        <v>1722</v>
      </c>
      <c r="G10" s="1478"/>
      <c r="H10" s="1478"/>
      <c r="I10" s="1478"/>
      <c r="J10" s="1479"/>
      <c r="L10" s="1713" t="s">
        <v>1469</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f t="shared" ca="1" si="0"/>
        <v>0</v>
      </c>
      <c r="U10" s="2866"/>
      <c r="V10" s="2865">
        <f t="shared" ca="1" si="1"/>
        <v>0</v>
      </c>
      <c r="W10" s="352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2"/>
      <c r="B11" s="1481" t="s">
        <v>1723</v>
      </c>
      <c r="C11" s="1482">
        <f>C10/4</f>
        <v>0</v>
      </c>
      <c r="D11" s="1482" t="s">
        <v>1057</v>
      </c>
      <c r="E11" s="1482" t="e">
        <f>ROUND(C11/E7,4)</f>
        <v>#DIV/0!</v>
      </c>
      <c r="F11" s="1483" t="s">
        <v>1724</v>
      </c>
      <c r="G11" s="1484"/>
      <c r="H11" s="1484"/>
      <c r="I11" s="1484"/>
      <c r="J11" s="1485"/>
      <c r="L11" s="1713" t="s">
        <v>1901</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f t="shared" ca="1" si="0"/>
        <v>0</v>
      </c>
      <c r="U11" s="2866"/>
      <c r="V11" s="2865">
        <f t="shared" ca="1" si="1"/>
        <v>0</v>
      </c>
      <c r="W11" s="3523" t="s">
        <v>2762</v>
      </c>
      <c r="X11" s="2882" t="s">
        <v>2759</v>
      </c>
      <c r="Y11" s="2883">
        <f>$G$3</f>
        <v>2.5</v>
      </c>
      <c r="Z11" s="2883">
        <f t="shared" ref="Z11:AJ11" si="3">$G$3</f>
        <v>2.5</v>
      </c>
      <c r="AA11" s="2883">
        <f t="shared" si="3"/>
        <v>2.5</v>
      </c>
      <c r="AB11" s="2883">
        <f t="shared" si="3"/>
        <v>2.5</v>
      </c>
      <c r="AC11" s="2883">
        <f t="shared" si="3"/>
        <v>2.5</v>
      </c>
      <c r="AD11" s="2883">
        <f t="shared" si="3"/>
        <v>2.5</v>
      </c>
      <c r="AE11" s="2883">
        <f t="shared" si="3"/>
        <v>2.5</v>
      </c>
      <c r="AF11" s="2883">
        <f t="shared" si="3"/>
        <v>2.5</v>
      </c>
      <c r="AG11" s="2883">
        <f t="shared" si="3"/>
        <v>2.5</v>
      </c>
      <c r="AH11" s="2883">
        <f t="shared" si="3"/>
        <v>2.5</v>
      </c>
      <c r="AI11" s="2883">
        <f t="shared" si="3"/>
        <v>2.5</v>
      </c>
      <c r="AJ11" s="2883">
        <f t="shared" si="3"/>
        <v>2.5</v>
      </c>
    </row>
    <row r="12" spans="1:36" ht="26.25" thickBot="1">
      <c r="A12" s="3511">
        <f>IF(E2="住宅",2,"")</f>
        <v>2</v>
      </c>
      <c r="B12" s="1486" t="s">
        <v>1725</v>
      </c>
      <c r="C12" s="1470">
        <f>ROUND(C15*D15*E15*F15*G15*H15*I15*J15,4)</f>
        <v>1.4641</v>
      </c>
      <c r="D12" s="1487" t="s">
        <v>1726</v>
      </c>
      <c r="E12" s="1488"/>
      <c r="F12" s="1488"/>
      <c r="G12" s="1489"/>
      <c r="H12" s="1489"/>
      <c r="I12" s="1489"/>
      <c r="J12" s="1490"/>
      <c r="L12" s="1714" t="s">
        <v>1902</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f t="shared" ca="1" si="0"/>
        <v>0</v>
      </c>
      <c r="U12" s="2866"/>
      <c r="V12" s="2865">
        <f t="shared" ca="1" si="1"/>
        <v>0</v>
      </c>
      <c r="W12" s="3523"/>
      <c r="X12" s="2884" t="s">
        <v>2410</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8"/>
      <c r="B13" s="1491" t="s">
        <v>1727</v>
      </c>
      <c r="C13" s="1492" t="s">
        <v>1728</v>
      </c>
      <c r="D13" s="1493" t="s">
        <v>1729</v>
      </c>
      <c r="E13" s="1493" t="s">
        <v>1730</v>
      </c>
      <c r="F13" s="30" t="s">
        <v>1058</v>
      </c>
      <c r="G13" s="1623" t="s">
        <v>1791</v>
      </c>
      <c r="H13" s="1623" t="s">
        <v>1791</v>
      </c>
      <c r="I13" s="1623" t="s">
        <v>1791</v>
      </c>
      <c r="J13" s="1624" t="s">
        <v>1791</v>
      </c>
      <c r="L13" s="2240"/>
      <c r="M13" s="2240"/>
      <c r="N13" s="2240"/>
      <c r="O13" s="2240"/>
      <c r="P13" s="2240"/>
      <c r="Q13" s="2240"/>
      <c r="R13" s="2865">
        <v>12</v>
      </c>
      <c r="S13" s="2866"/>
      <c r="T13" s="2865">
        <f t="shared" ca="1" si="0"/>
        <v>0</v>
      </c>
      <c r="U13" s="2866"/>
      <c r="V13" s="2865">
        <f t="shared" ca="1" si="1"/>
        <v>0</v>
      </c>
      <c r="W13" s="3523"/>
      <c r="X13" s="2884"/>
      <c r="Y13" s="2881">
        <f>(-0.163*(Y12^2)-0.59*Y12+7617)*(10^(-4))/Y11</f>
        <v>0.30468000000000001</v>
      </c>
      <c r="Z13" s="2881">
        <f t="shared" ref="Z13:AJ13" si="5">(-0.163*(Z12^2)-0.59*Z12+7617)*(10^(-4))/Z11</f>
        <v>0.30468000000000001</v>
      </c>
      <c r="AA13" s="2881">
        <f t="shared" si="5"/>
        <v>0.30468000000000001</v>
      </c>
      <c r="AB13" s="2881">
        <f t="shared" si="5"/>
        <v>0.30468000000000001</v>
      </c>
      <c r="AC13" s="2881">
        <f t="shared" si="5"/>
        <v>0.30468000000000001</v>
      </c>
      <c r="AD13" s="2881">
        <f t="shared" si="5"/>
        <v>0.30468000000000001</v>
      </c>
      <c r="AE13" s="2881">
        <f t="shared" si="5"/>
        <v>0.30468000000000001</v>
      </c>
      <c r="AF13" s="2881">
        <f t="shared" si="5"/>
        <v>0.30468000000000001</v>
      </c>
      <c r="AG13" s="2881">
        <f t="shared" si="5"/>
        <v>0.30468000000000001</v>
      </c>
      <c r="AH13" s="2881">
        <f t="shared" si="5"/>
        <v>0.30468000000000001</v>
      </c>
      <c r="AI13" s="2881">
        <f t="shared" si="5"/>
        <v>0.30468000000000001</v>
      </c>
      <c r="AJ13" s="2881">
        <f t="shared" si="5"/>
        <v>0.30468000000000001</v>
      </c>
    </row>
    <row r="14" spans="1:36" ht="15">
      <c r="A14" s="3528"/>
      <c r="B14" s="1494"/>
      <c r="C14" s="1625" t="s">
        <v>150</v>
      </c>
      <c r="D14" s="1293" t="s">
        <v>150</v>
      </c>
      <c r="E14" s="1293" t="s">
        <v>150</v>
      </c>
      <c r="F14" s="1626" t="s">
        <v>2967</v>
      </c>
      <c r="G14" s="1495" t="s">
        <v>1763</v>
      </c>
      <c r="H14" s="1496"/>
      <c r="I14" s="1497"/>
      <c r="J14" s="1498"/>
      <c r="L14" s="2240"/>
      <c r="M14" s="2240"/>
      <c r="N14" s="2240"/>
      <c r="O14" s="2240"/>
      <c r="P14" s="2240"/>
      <c r="Q14" s="2240"/>
      <c r="R14" s="2865">
        <v>13</v>
      </c>
      <c r="S14" s="2866"/>
      <c r="T14" s="2865">
        <f t="shared" ca="1" si="0"/>
        <v>0</v>
      </c>
      <c r="U14" s="2866"/>
      <c r="V14" s="2865">
        <f t="shared" ca="1" si="1"/>
        <v>0</v>
      </c>
      <c r="W14" s="2861"/>
      <c r="X14" s="2861"/>
      <c r="Y14" s="2861"/>
      <c r="Z14" s="2861"/>
      <c r="AA14" s="2861"/>
      <c r="AB14" s="2861"/>
      <c r="AC14" s="2862"/>
      <c r="AD14" s="2863"/>
      <c r="AE14" s="2863"/>
      <c r="AF14" s="2863"/>
      <c r="AG14" s="2863"/>
      <c r="AH14" s="2863"/>
      <c r="AI14" s="2863"/>
      <c r="AJ14" s="2864"/>
    </row>
    <row r="15" spans="1:36" ht="15.75" thickBot="1">
      <c r="A15" s="3529"/>
      <c r="B15" s="1499" t="s">
        <v>1731</v>
      </c>
      <c r="C15" s="367">
        <f>IF(C14="有",1.1,1)</f>
        <v>1.1000000000000001</v>
      </c>
      <c r="D15" s="367">
        <f>IF(D14="有",1.1,1)</f>
        <v>1.1000000000000001</v>
      </c>
      <c r="E15" s="367">
        <f>IF(E14="有",1.1,1)</f>
        <v>1.1000000000000001</v>
      </c>
      <c r="F15" s="367">
        <f>IF(F14="500米范围内",1.2,IF(F14="500-1000米",1.1,1))</f>
        <v>1.1000000000000001</v>
      </c>
      <c r="G15" s="1627">
        <v>1</v>
      </c>
      <c r="H15" s="1627">
        <v>1</v>
      </c>
      <c r="I15" s="1627">
        <v>1</v>
      </c>
      <c r="J15" s="1628">
        <v>1</v>
      </c>
      <c r="L15" s="1533" t="s">
        <v>1753</v>
      </c>
      <c r="M15" s="1534" t="s">
        <v>1754</v>
      </c>
      <c r="N15" s="1534" t="s">
        <v>1755</v>
      </c>
      <c r="O15" s="1534" t="s">
        <v>894</v>
      </c>
      <c r="P15" s="1535" t="s">
        <v>1756</v>
      </c>
      <c r="Q15" s="2240"/>
      <c r="R15" s="2865">
        <v>14</v>
      </c>
      <c r="S15" s="2866"/>
      <c r="T15" s="2865">
        <f t="shared" ca="1" si="0"/>
        <v>0</v>
      </c>
      <c r="U15" s="2866"/>
      <c r="V15" s="2865">
        <f t="shared" ca="1" si="1"/>
        <v>0</v>
      </c>
      <c r="W15" s="2861"/>
      <c r="X15" s="2861"/>
      <c r="Y15" s="2861"/>
      <c r="Z15" s="2861"/>
      <c r="AA15" s="2861"/>
      <c r="AB15" s="2861"/>
      <c r="AC15" s="2862"/>
      <c r="AD15" s="2863"/>
      <c r="AE15" s="2863"/>
      <c r="AF15" s="2863"/>
      <c r="AG15" s="2863"/>
      <c r="AH15" s="2863"/>
      <c r="AI15" s="2863"/>
      <c r="AJ15" s="2864"/>
    </row>
    <row r="16" spans="1:36" ht="24">
      <c r="A16" s="3511">
        <f>IF(E2="办公",2,IF(E2="工业",2,IF(E2="住宅",3,IF(E2="商业",IF(C8="不临58条商业街",2,3)))))</f>
        <v>3</v>
      </c>
      <c r="B16" s="1469" t="s">
        <v>1732</v>
      </c>
      <c r="C16" s="1613">
        <f>ROUND(SUM(G17:J17)/C17,0)</f>
        <v>0</v>
      </c>
      <c r="D16" s="1500" t="s">
        <v>1733</v>
      </c>
      <c r="E16" s="1629"/>
      <c r="F16" s="1630"/>
      <c r="G16" s="1631"/>
      <c r="H16" s="1631"/>
      <c r="I16" s="1631"/>
      <c r="J16" s="1632"/>
      <c r="L16" s="2537" t="s">
        <v>2527</v>
      </c>
      <c r="M16" s="1480">
        <v>0.25</v>
      </c>
      <c r="N16" s="1480">
        <v>0.2</v>
      </c>
      <c r="O16" s="1480">
        <v>0.15</v>
      </c>
      <c r="P16" s="2538">
        <v>0.1</v>
      </c>
      <c r="Q16" s="2539"/>
      <c r="R16" s="2865">
        <v>15</v>
      </c>
      <c r="S16" s="2866"/>
      <c r="T16" s="2865">
        <f t="shared" ca="1" si="0"/>
        <v>0</v>
      </c>
      <c r="U16" s="2866"/>
      <c r="V16" s="2865">
        <f t="shared" ca="1" si="1"/>
        <v>0</v>
      </c>
      <c r="W16" s="2873"/>
      <c r="X16" s="2873"/>
      <c r="Y16" s="2873"/>
      <c r="Z16" s="2873"/>
      <c r="AA16" s="2873"/>
      <c r="AB16" s="2873"/>
      <c r="AC16" s="2874"/>
      <c r="AD16" s="2863"/>
      <c r="AE16" s="2863"/>
      <c r="AF16" s="2863"/>
      <c r="AG16" s="2863"/>
      <c r="AH16" s="2863"/>
      <c r="AI16" s="2863"/>
      <c r="AJ16" s="2864"/>
    </row>
    <row r="17" spans="1:37" ht="13.5" thickBot="1">
      <c r="A17" s="3512"/>
      <c r="B17" s="1501" t="s">
        <v>1734</v>
      </c>
      <c r="C17" s="1502">
        <f>SUMPRODUCT((修正!A2:A5=E2)*(修正!B1:M1=G2)*(修正!B2:M5))</f>
        <v>2.5</v>
      </c>
      <c r="D17" s="1503" t="s">
        <v>1735</v>
      </c>
      <c r="E17" s="1575" t="str">
        <f>IF(OR(G2="八级",G2="九级",G2="十级",G2="十一级",G2="十二级"),"五通一平","七通一平")</f>
        <v>七通一平</v>
      </c>
      <c r="F17" s="1504" t="s">
        <v>1736</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2528</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1737</v>
      </c>
      <c r="B18" s="1507" t="s">
        <v>1738</v>
      </c>
      <c r="C18" s="1508">
        <f>SUMIF(修正!C18:C39,E3,修正!E18:E39)</f>
        <v>1</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1739</v>
      </c>
      <c r="B19" s="1507" t="s">
        <v>1740</v>
      </c>
      <c r="C19" s="1514">
        <f>ROUND(IF(H19="按公示增长率计算",SUMPRODUCT((地价!A3:A19=YEAR(G19)&amp;"-"&amp;ROUNDUP(MONTH(G19)/3,0))*(地价!X2:AB2=E2)*(地价!X3:AB19)),IF(H19="地价指数",M20/M19,(1+I19)^O19)),4)</f>
        <v>1.3962000000000001</v>
      </c>
      <c r="D19" s="1515" t="s">
        <v>1059</v>
      </c>
      <c r="E19" s="1516">
        <v>41640</v>
      </c>
      <c r="F19" s="1515" t="s">
        <v>1060</v>
      </c>
      <c r="G19" s="1517">
        <f>'数据-取费表'!B2</f>
        <v>42934</v>
      </c>
      <c r="H19" s="2783" t="s">
        <v>2968</v>
      </c>
      <c r="I19" s="1518" t="str">
        <f>IF(H19="季度增幅（自定义）",SUMIF(N21:N24,E2,O21:O24),"")</f>
        <v/>
      </c>
      <c r="J19" s="1513"/>
      <c r="K19" s="2243"/>
      <c r="L19" s="3011" t="s">
        <v>2811</v>
      </c>
      <c r="M19" s="3012">
        <f>ROUND(SUMIF(地价!B2:F2,E2,地价!B19:F19),0)</f>
        <v>423</v>
      </c>
      <c r="N19" s="2543" t="s">
        <v>2529</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1741</v>
      </c>
      <c r="B20" s="1577" t="s">
        <v>1742</v>
      </c>
      <c r="C20" s="1521">
        <f ca="1">ROUND(POWER(1+G20,J20-I20)*(POWER(1+G20,I20)-1)/(POWER(1+G20,J20)-1),4)</f>
        <v>1</v>
      </c>
      <c r="D20" s="1578" t="s">
        <v>1743</v>
      </c>
      <c r="E20" s="3058">
        <f ca="1">存贷款利率!D4/100</f>
        <v>4.3499999999999997E-2</v>
      </c>
      <c r="F20" s="1578" t="s">
        <v>1744</v>
      </c>
      <c r="G20" s="1579">
        <f ca="1">SUMIF(M15:P15,E2,M17:P17)</f>
        <v>0.05</v>
      </c>
      <c r="H20" s="1578" t="s">
        <v>1745</v>
      </c>
      <c r="I20" s="1580">
        <f>'数据-取费表'!B13</f>
        <v>70</v>
      </c>
      <c r="J20" s="1581">
        <f>IF(E2="住宅",70,IF(E2="商业",40,50))</f>
        <v>70</v>
      </c>
      <c r="K20" s="2243"/>
      <c r="L20" s="3013" t="s">
        <v>2812</v>
      </c>
      <c r="M20" s="3014">
        <f>ROUND(SUMPRODUCT((地价!A4:A19=YEAR(G19)&amp;"-"&amp;ROUNDUP(MONTH(G19)/3,0))*(地价!B2:F2=E2)*(地价!B4:F19)),0)</f>
        <v>0</v>
      </c>
      <c r="N20" s="2784" t="s">
        <v>2658</v>
      </c>
      <c r="O20" s="2785" t="s">
        <v>2659</v>
      </c>
      <c r="P20" s="2786" t="s">
        <v>2666</v>
      </c>
      <c r="R20" s="2240"/>
      <c r="S20" s="2240"/>
      <c r="T20" s="2240"/>
      <c r="U20" s="2240"/>
      <c r="V20" s="2240"/>
      <c r="W20" s="2240"/>
      <c r="X20" s="2240"/>
      <c r="Y20" s="2240"/>
      <c r="Z20" s="2240"/>
      <c r="AA20" s="2240"/>
      <c r="AB20" s="2240"/>
      <c r="AC20" s="2240"/>
      <c r="AD20" s="2240"/>
      <c r="AE20" s="2243"/>
      <c r="AF20" s="2243"/>
    </row>
    <row r="21" spans="1:37" s="1461" customFormat="1" ht="14.25">
      <c r="A21" s="1582" t="s">
        <v>1746</v>
      </c>
      <c r="B21" s="1633" t="s">
        <v>1072</v>
      </c>
      <c r="C21" s="1583">
        <f>IF(B21="容积率修正",IF(G3&lt;=10,D22,J22),C23)</f>
        <v>1</v>
      </c>
      <c r="D21" s="1584"/>
      <c r="E21" s="1584"/>
      <c r="F21" s="1584"/>
      <c r="G21" s="1584"/>
      <c r="H21" s="1584"/>
      <c r="I21" s="1584"/>
      <c r="J21" s="1585"/>
      <c r="K21" s="2243"/>
      <c r="N21" s="2787" t="s">
        <v>2660</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1747</v>
      </c>
      <c r="C22" s="1615" t="s">
        <v>1761</v>
      </c>
      <c r="D22" s="1615">
        <f>IF(E22=G22,F22,IF(G3&lt;=10,ROUND(F22+(H22-F22)*(G3-E22)/(G22-E22),4),"——"))</f>
        <v>1</v>
      </c>
      <c r="E22" s="1451">
        <f>ROUNDDOWN(G3,1)</f>
        <v>2.5</v>
      </c>
      <c r="F22" s="16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5" t="s">
        <v>1074</v>
      </c>
      <c r="J22" s="1586" t="str">
        <f>IF(G3&gt;10,D113,"——")</f>
        <v>——</v>
      </c>
      <c r="K22" s="2243"/>
      <c r="N22" s="2787" t="s">
        <v>2661</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1748</v>
      </c>
      <c r="C23" s="1524">
        <f>ROUND(IF(G3&gt;1,IF(I3&lt;7,SUMPRODUCT((B93:B98=I3)*(C92:N92=G2)*(C93:N98)),SUMIF(C92:N92,G2,C100:N100)),IF(I3&lt;7,SUMPRODUCT((B102:B107=I3)*(C92:N92=G2)*(C102:N107)),SUMIF(C92:N92,G2,C109:N109))),4)</f>
        <v>0.7571</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1749</v>
      </c>
      <c r="B24" s="1589" t="s">
        <v>1750</v>
      </c>
      <c r="C24" s="1590">
        <f>SUMIF(A46:A88,E2,B46:B88)</f>
        <v>1.0525</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1751</v>
      </c>
      <c r="B25" s="1530" t="s">
        <v>1752</v>
      </c>
      <c r="C25" s="1531"/>
      <c r="D25" s="1473"/>
      <c r="E25" s="1473"/>
      <c r="F25" s="1532"/>
      <c r="G25" s="1473"/>
      <c r="H25" s="1473"/>
      <c r="I25" s="1473"/>
      <c r="J25" s="1474"/>
      <c r="L25" s="2240"/>
      <c r="M25" s="2240"/>
      <c r="N25" s="2793" t="s">
        <v>2662</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1788</v>
      </c>
      <c r="C26" s="340">
        <f ca="1">E29+SUM(E33:E39)</f>
        <v>2610027</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1789</v>
      </c>
      <c r="C27" s="1541" t="e">
        <f ca="1">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1787</v>
      </c>
      <c r="C28" s="1547" t="s">
        <v>1757</v>
      </c>
      <c r="D28" s="1547" t="s">
        <v>1778</v>
      </c>
      <c r="E28" s="1548" t="s">
        <v>1779</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1782</v>
      </c>
      <c r="C29" s="340">
        <f ca="1">ROUND(C5*C18*C19*C20*C21*C24,0)</f>
        <v>45935</v>
      </c>
      <c r="D29" s="1573">
        <f>项目基本情况!C12</f>
        <v>56.82</v>
      </c>
      <c r="E29" s="1617">
        <f ca="1">ROUND(C29*D29,0)</f>
        <v>2610027</v>
      </c>
      <c r="F29" s="1551" t="s">
        <v>1758</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1783</v>
      </c>
      <c r="C30" s="367">
        <f ca="1">ROUND(IF(E2="工业",C29*M39,C29*M38),0)</f>
        <v>11484</v>
      </c>
      <c r="D30" s="1574"/>
      <c r="E30" s="1617">
        <f ca="1">ROUND(C30*D30,0)</f>
        <v>0</v>
      </c>
      <c r="F30" s="1556" t="s">
        <v>1780</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1784</v>
      </c>
      <c r="C31" s="1561" t="s">
        <v>1785</v>
      </c>
      <c r="D31" s="1489"/>
      <c r="E31" s="1561"/>
      <c r="F31" s="1561"/>
      <c r="G31" s="1487" t="s">
        <v>1786</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1757</v>
      </c>
      <c r="D32" s="118" t="s">
        <v>1778</v>
      </c>
      <c r="E32" s="118" t="s">
        <v>1779</v>
      </c>
      <c r="F32" s="1564" t="s">
        <v>1760</v>
      </c>
      <c r="G32" s="1522" t="s">
        <v>1757</v>
      </c>
      <c r="H32" s="1522" t="s">
        <v>1778</v>
      </c>
      <c r="I32" s="1522" t="s">
        <v>1779</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1076</v>
      </c>
      <c r="C33" s="340">
        <f ca="1">ROUND(C5*C19*C20*C24*F33,0)</f>
        <v>36748</v>
      </c>
      <c r="D33" s="1573"/>
      <c r="E33" s="334">
        <f t="shared" ref="E33:E39" ca="1" si="6">ROUND(C33*D33,0)</f>
        <v>0</v>
      </c>
      <c r="F33" s="334">
        <f>SUMIF(修正!A45:A56,G2,修正!B45:B56)</f>
        <v>0.8</v>
      </c>
      <c r="G33" s="334">
        <f t="shared" ref="G33:G39" ca="1" si="7">ROUND(IF(E2="工业",C33*$M$39,C33*$M$38),0)</f>
        <v>9187</v>
      </c>
      <c r="H33" s="334">
        <f>D33</f>
        <v>0</v>
      </c>
      <c r="I33" s="334">
        <f t="shared" ref="I33:I39" ca="1" si="8">ROUND(G33*H33,0)</f>
        <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1077</v>
      </c>
      <c r="C34" s="340">
        <f ca="1">ROUND(C5*C19*C20*C24*F34,0)</f>
        <v>22968</v>
      </c>
      <c r="D34" s="1573"/>
      <c r="E34" s="334">
        <f t="shared" ca="1" si="6"/>
        <v>0</v>
      </c>
      <c r="F34" s="334">
        <f>SUMIF(修正!A45:A56,G2,修正!C45:C56)</f>
        <v>0.5</v>
      </c>
      <c r="G34" s="334">
        <f t="shared" ca="1" si="7"/>
        <v>5742</v>
      </c>
      <c r="H34" s="334">
        <f t="shared" ref="H34:H39" si="9">D34</f>
        <v>0</v>
      </c>
      <c r="I34" s="334">
        <f t="shared" ca="1" si="8"/>
        <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1078</v>
      </c>
      <c r="C35" s="340">
        <f ca="1">ROUND(C5*C19*C20*C24*F35,0)</f>
        <v>16537</v>
      </c>
      <c r="D35" s="1573"/>
      <c r="E35" s="334">
        <f t="shared" ca="1" si="6"/>
        <v>0</v>
      </c>
      <c r="F35" s="334">
        <f>SUMIF(修正!A45:A56,G2,修正!D45:D56)</f>
        <v>0.36</v>
      </c>
      <c r="G35" s="334">
        <f t="shared" ca="1" si="7"/>
        <v>4134</v>
      </c>
      <c r="H35" s="334">
        <f t="shared" si="9"/>
        <v>0</v>
      </c>
      <c r="I35" s="334">
        <f t="shared" ca="1" si="8"/>
        <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1079</v>
      </c>
      <c r="C36" s="340">
        <f ca="1">ROUND(C5*C19*C20*C24*F36,0)</f>
        <v>13781</v>
      </c>
      <c r="D36" s="1573"/>
      <c r="E36" s="334">
        <f t="shared" ca="1" si="6"/>
        <v>0</v>
      </c>
      <c r="F36" s="334">
        <f>SUMIF(修正!A45:A56,G2,修正!E45:E56)</f>
        <v>0.3</v>
      </c>
      <c r="G36" s="334">
        <f t="shared" ca="1" si="7"/>
        <v>3445</v>
      </c>
      <c r="H36" s="334">
        <f t="shared" si="9"/>
        <v>0</v>
      </c>
      <c r="I36" s="334">
        <f t="shared" ca="1" si="8"/>
        <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1080</v>
      </c>
      <c r="C37" s="334">
        <f ca="1">ROUND(C5*C19*C20*C24*F37,0)</f>
        <v>13781</v>
      </c>
      <c r="D37" s="1573"/>
      <c r="E37" s="334">
        <f t="shared" ca="1" si="6"/>
        <v>0</v>
      </c>
      <c r="F37" s="340">
        <f>SUMIF(修正!A45:A56,G2,修正!F45:F56)</f>
        <v>0.3</v>
      </c>
      <c r="G37" s="334">
        <f t="shared" ca="1" si="7"/>
        <v>3445</v>
      </c>
      <c r="H37" s="334">
        <f t="shared" si="9"/>
        <v>0</v>
      </c>
      <c r="I37" s="334">
        <f t="shared" ca="1" si="8"/>
        <v>0</v>
      </c>
      <c r="J37" s="1568"/>
      <c r="L37" s="1595" t="s">
        <v>1781</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1081</v>
      </c>
      <c r="C38" s="334">
        <f ca="1">ROUND(C5*C19*C20*C24*F38,0)</f>
        <v>13781</v>
      </c>
      <c r="D38" s="1573"/>
      <c r="E38" s="334">
        <f t="shared" ca="1" si="6"/>
        <v>0</v>
      </c>
      <c r="F38" s="340">
        <f>SUMIF(修正!A45:A56,G2,修正!G45:G56)</f>
        <v>0.3</v>
      </c>
      <c r="G38" s="334">
        <f t="shared" ca="1" si="7"/>
        <v>3445</v>
      </c>
      <c r="H38" s="334">
        <f t="shared" si="9"/>
        <v>0</v>
      </c>
      <c r="I38" s="334">
        <f t="shared" ca="1" si="8"/>
        <v>0</v>
      </c>
      <c r="J38" s="1568"/>
      <c r="L38" s="1596" t="s">
        <v>1759</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1082</v>
      </c>
      <c r="C39" s="367">
        <f ca="1">ROUND(C5*C19*C20*C24*F39,0)</f>
        <v>11484</v>
      </c>
      <c r="D39" s="1574"/>
      <c r="E39" s="367">
        <f t="shared" ca="1" si="6"/>
        <v>0</v>
      </c>
      <c r="F39" s="1570">
        <f>SUMIF(修正!A45:A56,G2,修正!H45:H56)</f>
        <v>0.25</v>
      </c>
      <c r="G39" s="367" t="e">
        <f t="shared" si="7"/>
        <v>#DIV/0!</v>
      </c>
      <c r="H39" s="367">
        <f t="shared" si="9"/>
        <v>0</v>
      </c>
      <c r="I39" s="367" t="e">
        <f t="shared" si="8"/>
        <v>#DIV/0!</v>
      </c>
      <c r="J39" s="1571"/>
      <c r="L39" s="1598" t="s">
        <v>1756</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1073</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1687</v>
      </c>
      <c r="B47" s="1307" t="s">
        <v>1688</v>
      </c>
      <c r="C47" s="1308" t="s">
        <v>1689</v>
      </c>
      <c r="D47" s="1309" t="s">
        <v>1772</v>
      </c>
      <c r="E47" s="1310" t="s">
        <v>1774</v>
      </c>
      <c r="F47" s="1311" t="s">
        <v>2176</v>
      </c>
      <c r="G47" s="1309" t="s">
        <v>1767</v>
      </c>
      <c r="H47" s="2413" t="s">
        <v>2388</v>
      </c>
      <c r="I47" s="1309" t="s">
        <v>1773</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36">
      <c r="A48" s="1306" t="s">
        <v>1690</v>
      </c>
      <c r="B48" s="1312" t="str">
        <f>估价对象房地状况!C16</f>
        <v>估价对象位于XX商圈，周边商业氛围成熟，人流量大，商业繁华度好</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96">
      <c r="A49" s="1306" t="s">
        <v>1692</v>
      </c>
      <c r="B49" s="1317" t="str">
        <f>估价对象房地状况!C18</f>
        <v>以估价对象为圆心，半径1公里内有75、95、112、115、411路等10余条公共线路及地铁6号线（青年路站）、八通线（四惠东站）、小区内有地下车库，综合评价交通便捷度较好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1693</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1694</v>
      </c>
      <c r="B51" s="3059"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1695</v>
      </c>
      <c r="B52" s="1317" t="str">
        <f>估价对象房地状况!C24</f>
        <v>城市主干道——朝阳路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1696</v>
      </c>
      <c r="B53" s="3060"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1697</v>
      </c>
      <c r="B54" s="2409" t="str">
        <f>估价对象房地状况!C21</f>
        <v>较好——有餐饮、医院、超市、学校等</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1698</v>
      </c>
      <c r="B55" s="1317" t="str">
        <f>估价对象房地状况!C22</f>
        <v>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48.75" thickBot="1">
      <c r="A56" s="1321" t="s">
        <v>1699</v>
      </c>
      <c r="B56" s="1322" t="str">
        <f>估价对象房地状况!C20</f>
        <v>区域自然环境：兴隆公园、通惠河；人文环境：中国紫檀博物馆；综合评价环境状况较好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1075</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1687</v>
      </c>
      <c r="B58" s="1317"/>
      <c r="C58" s="1308" t="s">
        <v>1689</v>
      </c>
      <c r="D58" s="1309" t="s">
        <v>1769</v>
      </c>
      <c r="E58" s="1310" t="s">
        <v>1771</v>
      </c>
      <c r="F58" s="1311" t="s">
        <v>2176</v>
      </c>
      <c r="G58" s="1309" t="s">
        <v>1767</v>
      </c>
      <c r="H58" s="2413" t="s">
        <v>2389</v>
      </c>
      <c r="I58" s="1309" t="s">
        <v>1770</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36">
      <c r="A59" s="1306" t="s">
        <v>1700</v>
      </c>
      <c r="B59" s="1312" t="str">
        <f>估价对象房地状况!C17</f>
        <v>估价对象位于XX商圈，周边办公楼项目较多，入驻率高，办公集聚程度较好</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96">
      <c r="A60" s="1306" t="s">
        <v>1692</v>
      </c>
      <c r="B60" s="1317" t="str">
        <f>估价对象房地状况!C18</f>
        <v>以估价对象为圆心，半径1公里内有75、95、112、115、411路等10余条公共线路及地铁6号线（青年路站）、八通线（四惠东站）、小区内有地下车库，综合评价交通便捷度较好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1693</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1694</v>
      </c>
      <c r="B62" s="3059"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1695</v>
      </c>
      <c r="B63" s="1317" t="str">
        <f>估价对象房地状况!C24</f>
        <v>城市主干道——朝阳路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1696</v>
      </c>
      <c r="B64" s="3060"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1697</v>
      </c>
      <c r="B65" s="2409" t="str">
        <f>估价对象房地状况!C21</f>
        <v>较好——有餐饮、医院、超市、学校等</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1698</v>
      </c>
      <c r="B66" s="2409" t="str">
        <f>估价对象房地状况!C22</f>
        <v>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48.75" thickBot="1">
      <c r="A67" s="1321" t="s">
        <v>1699</v>
      </c>
      <c r="B67" s="1325" t="str">
        <f>估价对象房地状况!C20</f>
        <v>区域自然环境：兴隆公园、通惠河；人文环境：中国紫檀博物馆；综合评价环境状况较好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1762</v>
      </c>
      <c r="B68" s="2410">
        <f>1+E70</f>
        <v>1.0525</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1687</v>
      </c>
      <c r="B69" s="1317"/>
      <c r="C69" s="1308" t="s">
        <v>1689</v>
      </c>
      <c r="D69" s="1309" t="s">
        <v>1769</v>
      </c>
      <c r="E69" s="1310" t="s">
        <v>1771</v>
      </c>
      <c r="F69" s="1311" t="s">
        <v>2176</v>
      </c>
      <c r="G69" s="1309" t="s">
        <v>1767</v>
      </c>
      <c r="H69" s="2413" t="s">
        <v>2389</v>
      </c>
      <c r="I69" s="1309" t="s">
        <v>1770</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1701</v>
      </c>
      <c r="B70" s="1312" t="str">
        <f>估价对象房地状况!C15</f>
        <v>估价对象周边有朝阳园、丽景馨居、青年汇佳园、爱这城等居住小区，社区发展完善程度较好，综合评价居住社区成熟度较好</v>
      </c>
      <c r="C70" s="3134" t="s">
        <v>101</v>
      </c>
      <c r="D70" s="2414">
        <f t="shared" ref="D70:D78" si="20">SUMIF($J$69:$N$69,C70,J70:N70)</f>
        <v>1.2E-2</v>
      </c>
      <c r="E70" s="1315">
        <f>ROUND(SUM(D70:D78),4)</f>
        <v>5.2499999999999998E-2</v>
      </c>
      <c r="F70" s="1316">
        <f>IF(E2="住宅",SUMIF(L1:L12,G2,N1:N12),"——")</f>
        <v>8.6999999999999994E-2</v>
      </c>
      <c r="G70" s="2415">
        <v>6.0000000000000001E-3</v>
      </c>
      <c r="H70" s="2435">
        <f t="shared" ref="H70:H78" si="21">IFERROR(ROUNDDOWN($F$70*I70/2,4),"——")</f>
        <v>6.0000000000000001E-3</v>
      </c>
      <c r="I70" s="1314">
        <v>0.14000000000000001</v>
      </c>
      <c r="J70" s="2416">
        <f t="shared" ref="J70:J78" si="22">K70+$G70</f>
        <v>1.2E-2</v>
      </c>
      <c r="K70" s="2416">
        <f t="shared" ref="K70:K78" si="23">$L70+$G70</f>
        <v>6.0000000000000001E-3</v>
      </c>
      <c r="L70" s="2416">
        <v>0</v>
      </c>
      <c r="M70" s="2416">
        <f t="shared" ref="M70:N78" si="24">L70-$G70</f>
        <v>-6.0000000000000001E-3</v>
      </c>
      <c r="N70" s="2416">
        <f t="shared" si="24"/>
        <v>-1.2E-2</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96">
      <c r="A71" s="1306" t="s">
        <v>1692</v>
      </c>
      <c r="B71" s="1317" t="str">
        <f>估价对象房地状况!C18</f>
        <v>以估价对象为圆心，半径1公里内有75、95、112、115、411路等10余条公共线路及地铁6号线（青年路站）、八通线（四惠东站）、小区内有地下车库，综合评价交通便捷度较好</v>
      </c>
      <c r="C71" s="1293" t="s">
        <v>102</v>
      </c>
      <c r="D71" s="2414">
        <f t="shared" si="20"/>
        <v>1.2999999999999999E-2</v>
      </c>
      <c r="E71" s="1326"/>
      <c r="F71" s="2419"/>
      <c r="G71" s="2415">
        <v>1.2999999999999999E-2</v>
      </c>
      <c r="H71" s="2435">
        <f t="shared" si="21"/>
        <v>1.2999999999999999E-2</v>
      </c>
      <c r="I71" s="1314">
        <v>0.3</v>
      </c>
      <c r="J71" s="2416">
        <f t="shared" si="22"/>
        <v>2.5999999999999999E-2</v>
      </c>
      <c r="K71" s="2416">
        <f t="shared" si="23"/>
        <v>1.2999999999999999E-2</v>
      </c>
      <c r="L71" s="2416">
        <v>0</v>
      </c>
      <c r="M71" s="2416">
        <f t="shared" si="24"/>
        <v>-1.2999999999999999E-2</v>
      </c>
      <c r="N71" s="2416">
        <f t="shared" si="24"/>
        <v>-2.5999999999999999E-2</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1693</v>
      </c>
      <c r="B72" s="1317">
        <f>估价对象房地状况!C19</f>
        <v>0</v>
      </c>
      <c r="C72" s="1293" t="s">
        <v>102</v>
      </c>
      <c r="D72" s="2414">
        <f t="shared" si="20"/>
        <v>3.3999999999999998E-3</v>
      </c>
      <c r="E72" s="1326"/>
      <c r="F72" s="2419"/>
      <c r="G72" s="2415">
        <v>3.3999999999999998E-3</v>
      </c>
      <c r="H72" s="2435">
        <f t="shared" si="21"/>
        <v>3.3999999999999998E-3</v>
      </c>
      <c r="I72" s="1314">
        <v>0.08</v>
      </c>
      <c r="J72" s="2416">
        <f t="shared" si="22"/>
        <v>6.7999999999999996E-3</v>
      </c>
      <c r="K72" s="2416">
        <f t="shared" si="23"/>
        <v>3.3999999999999998E-3</v>
      </c>
      <c r="L72" s="2416">
        <v>0</v>
      </c>
      <c r="M72" s="2416">
        <f t="shared" si="24"/>
        <v>-3.3999999999999998E-3</v>
      </c>
      <c r="N72" s="2416">
        <f t="shared" si="24"/>
        <v>-6.7999999999999996E-3</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1702</v>
      </c>
      <c r="B73" s="1317" t="str">
        <f>估价对象房地状况!C24</f>
        <v>城市主干道——朝阳路</v>
      </c>
      <c r="C73" s="1293" t="s">
        <v>114</v>
      </c>
      <c r="D73" s="2414">
        <f t="shared" si="20"/>
        <v>-1.6999999999999999E-3</v>
      </c>
      <c r="E73" s="1326"/>
      <c r="F73" s="2419"/>
      <c r="G73" s="2415">
        <v>1.6999999999999999E-3</v>
      </c>
      <c r="H73" s="2435">
        <f t="shared" si="21"/>
        <v>1.6999999999999999E-3</v>
      </c>
      <c r="I73" s="1314">
        <v>0.04</v>
      </c>
      <c r="J73" s="2416">
        <f t="shared" si="22"/>
        <v>3.3999999999999998E-3</v>
      </c>
      <c r="K73" s="2416">
        <f t="shared" si="23"/>
        <v>1.6999999999999999E-3</v>
      </c>
      <c r="L73" s="2416">
        <v>0</v>
      </c>
      <c r="M73" s="2416">
        <f t="shared" si="24"/>
        <v>-1.6999999999999999E-3</v>
      </c>
      <c r="N73" s="2416">
        <f t="shared" si="24"/>
        <v>-3.3999999999999998E-3</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1697</v>
      </c>
      <c r="B74" s="2409" t="str">
        <f>估价对象房地状况!C21</f>
        <v>较好——有餐饮、医院、超市、学校等</v>
      </c>
      <c r="C74" s="3134" t="s">
        <v>101</v>
      </c>
      <c r="D74" s="2414">
        <f t="shared" si="20"/>
        <v>6.7999999999999996E-3</v>
      </c>
      <c r="E74" s="1326"/>
      <c r="F74" s="2419"/>
      <c r="G74" s="2415">
        <v>3.3999999999999998E-3</v>
      </c>
      <c r="H74" s="2435">
        <f t="shared" si="21"/>
        <v>3.3999999999999998E-3</v>
      </c>
      <c r="I74" s="1314">
        <v>0.08</v>
      </c>
      <c r="J74" s="2416">
        <f t="shared" si="22"/>
        <v>6.7999999999999996E-3</v>
      </c>
      <c r="K74" s="2416">
        <f t="shared" si="23"/>
        <v>3.3999999999999998E-3</v>
      </c>
      <c r="L74" s="2416">
        <v>0</v>
      </c>
      <c r="M74" s="2416">
        <f t="shared" si="24"/>
        <v>-3.3999999999999998E-3</v>
      </c>
      <c r="N74" s="2416">
        <f t="shared" si="24"/>
        <v>-6.7999999999999996E-3</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1698</v>
      </c>
      <c r="B75" s="2409" t="str">
        <f>估价对象房地状况!C22</f>
        <v>七通</v>
      </c>
      <c r="C75" s="1293" t="s">
        <v>101</v>
      </c>
      <c r="D75" s="2414">
        <f t="shared" si="20"/>
        <v>1.04E-2</v>
      </c>
      <c r="E75" s="1326"/>
      <c r="F75" s="2419"/>
      <c r="G75" s="2415">
        <v>5.1999999999999998E-3</v>
      </c>
      <c r="H75" s="2435">
        <f t="shared" si="21"/>
        <v>5.1999999999999998E-3</v>
      </c>
      <c r="I75" s="1314">
        <v>0.12</v>
      </c>
      <c r="J75" s="2416">
        <f t="shared" si="22"/>
        <v>1.04E-2</v>
      </c>
      <c r="K75" s="2416">
        <f t="shared" si="23"/>
        <v>5.1999999999999998E-3</v>
      </c>
      <c r="L75" s="2416">
        <v>0</v>
      </c>
      <c r="M75" s="2416">
        <f t="shared" si="24"/>
        <v>-5.1999999999999998E-3</v>
      </c>
      <c r="N75" s="2416">
        <f t="shared" si="24"/>
        <v>-1.04E-2</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1696</v>
      </c>
      <c r="B76" s="3060" t="s">
        <v>2888</v>
      </c>
      <c r="C76" s="1293" t="s">
        <v>102</v>
      </c>
      <c r="D76" s="2414">
        <f t="shared" si="20"/>
        <v>2.0999999999999999E-3</v>
      </c>
      <c r="E76" s="1326"/>
      <c r="F76" s="2419"/>
      <c r="G76" s="2415">
        <v>2.0999999999999999E-3</v>
      </c>
      <c r="H76" s="2435">
        <f t="shared" si="21"/>
        <v>2.0999999999999999E-3</v>
      </c>
      <c r="I76" s="1314">
        <v>0.05</v>
      </c>
      <c r="J76" s="2416">
        <f t="shared" si="22"/>
        <v>4.1999999999999997E-3</v>
      </c>
      <c r="K76" s="2416">
        <f t="shared" si="23"/>
        <v>2.0999999999999999E-3</v>
      </c>
      <c r="L76" s="2416">
        <v>0</v>
      </c>
      <c r="M76" s="2416">
        <f t="shared" si="24"/>
        <v>-2.0999999999999999E-3</v>
      </c>
      <c r="N76" s="2416">
        <f t="shared" si="24"/>
        <v>-4.1999999999999997E-3</v>
      </c>
      <c r="Z76" s="1448"/>
      <c r="AA76" s="1447"/>
      <c r="AG76" s="1446"/>
      <c r="AK76" s="1447"/>
    </row>
    <row r="77" spans="1:37" ht="48">
      <c r="A77" s="1306" t="s">
        <v>1699</v>
      </c>
      <c r="B77" s="1312" t="str">
        <f>估价对象房地状况!C20</f>
        <v>区域自然环境：兴隆公园、通惠河；人文环境：中国紫檀博物馆；综合评价环境状况较好</v>
      </c>
      <c r="C77" s="3134" t="s">
        <v>102</v>
      </c>
      <c r="D77" s="2414">
        <f t="shared" si="20"/>
        <v>6.4999999999999997E-3</v>
      </c>
      <c r="E77" s="1326"/>
      <c r="F77" s="2419"/>
      <c r="G77" s="2415">
        <v>6.4999999999999997E-3</v>
      </c>
      <c r="H77" s="2435">
        <f t="shared" si="21"/>
        <v>6.4999999999999997E-3</v>
      </c>
      <c r="I77" s="1314">
        <v>0.15</v>
      </c>
      <c r="J77" s="2416">
        <f t="shared" si="22"/>
        <v>1.2999999999999999E-2</v>
      </c>
      <c r="K77" s="2416">
        <f t="shared" si="23"/>
        <v>6.4999999999999997E-3</v>
      </c>
      <c r="L77" s="2416">
        <v>0</v>
      </c>
      <c r="M77" s="2416">
        <f t="shared" si="24"/>
        <v>-6.4999999999999997E-3</v>
      </c>
      <c r="N77" s="2416">
        <f t="shared" si="24"/>
        <v>-1.2999999999999999E-2</v>
      </c>
      <c r="Z77" s="1448"/>
      <c r="AA77" s="1447"/>
      <c r="AG77" s="1446"/>
      <c r="AK77" s="1447"/>
    </row>
    <row r="78" spans="1:37" ht="24.75" thickBot="1">
      <c r="A78" s="1321" t="s">
        <v>1703</v>
      </c>
      <c r="B78" s="2412"/>
      <c r="C78" s="1293" t="s">
        <v>103</v>
      </c>
      <c r="D78" s="2414">
        <f t="shared" si="20"/>
        <v>0</v>
      </c>
      <c r="E78" s="1327"/>
      <c r="F78" s="2419"/>
      <c r="G78" s="2415">
        <v>1.6999999999999999E-3</v>
      </c>
      <c r="H78" s="2435">
        <f t="shared" si="21"/>
        <v>1.6999999999999999E-3</v>
      </c>
      <c r="I78" s="1323">
        <v>0.04</v>
      </c>
      <c r="J78" s="2416">
        <f t="shared" si="22"/>
        <v>3.3999999999999998E-3</v>
      </c>
      <c r="K78" s="2416">
        <f t="shared" si="23"/>
        <v>1.6999999999999999E-3</v>
      </c>
      <c r="L78" s="2416">
        <v>0</v>
      </c>
      <c r="M78" s="2416">
        <f t="shared" si="24"/>
        <v>-1.6999999999999999E-3</v>
      </c>
      <c r="N78" s="2416">
        <f t="shared" si="24"/>
        <v>-3.3999999999999998E-3</v>
      </c>
      <c r="Z78" s="1448"/>
      <c r="AA78" s="1447"/>
      <c r="AG78" s="1446"/>
      <c r="AK78" s="1447"/>
    </row>
    <row r="79" spans="1:37" ht="15">
      <c r="A79" s="1300" t="s">
        <v>1113</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2176</v>
      </c>
      <c r="G80" s="1309" t="s">
        <v>1767</v>
      </c>
      <c r="H80" s="2413" t="s">
        <v>2389</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1693</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1702</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1697</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1698</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1696</v>
      </c>
      <c r="B87" s="3060"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1705</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3" t="s">
        <v>2390</v>
      </c>
      <c r="B90" s="3513"/>
      <c r="C90" s="3513"/>
      <c r="D90" s="3513"/>
      <c r="E90" s="3513"/>
      <c r="F90" s="3513"/>
      <c r="G90" s="3513"/>
      <c r="H90" s="3513"/>
      <c r="I90" s="3513"/>
      <c r="J90" s="3513"/>
      <c r="K90" s="2422"/>
      <c r="L90" s="2422"/>
      <c r="M90" s="2422"/>
      <c r="N90" s="2422"/>
    </row>
    <row r="91" spans="1:37">
      <c r="A91" s="3515" t="s">
        <v>2391</v>
      </c>
      <c r="B91" s="3515" t="s">
        <v>2392</v>
      </c>
      <c r="C91" s="1407" t="s">
        <v>2393</v>
      </c>
      <c r="D91" s="1408"/>
      <c r="E91" s="1408"/>
      <c r="F91" s="1408"/>
      <c r="G91" s="1408"/>
      <c r="H91" s="1408"/>
      <c r="I91" s="1408"/>
      <c r="J91" s="1409"/>
      <c r="K91" s="1397"/>
      <c r="L91" s="1397"/>
      <c r="M91" s="1397"/>
      <c r="N91" s="1397"/>
    </row>
    <row r="92" spans="1:37">
      <c r="A92" s="3515"/>
      <c r="B92" s="3515"/>
      <c r="C92" s="2421" t="s">
        <v>2394</v>
      </c>
      <c r="D92" s="2421" t="s">
        <v>2395</v>
      </c>
      <c r="E92" s="2421" t="s">
        <v>2396</v>
      </c>
      <c r="F92" s="2421" t="s">
        <v>2397</v>
      </c>
      <c r="G92" s="2421" t="s">
        <v>2398</v>
      </c>
      <c r="H92" s="2421" t="s">
        <v>2399</v>
      </c>
      <c r="I92" s="2421" t="s">
        <v>2400</v>
      </c>
      <c r="J92" s="2421" t="s">
        <v>2401</v>
      </c>
      <c r="K92" s="2421" t="s">
        <v>2402</v>
      </c>
      <c r="L92" s="2421" t="s">
        <v>2403</v>
      </c>
      <c r="M92" s="2421" t="s">
        <v>2404</v>
      </c>
      <c r="N92" s="2421" t="s">
        <v>2405</v>
      </c>
    </row>
    <row r="93" spans="1:37">
      <c r="A93" s="3516" t="s">
        <v>2406</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7"/>
      <c r="B99" s="1410" t="s">
        <v>2407</v>
      </c>
      <c r="C99" s="1412">
        <f>$I$3</f>
        <v>15</v>
      </c>
      <c r="D99" s="1412">
        <f t="shared" ref="D99:M99" si="30">$I$3</f>
        <v>15</v>
      </c>
      <c r="E99" s="1412">
        <f t="shared" si="30"/>
        <v>15</v>
      </c>
      <c r="F99" s="1412">
        <f t="shared" si="30"/>
        <v>15</v>
      </c>
      <c r="G99" s="1412">
        <f t="shared" si="30"/>
        <v>15</v>
      </c>
      <c r="H99" s="1412">
        <f t="shared" si="30"/>
        <v>15</v>
      </c>
      <c r="I99" s="1412">
        <f t="shared" si="30"/>
        <v>15</v>
      </c>
      <c r="J99" s="1412">
        <f t="shared" si="30"/>
        <v>15</v>
      </c>
      <c r="K99" s="1412">
        <f t="shared" si="30"/>
        <v>15</v>
      </c>
      <c r="L99" s="1412">
        <f t="shared" si="30"/>
        <v>15</v>
      </c>
      <c r="M99" s="1412">
        <f t="shared" si="30"/>
        <v>15</v>
      </c>
      <c r="N99" s="1412">
        <f>$I$3</f>
        <v>15</v>
      </c>
    </row>
    <row r="100" spans="1:14">
      <c r="A100" s="3518"/>
      <c r="B100" s="1410">
        <v>7</v>
      </c>
      <c r="C100" s="1413">
        <f>(-0.163*(C99^2)-0.59*C99+7617)*(10^(-4))</f>
        <v>0.75714750000000008</v>
      </c>
      <c r="D100" s="1413">
        <f>(-0.163*(D99^2)-0.59*D99+7617)*(10^(-4))</f>
        <v>0.75714750000000008</v>
      </c>
      <c r="E100" s="1413">
        <f>(-0.161*(E99^2)-7.509*E99+6533)*(10^(-4))</f>
        <v>0.63841400000000004</v>
      </c>
      <c r="F100" s="1413">
        <f>(-0.161*(F99^2)-7.509*F99+6533)*(10^(-4))</f>
        <v>0.63841400000000004</v>
      </c>
      <c r="G100" s="1413">
        <f>(-0.161*(G99^2)-7.509*G99+6533)*(10^(-4))</f>
        <v>0.63841400000000004</v>
      </c>
      <c r="H100" s="1413">
        <f>(-0.161*(H99^2)-7.509*H99+6533)*(10^(-4))</f>
        <v>0.63841400000000004</v>
      </c>
      <c r="I100" s="1413">
        <f>(-0.161*(I99^2)-7.509*I99+6533)*(10^(-4))</f>
        <v>0.63841400000000004</v>
      </c>
      <c r="J100" s="1413">
        <f>(-0.214*(J99^2)-21.991*J99+4665)*(10^(-4))</f>
        <v>0.42869849999999998</v>
      </c>
      <c r="K100" s="1413">
        <f>(-0.214*(K99^2)-21.991*K99+4665)*(10^(-4))</f>
        <v>0.42869849999999998</v>
      </c>
      <c r="L100" s="1413">
        <f>(-0.214*(L99^2)-21.991*L99+4665)*(10^(-4))</f>
        <v>0.42869849999999998</v>
      </c>
      <c r="M100" s="1413">
        <f>(-0.214*(M99^2)-21.991*M99+4665)*(10^(-4))</f>
        <v>0.42869849999999998</v>
      </c>
      <c r="N100" s="1413">
        <f>(-0.214*(N99^2)-21.991*N99+4665)*(10^(-4))</f>
        <v>0.42869849999999998</v>
      </c>
    </row>
    <row r="101" spans="1:14">
      <c r="A101" s="3516" t="s">
        <v>2408</v>
      </c>
      <c r="B101" s="1414" t="s">
        <v>2409</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17"/>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17"/>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17"/>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17"/>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17"/>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17"/>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17"/>
      <c r="B108" s="3519" t="s">
        <v>2410</v>
      </c>
      <c r="C108" s="1412">
        <f>C99</f>
        <v>15</v>
      </c>
      <c r="D108" s="1412">
        <f t="shared" ref="D108:N108" si="32">D99</f>
        <v>15</v>
      </c>
      <c r="E108" s="1412">
        <f t="shared" si="32"/>
        <v>15</v>
      </c>
      <c r="F108" s="1412">
        <f t="shared" si="32"/>
        <v>15</v>
      </c>
      <c r="G108" s="1412">
        <f t="shared" si="32"/>
        <v>15</v>
      </c>
      <c r="H108" s="1412">
        <f t="shared" si="32"/>
        <v>15</v>
      </c>
      <c r="I108" s="1412">
        <f t="shared" si="32"/>
        <v>15</v>
      </c>
      <c r="J108" s="1412">
        <f t="shared" si="32"/>
        <v>15</v>
      </c>
      <c r="K108" s="1412">
        <f t="shared" si="32"/>
        <v>15</v>
      </c>
      <c r="L108" s="1412">
        <f t="shared" si="32"/>
        <v>15</v>
      </c>
      <c r="M108" s="1412">
        <f t="shared" si="32"/>
        <v>15</v>
      </c>
      <c r="N108" s="1412">
        <f t="shared" si="32"/>
        <v>15</v>
      </c>
    </row>
    <row r="109" spans="1:14">
      <c r="A109" s="3518"/>
      <c r="B109" s="3520"/>
      <c r="C109" s="1413">
        <f>(-0.163*(C108^2)-0.59*C108+7617)*(10^(-4))/C101</f>
        <v>0.30285900000000004</v>
      </c>
      <c r="D109" s="1413">
        <f>(-0.163*(D108^2)-0.59*D108+7617)*(10^(-4))/D101</f>
        <v>0.30285900000000004</v>
      </c>
      <c r="E109" s="1413">
        <f>(-0.161*(E108^2)-7.509*E108+6533)*(10^(-4))/E101</f>
        <v>0.25536560000000003</v>
      </c>
      <c r="F109" s="1413">
        <f>(-0.161*(F108^2)-7.509*F108+6533)*(10^(-4))/F101</f>
        <v>0.25536560000000003</v>
      </c>
      <c r="G109" s="1413">
        <f>(-0.161*(G108^2)-7.509*G108+6533)*(10^(-4))/G101</f>
        <v>0.25536560000000003</v>
      </c>
      <c r="H109" s="1413">
        <f>(-0.161*(H108^2)-7.509*H108+6533)*(10^(-4))/H101</f>
        <v>0.25536560000000003</v>
      </c>
      <c r="I109" s="1413">
        <f>(-0.161*(I108^2)-7.509*I108+6533)*(10^(-4))/I101</f>
        <v>0.25536560000000003</v>
      </c>
      <c r="J109" s="1413">
        <f>(-0.214*(J108^2)-21.991*J108+4665)*(10^(-4))/J101</f>
        <v>0.1714794</v>
      </c>
      <c r="K109" s="1413">
        <f>(-0.214*(K108^2)-21.991*K108+4665)*(10^(-4))/K101</f>
        <v>0.1714794</v>
      </c>
      <c r="L109" s="1413">
        <f>(-0.214*(L108^2)-21.991*L108+4665)*(10^(-4))/L101</f>
        <v>0.1714794</v>
      </c>
      <c r="M109" s="1413">
        <f>(-0.214*(M108^2)-21.991*M108+4665)*(10^(-4))/M101</f>
        <v>0.1714794</v>
      </c>
      <c r="N109" s="1413">
        <f>(-0.214*(N108^2)-21.991*N108+4665)*(10^(-4))/N101</f>
        <v>0.1714794</v>
      </c>
    </row>
    <row r="110" spans="1:14">
      <c r="A110" s="3514" t="s">
        <v>2411</v>
      </c>
      <c r="B110" s="3514"/>
      <c r="C110" s="3514"/>
      <c r="D110" s="3514"/>
      <c r="E110" s="3514"/>
      <c r="F110" s="3514"/>
      <c r="G110" s="3514"/>
      <c r="H110" s="3514"/>
      <c r="I110" s="3514"/>
      <c r="J110" s="3514"/>
      <c r="K110" s="2420"/>
      <c r="L110" s="2420"/>
      <c r="M110" s="2420"/>
      <c r="N110" s="2420"/>
    </row>
    <row r="112" spans="1:14" ht="12.75" thickBot="1"/>
    <row r="113" spans="1:13" ht="25.5" thickBot="1">
      <c r="A113" s="1423" t="s">
        <v>2412</v>
      </c>
      <c r="B113" s="2423">
        <f>G3</f>
        <v>2.5</v>
      </c>
      <c r="C113" s="1424" t="s">
        <v>2413</v>
      </c>
      <c r="D113" s="1425">
        <f>SUMPRODUCT((A115:A118=F113)*(B114:M114=H113)*B115:M118)</f>
        <v>0.86580000000000001</v>
      </c>
      <c r="E113" s="1426" t="s">
        <v>2391</v>
      </c>
      <c r="F113" s="1427" t="str">
        <f>E2</f>
        <v>住宅</v>
      </c>
      <c r="G113" s="1426" t="s">
        <v>2414</v>
      </c>
      <c r="H113" s="1427" t="str">
        <f>G2</f>
        <v>二级</v>
      </c>
      <c r="I113" s="1426"/>
      <c r="J113" s="1418"/>
      <c r="K113" s="1418"/>
      <c r="L113" s="1418"/>
      <c r="M113" s="1418"/>
    </row>
    <row r="114" spans="1:13" ht="12.75">
      <c r="A114" s="1430"/>
      <c r="B114" s="1431" t="s">
        <v>2394</v>
      </c>
      <c r="C114" s="1431" t="s">
        <v>2395</v>
      </c>
      <c r="D114" s="1431" t="s">
        <v>2396</v>
      </c>
      <c r="E114" s="1432" t="s">
        <v>2397</v>
      </c>
      <c r="F114" s="1432" t="s">
        <v>2398</v>
      </c>
      <c r="G114" s="1432" t="s">
        <v>2399</v>
      </c>
      <c r="H114" s="1433" t="s">
        <v>2400</v>
      </c>
      <c r="I114" s="1433" t="s">
        <v>2401</v>
      </c>
      <c r="J114" s="1434" t="s">
        <v>2402</v>
      </c>
      <c r="K114" s="1434" t="s">
        <v>2403</v>
      </c>
      <c r="L114" s="1434" t="s">
        <v>2404</v>
      </c>
      <c r="M114" s="1435" t="s">
        <v>2405</v>
      </c>
    </row>
    <row r="115" spans="1:13" ht="12.75">
      <c r="A115" s="1436" t="s">
        <v>2415</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2416</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2417</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2418</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19" orientation="landscape"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1949</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1951</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估价对象为北京市房地产，为付曰勤所有。根据《不动产权证书》[]，估价对象建筑面积为56.82平方米，（分摊）出让国有建设用地使用权面积为平方米。估价对象用途为。</v>
      </c>
      <c r="B6" s="1758"/>
      <c r="C6" s="1758"/>
      <c r="D6" s="1758"/>
      <c r="E6" s="1758"/>
      <c r="F6" s="1758"/>
      <c r="G6" s="1758"/>
    </row>
    <row r="7" spans="1:7" ht="18.75">
      <c r="A7" s="1753" t="s">
        <v>1952</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1953</v>
      </c>
      <c r="B9" s="1794"/>
    </row>
    <row r="10" spans="1:7" ht="18.75">
      <c r="A10" s="1755" t="str">
        <f>TEXT(项目基本情况!D2,"yyyy年m月d日;;")&amp;IF(项目基本情况!B2=项目基本情况!D2,"（评估专业人员实地查勘之日）","")</f>
        <v>2017年7月18日（评估专业人员实地查勘之日）</v>
      </c>
      <c r="B10" s="1756"/>
      <c r="C10" s="1756"/>
      <c r="D10" s="1756"/>
      <c r="E10" s="1756"/>
      <c r="F10" s="1756"/>
      <c r="G10" s="1756"/>
    </row>
    <row r="11" spans="1:7" ht="18.75">
      <c r="A11" s="1754" t="s">
        <v>1954</v>
      </c>
    </row>
    <row r="12" spans="1:7" ht="75">
      <c r="A12" s="1758" t="s">
        <v>2724</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本次估价的“房地产价值”是指在正常市场情况下，在价值时点2017年7月18日，估价对象规划用途为，假定未设立法定优先受偿款下的房地产市场价值。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2725</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1960</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2018</v>
      </c>
      <c r="B1" s="3530"/>
    </row>
    <row r="2" spans="1:6" ht="14.25" thickBot="1">
      <c r="A2" s="1906"/>
      <c r="B2" s="1906"/>
    </row>
    <row r="3" spans="1:6" ht="14.25" thickBot="1">
      <c r="A3" s="1906"/>
      <c r="B3" s="1906"/>
      <c r="C3" s="1909" t="s">
        <v>2019</v>
      </c>
      <c r="D3" s="1909" t="s">
        <v>2020</v>
      </c>
      <c r="E3" s="1909" t="s">
        <v>2021</v>
      </c>
      <c r="F3" s="1909" t="s">
        <v>2022</v>
      </c>
    </row>
    <row r="4" spans="1:6" ht="14.25" thickBot="1">
      <c r="A4" s="1910" t="s">
        <v>2023</v>
      </c>
      <c r="B4" s="1911" t="s">
        <v>2024</v>
      </c>
      <c r="C4" s="1909"/>
      <c r="D4" s="1909"/>
      <c r="E4" s="1909"/>
      <c r="F4" s="1909"/>
    </row>
    <row r="5" spans="1:6" ht="14.25" thickBot="1">
      <c r="A5" s="1342" t="s">
        <v>2025</v>
      </c>
      <c r="B5" s="1343" t="s">
        <v>2026</v>
      </c>
      <c r="C5" s="1912">
        <v>8.8999999999999996E-2</v>
      </c>
      <c r="D5" s="1912">
        <v>7.3999999999999996E-2</v>
      </c>
      <c r="E5" s="1912">
        <v>7.4999999999999997E-2</v>
      </c>
      <c r="F5" s="1913">
        <v>0.1</v>
      </c>
    </row>
    <row r="6" spans="1:6" ht="14.25" thickBot="1">
      <c r="A6" s="1342" t="s">
        <v>1139</v>
      </c>
      <c r="B6" s="1336" t="s">
        <v>2027</v>
      </c>
      <c r="C6" s="1914">
        <v>0.1</v>
      </c>
      <c r="D6" s="1914">
        <v>9.0999999999999998E-2</v>
      </c>
      <c r="E6" s="1914">
        <v>9.0999999999999998E-2</v>
      </c>
      <c r="F6" s="1915">
        <v>0.1</v>
      </c>
    </row>
    <row r="7" spans="1:6" ht="14.25" thickBot="1">
      <c r="A7" s="1342" t="s">
        <v>1139</v>
      </c>
      <c r="B7" s="1350" t="s">
        <v>1128</v>
      </c>
      <c r="C7" s="1914">
        <v>8.5999999999999993E-2</v>
      </c>
      <c r="D7" s="1914">
        <v>9.6000000000000002E-2</v>
      </c>
      <c r="E7" s="1914">
        <v>7.5999999999999998E-2</v>
      </c>
      <c r="F7" s="1915">
        <v>0.1</v>
      </c>
    </row>
    <row r="8" spans="1:6" ht="14.25" thickBot="1">
      <c r="A8" s="1342" t="s">
        <v>1139</v>
      </c>
      <c r="B8" s="1336" t="s">
        <v>1140</v>
      </c>
      <c r="C8" s="1914">
        <v>9.9000000000000005E-2</v>
      </c>
      <c r="D8" s="1914">
        <v>9.8000000000000004E-2</v>
      </c>
      <c r="E8" s="1914">
        <v>9.8000000000000004E-2</v>
      </c>
      <c r="F8" s="1915">
        <v>0.1</v>
      </c>
    </row>
    <row r="9" spans="1:6" ht="14.25" thickBot="1">
      <c r="A9" s="1359" t="s">
        <v>1139</v>
      </c>
      <c r="B9" s="1351" t="s">
        <v>1152</v>
      </c>
      <c r="C9" s="1916">
        <v>0.05</v>
      </c>
      <c r="D9" s="1917"/>
      <c r="E9" s="1917"/>
      <c r="F9" s="1918"/>
    </row>
    <row r="10" spans="1:6" ht="14.25" thickBot="1">
      <c r="A10" s="1342" t="s">
        <v>1199</v>
      </c>
      <c r="B10" s="1343" t="s">
        <v>2028</v>
      </c>
      <c r="C10" s="1912">
        <v>8.8999999999999996E-2</v>
      </c>
      <c r="D10" s="1912">
        <v>7.2999999999999995E-2</v>
      </c>
      <c r="E10" s="1912">
        <v>8.2000000000000003E-2</v>
      </c>
      <c r="F10" s="1913">
        <v>0.1</v>
      </c>
    </row>
    <row r="11" spans="1:6" ht="14.25" thickBot="1">
      <c r="A11" s="1342" t="s">
        <v>1199</v>
      </c>
      <c r="B11" s="1350" t="s">
        <v>1115</v>
      </c>
      <c r="C11" s="1914">
        <v>8.8999999999999996E-2</v>
      </c>
      <c r="D11" s="1914">
        <v>7.2999999999999995E-2</v>
      </c>
      <c r="E11" s="1914">
        <v>8.2000000000000003E-2</v>
      </c>
      <c r="F11" s="1915">
        <v>0.1</v>
      </c>
    </row>
    <row r="12" spans="1:6" ht="14.25" thickBot="1">
      <c r="A12" s="1342" t="s">
        <v>1199</v>
      </c>
      <c r="B12" s="1350" t="s">
        <v>1050</v>
      </c>
      <c r="C12" s="1914">
        <v>6.0999999999999999E-2</v>
      </c>
      <c r="D12" s="1914">
        <v>7.0999999999999994E-2</v>
      </c>
      <c r="E12" s="1914">
        <v>9.6000000000000002E-2</v>
      </c>
      <c r="F12" s="1915">
        <v>0.1</v>
      </c>
    </row>
    <row r="13" spans="1:6" ht="14.25" thickBot="1">
      <c r="A13" s="1342" t="s">
        <v>1199</v>
      </c>
      <c r="B13" s="1350" t="s">
        <v>1141</v>
      </c>
      <c r="C13" s="1914">
        <v>6.9000000000000006E-2</v>
      </c>
      <c r="D13" s="1914">
        <v>6.5000000000000002E-2</v>
      </c>
      <c r="E13" s="1914">
        <v>6.6000000000000003E-2</v>
      </c>
      <c r="F13" s="1915">
        <v>0.1</v>
      </c>
    </row>
    <row r="14" spans="1:6" ht="14.25" thickBot="1">
      <c r="A14" s="1342" t="s">
        <v>1199</v>
      </c>
      <c r="B14" s="1350" t="s">
        <v>1153</v>
      </c>
      <c r="C14" s="1914">
        <v>0.1</v>
      </c>
      <c r="D14" s="1914">
        <v>6.5000000000000002E-2</v>
      </c>
      <c r="E14" s="1914">
        <v>7.0000000000000007E-2</v>
      </c>
      <c r="F14" s="1915">
        <v>0.1</v>
      </c>
    </row>
    <row r="15" spans="1:6" ht="14.25" thickBot="1">
      <c r="A15" s="1342" t="s">
        <v>1199</v>
      </c>
      <c r="B15" s="1350" t="s">
        <v>1165</v>
      </c>
      <c r="C15" s="1914">
        <v>9.8000000000000004E-2</v>
      </c>
      <c r="D15" s="1914">
        <v>8.8999999999999996E-2</v>
      </c>
      <c r="E15" s="1914">
        <v>8.8999999999999996E-2</v>
      </c>
      <c r="F15" s="1915">
        <v>0.1</v>
      </c>
    </row>
    <row r="16" spans="1:6" ht="14.25" thickBot="1">
      <c r="A16" s="1342" t="s">
        <v>1199</v>
      </c>
      <c r="B16" s="1350" t="s">
        <v>1177</v>
      </c>
      <c r="C16" s="1914">
        <v>7.0000000000000007E-2</v>
      </c>
      <c r="D16" s="1914">
        <v>9.2999999999999999E-2</v>
      </c>
      <c r="E16" s="1914">
        <v>9.6000000000000002E-2</v>
      </c>
      <c r="F16" s="1915">
        <v>0.1</v>
      </c>
    </row>
    <row r="17" spans="1:6" ht="14.25" thickBot="1">
      <c r="A17" s="1342" t="s">
        <v>1199</v>
      </c>
      <c r="B17" s="1350" t="s">
        <v>1189</v>
      </c>
      <c r="C17" s="1914">
        <v>9.5000000000000001E-2</v>
      </c>
      <c r="D17" s="1914">
        <v>0.1</v>
      </c>
      <c r="E17" s="1914">
        <v>0.1</v>
      </c>
      <c r="F17" s="1919"/>
    </row>
    <row r="18" spans="1:6" ht="14.25" thickBot="1">
      <c r="A18" s="1342" t="s">
        <v>1199</v>
      </c>
      <c r="B18" s="1350" t="s">
        <v>1202</v>
      </c>
      <c r="C18" s="1914">
        <v>7.3999999999999996E-2</v>
      </c>
      <c r="D18" s="1914">
        <v>9.9000000000000005E-2</v>
      </c>
      <c r="E18" s="1914">
        <v>0.1</v>
      </c>
      <c r="F18" s="1919"/>
    </row>
    <row r="19" spans="1:6" ht="14.25" thickBot="1">
      <c r="A19" s="1342" t="s">
        <v>1199</v>
      </c>
      <c r="B19" s="1350" t="s">
        <v>1213</v>
      </c>
      <c r="C19" s="1914">
        <v>9.9000000000000005E-2</v>
      </c>
      <c r="D19" s="1914">
        <v>7.5999999999999998E-2</v>
      </c>
      <c r="E19" s="1914">
        <v>8.6999999999999994E-2</v>
      </c>
      <c r="F19" s="1919"/>
    </row>
    <row r="20" spans="1:6" ht="14.25" thickBot="1">
      <c r="A20" s="1342" t="s">
        <v>1199</v>
      </c>
      <c r="B20" s="1350" t="s">
        <v>1224</v>
      </c>
      <c r="C20" s="1914">
        <v>9.8000000000000004E-2</v>
      </c>
      <c r="D20" s="1914">
        <v>8.5000000000000006E-2</v>
      </c>
      <c r="E20" s="1914">
        <v>8.2000000000000003E-2</v>
      </c>
      <c r="F20" s="1919"/>
    </row>
    <row r="21" spans="1:6" ht="14.25" thickBot="1">
      <c r="A21" s="1342" t="s">
        <v>1199</v>
      </c>
      <c r="B21" s="1350" t="s">
        <v>1235</v>
      </c>
      <c r="C21" s="1914">
        <v>6.6000000000000003E-2</v>
      </c>
      <c r="D21" s="1914">
        <v>6.4000000000000001E-2</v>
      </c>
      <c r="E21" s="1914">
        <v>6.5000000000000002E-2</v>
      </c>
      <c r="F21" s="1919"/>
    </row>
    <row r="22" spans="1:6" ht="14.25" thickBot="1">
      <c r="A22" s="1342" t="s">
        <v>1199</v>
      </c>
      <c r="B22" s="1350" t="s">
        <v>2029</v>
      </c>
      <c r="C22" s="1914">
        <v>0.08</v>
      </c>
      <c r="D22" s="1914">
        <v>9.8000000000000004E-2</v>
      </c>
      <c r="E22" s="1914">
        <v>9.8000000000000004E-2</v>
      </c>
      <c r="F22" s="1919"/>
    </row>
    <row r="23" spans="1:6" ht="14.25" thickBot="1">
      <c r="A23" s="1342" t="s">
        <v>1199</v>
      </c>
      <c r="B23" s="1350" t="s">
        <v>1257</v>
      </c>
      <c r="C23" s="1914">
        <v>9.9000000000000005E-2</v>
      </c>
      <c r="D23" s="1914">
        <v>9.8000000000000004E-2</v>
      </c>
      <c r="E23" s="1914">
        <v>9.0999999999999998E-2</v>
      </c>
      <c r="F23" s="1919"/>
    </row>
    <row r="24" spans="1:6" ht="14.25" thickBot="1">
      <c r="A24" s="1342" t="s">
        <v>1199</v>
      </c>
      <c r="B24" s="1350" t="s">
        <v>1268</v>
      </c>
      <c r="C24" s="1914">
        <v>8.8999999999999996E-2</v>
      </c>
      <c r="D24" s="1914">
        <v>9.7000000000000003E-2</v>
      </c>
      <c r="E24" s="1914">
        <v>7.0000000000000007E-2</v>
      </c>
      <c r="F24" s="1919"/>
    </row>
    <row r="25" spans="1:6" ht="14.25" thickBot="1">
      <c r="A25" s="1342" t="s">
        <v>1199</v>
      </c>
      <c r="B25" s="1350" t="s">
        <v>1278</v>
      </c>
      <c r="C25" s="1914">
        <v>8.8999999999999996E-2</v>
      </c>
      <c r="D25" s="1914">
        <v>0.1</v>
      </c>
      <c r="E25" s="1914">
        <v>8.1000000000000003E-2</v>
      </c>
      <c r="F25" s="1919"/>
    </row>
    <row r="26" spans="1:6" ht="14.25" thickBot="1">
      <c r="A26" s="1342" t="s">
        <v>1199</v>
      </c>
      <c r="B26" s="1350" t="s">
        <v>1288</v>
      </c>
      <c r="C26" s="1920"/>
      <c r="D26" s="1914">
        <v>9.6000000000000002E-2</v>
      </c>
      <c r="E26" s="1914">
        <v>9.2999999999999999E-2</v>
      </c>
      <c r="F26" s="1919"/>
    </row>
    <row r="27" spans="1:6" ht="14.25" thickBot="1">
      <c r="A27" s="1342" t="s">
        <v>1199</v>
      </c>
      <c r="B27" s="1350" t="s">
        <v>1298</v>
      </c>
      <c r="C27" s="1920"/>
      <c r="D27" s="1914">
        <v>7.5999999999999998E-2</v>
      </c>
      <c r="E27" s="1914">
        <v>9.1999999999999998E-2</v>
      </c>
      <c r="F27" s="1919"/>
    </row>
    <row r="28" spans="1:6" ht="14.25" thickBot="1">
      <c r="A28" s="1359" t="s">
        <v>1199</v>
      </c>
      <c r="B28" s="1351" t="s">
        <v>1308</v>
      </c>
      <c r="C28" s="1917"/>
      <c r="D28" s="1916">
        <v>7.5999999999999998E-2</v>
      </c>
      <c r="E28" s="1916">
        <v>9.1999999999999998E-2</v>
      </c>
      <c r="F28" s="1918"/>
    </row>
    <row r="29" spans="1:6" ht="14.25" thickBot="1">
      <c r="A29" s="1342" t="s">
        <v>1377</v>
      </c>
      <c r="B29" s="1343" t="s">
        <v>2030</v>
      </c>
      <c r="C29" s="1912">
        <v>6.4000000000000001E-2</v>
      </c>
      <c r="D29" s="1912">
        <v>6.5000000000000002E-2</v>
      </c>
      <c r="E29" s="1912">
        <v>6.9000000000000006E-2</v>
      </c>
      <c r="F29" s="1913">
        <v>0.1</v>
      </c>
    </row>
    <row r="30" spans="1:6" ht="14.25" thickBot="1">
      <c r="A30" s="1342" t="s">
        <v>1377</v>
      </c>
      <c r="B30" s="1350" t="s">
        <v>1116</v>
      </c>
      <c r="C30" s="1914">
        <v>6.4000000000000001E-2</v>
      </c>
      <c r="D30" s="1914">
        <v>9.9000000000000005E-2</v>
      </c>
      <c r="E30" s="1914">
        <v>0.1</v>
      </c>
      <c r="F30" s="1915">
        <v>0.1</v>
      </c>
    </row>
    <row r="31" spans="1:6" ht="14.25" thickBot="1">
      <c r="A31" s="1342" t="s">
        <v>1377</v>
      </c>
      <c r="B31" s="1350" t="s">
        <v>1129</v>
      </c>
      <c r="C31" s="1914">
        <v>0.1</v>
      </c>
      <c r="D31" s="1914">
        <v>9.5000000000000001E-2</v>
      </c>
      <c r="E31" s="1914">
        <v>8.8999999999999996E-2</v>
      </c>
      <c r="F31" s="1915">
        <v>0.1</v>
      </c>
    </row>
    <row r="32" spans="1:6" ht="14.25" thickBot="1">
      <c r="A32" s="1342" t="s">
        <v>1377</v>
      </c>
      <c r="B32" s="1350" t="s">
        <v>1142</v>
      </c>
      <c r="C32" s="1914">
        <v>0.05</v>
      </c>
      <c r="D32" s="1914">
        <v>0.05</v>
      </c>
      <c r="E32" s="1914">
        <v>8.7999999999999995E-2</v>
      </c>
      <c r="F32" s="1915">
        <v>0.1</v>
      </c>
    </row>
    <row r="33" spans="1:6" ht="14.25" thickBot="1">
      <c r="A33" s="1342" t="s">
        <v>1377</v>
      </c>
      <c r="B33" s="1350" t="s">
        <v>1154</v>
      </c>
      <c r="C33" s="1914">
        <v>7.4999999999999997E-2</v>
      </c>
      <c r="D33" s="1914">
        <v>9.4E-2</v>
      </c>
      <c r="E33" s="1914">
        <v>9.7000000000000003E-2</v>
      </c>
      <c r="F33" s="1915">
        <v>0.1</v>
      </c>
    </row>
    <row r="34" spans="1:6" ht="14.25" thickBot="1">
      <c r="A34" s="1342" t="s">
        <v>1377</v>
      </c>
      <c r="B34" s="1350" t="s">
        <v>1166</v>
      </c>
      <c r="C34" s="1914">
        <v>9.8000000000000004E-2</v>
      </c>
      <c r="D34" s="1914">
        <v>8.5999999999999993E-2</v>
      </c>
      <c r="E34" s="1914">
        <v>9.7000000000000003E-2</v>
      </c>
      <c r="F34" s="1915">
        <v>0.1</v>
      </c>
    </row>
    <row r="35" spans="1:6" ht="14.25" thickBot="1">
      <c r="A35" s="1342" t="s">
        <v>1377</v>
      </c>
      <c r="B35" s="1350" t="s">
        <v>1178</v>
      </c>
      <c r="C35" s="1914">
        <v>5.8999999999999997E-2</v>
      </c>
      <c r="D35" s="1914">
        <v>6.5000000000000002E-2</v>
      </c>
      <c r="E35" s="1914">
        <v>7.0000000000000007E-2</v>
      </c>
      <c r="F35" s="1915">
        <v>0.1</v>
      </c>
    </row>
    <row r="36" spans="1:6" ht="14.25" thickBot="1">
      <c r="A36" s="1342" t="s">
        <v>1377</v>
      </c>
      <c r="B36" s="1350" t="s">
        <v>1190</v>
      </c>
      <c r="C36" s="1914">
        <v>6.3E-2</v>
      </c>
      <c r="D36" s="1914">
        <v>0.1</v>
      </c>
      <c r="E36" s="1914">
        <v>0.1</v>
      </c>
      <c r="F36" s="1915">
        <v>0.1</v>
      </c>
    </row>
    <row r="37" spans="1:6" ht="14.25" thickBot="1">
      <c r="A37" s="1342" t="s">
        <v>1377</v>
      </c>
      <c r="B37" s="1350" t="s">
        <v>1203</v>
      </c>
      <c r="C37" s="1914">
        <v>7.3999999999999996E-2</v>
      </c>
      <c r="D37" s="1914">
        <v>0.1</v>
      </c>
      <c r="E37" s="1914">
        <v>0.1</v>
      </c>
      <c r="F37" s="1915">
        <v>0.1</v>
      </c>
    </row>
    <row r="38" spans="1:6" ht="14.25" thickBot="1">
      <c r="A38" s="1342" t="s">
        <v>1377</v>
      </c>
      <c r="B38" s="1350" t="s">
        <v>1214</v>
      </c>
      <c r="C38" s="1914">
        <v>0.1</v>
      </c>
      <c r="D38" s="1914">
        <v>9.6000000000000002E-2</v>
      </c>
      <c r="E38" s="1914">
        <v>9.6000000000000002E-2</v>
      </c>
      <c r="F38" s="1919"/>
    </row>
    <row r="39" spans="1:6" ht="14.25" thickBot="1">
      <c r="A39" s="1342" t="s">
        <v>1377</v>
      </c>
      <c r="B39" s="1350" t="s">
        <v>1225</v>
      </c>
      <c r="C39" s="1914">
        <v>0.1</v>
      </c>
      <c r="D39" s="1914">
        <v>9.6000000000000002E-2</v>
      </c>
      <c r="E39" s="1914">
        <v>9.6000000000000002E-2</v>
      </c>
      <c r="F39" s="1919"/>
    </row>
    <row r="40" spans="1:6" ht="14.25" thickBot="1">
      <c r="A40" s="1342" t="s">
        <v>1377</v>
      </c>
      <c r="B40" s="1350" t="s">
        <v>1236</v>
      </c>
      <c r="C40" s="1914">
        <v>9.6000000000000002E-2</v>
      </c>
      <c r="D40" s="1914">
        <v>0.1</v>
      </c>
      <c r="E40" s="1914">
        <v>9.9000000000000005E-2</v>
      </c>
      <c r="F40" s="1919"/>
    </row>
    <row r="41" spans="1:6" ht="14.25" thickBot="1">
      <c r="A41" s="1342" t="s">
        <v>1377</v>
      </c>
      <c r="B41" s="1350" t="s">
        <v>1247</v>
      </c>
      <c r="C41" s="1914">
        <v>9.6000000000000002E-2</v>
      </c>
      <c r="D41" s="1914">
        <v>9.8000000000000004E-2</v>
      </c>
      <c r="E41" s="1914">
        <v>9.8000000000000004E-2</v>
      </c>
      <c r="F41" s="1919"/>
    </row>
    <row r="42" spans="1:6" ht="14.25" thickBot="1">
      <c r="A42" s="1342" t="s">
        <v>1377</v>
      </c>
      <c r="B42" s="1350" t="s">
        <v>1258</v>
      </c>
      <c r="C42" s="1914">
        <v>0.1</v>
      </c>
      <c r="D42" s="1914">
        <v>8.7999999999999995E-2</v>
      </c>
      <c r="E42" s="1914">
        <v>0.1</v>
      </c>
      <c r="F42" s="1919"/>
    </row>
    <row r="43" spans="1:6" ht="14.25" thickBot="1">
      <c r="A43" s="1342" t="s">
        <v>1377</v>
      </c>
      <c r="B43" s="1350" t="s">
        <v>1269</v>
      </c>
      <c r="C43" s="1914">
        <v>9.8000000000000004E-2</v>
      </c>
      <c r="D43" s="1914">
        <v>9.7000000000000003E-2</v>
      </c>
      <c r="E43" s="1914">
        <v>9.6000000000000002E-2</v>
      </c>
      <c r="F43" s="1919"/>
    </row>
    <row r="44" spans="1:6" ht="14.25" thickBot="1">
      <c r="A44" s="1342" t="s">
        <v>1377</v>
      </c>
      <c r="B44" s="1350" t="s">
        <v>1279</v>
      </c>
      <c r="C44" s="1914">
        <v>8.5999999999999993E-2</v>
      </c>
      <c r="D44" s="1914">
        <v>7.9000000000000001E-2</v>
      </c>
      <c r="E44" s="1914">
        <v>7.0999999999999994E-2</v>
      </c>
      <c r="F44" s="1919"/>
    </row>
    <row r="45" spans="1:6" ht="14.25" thickBot="1">
      <c r="A45" s="1342" t="s">
        <v>1377</v>
      </c>
      <c r="B45" s="1350" t="s">
        <v>1289</v>
      </c>
      <c r="C45" s="1914">
        <v>9.8000000000000004E-2</v>
      </c>
      <c r="D45" s="1914">
        <v>9.6000000000000002E-2</v>
      </c>
      <c r="E45" s="1914">
        <v>9.6000000000000002E-2</v>
      </c>
      <c r="F45" s="1919"/>
    </row>
    <row r="46" spans="1:6" ht="14.25" thickBot="1">
      <c r="A46" s="1342" t="s">
        <v>1377</v>
      </c>
      <c r="B46" s="1350" t="s">
        <v>1299</v>
      </c>
      <c r="C46" s="1914">
        <v>8.5999999999999993E-2</v>
      </c>
      <c r="D46" s="1914">
        <v>9.8000000000000004E-2</v>
      </c>
      <c r="E46" s="1914">
        <v>8.7999999999999995E-2</v>
      </c>
      <c r="F46" s="1919"/>
    </row>
    <row r="47" spans="1:6" ht="14.25" thickBot="1">
      <c r="A47" s="1342" t="s">
        <v>1377</v>
      </c>
      <c r="B47" s="1350" t="s">
        <v>1309</v>
      </c>
      <c r="C47" s="1914">
        <v>9.6000000000000002E-2</v>
      </c>
      <c r="D47" s="1920"/>
      <c r="E47" s="1914">
        <v>6.9000000000000006E-2</v>
      </c>
      <c r="F47" s="1919"/>
    </row>
    <row r="48" spans="1:6" ht="14.25" thickBot="1">
      <c r="A48" s="1359" t="s">
        <v>1377</v>
      </c>
      <c r="B48" s="1351" t="s">
        <v>1318</v>
      </c>
      <c r="C48" s="1916">
        <v>9.8000000000000004E-2</v>
      </c>
      <c r="D48" s="1917"/>
      <c r="E48" s="1916">
        <v>9.5000000000000001E-2</v>
      </c>
      <c r="F48" s="1918"/>
    </row>
    <row r="49" spans="1:6" ht="14.25" thickBot="1">
      <c r="A49" s="1342" t="s">
        <v>1049</v>
      </c>
      <c r="B49" s="1343" t="s">
        <v>2031</v>
      </c>
      <c r="C49" s="1912">
        <v>9.7000000000000003E-2</v>
      </c>
      <c r="D49" s="1912">
        <v>9.5000000000000001E-2</v>
      </c>
      <c r="E49" s="1912">
        <v>9.7000000000000003E-2</v>
      </c>
      <c r="F49" s="1913">
        <v>0.1</v>
      </c>
    </row>
    <row r="50" spans="1:6" ht="14.25" thickBot="1">
      <c r="A50" s="1342" t="s">
        <v>1049</v>
      </c>
      <c r="B50" s="1336" t="s">
        <v>1117</v>
      </c>
      <c r="C50" s="1914">
        <v>7.4999999999999997E-2</v>
      </c>
      <c r="D50" s="1914">
        <v>9.5000000000000001E-2</v>
      </c>
      <c r="E50" s="1914">
        <v>0.1</v>
      </c>
      <c r="F50" s="1915">
        <v>0.1</v>
      </c>
    </row>
    <row r="51" spans="1:6" ht="14.25" thickBot="1">
      <c r="A51" s="1342" t="s">
        <v>1049</v>
      </c>
      <c r="B51" s="1336" t="s">
        <v>1130</v>
      </c>
      <c r="C51" s="1914">
        <v>9.8000000000000004E-2</v>
      </c>
      <c r="D51" s="1914">
        <v>8.8999999999999996E-2</v>
      </c>
      <c r="E51" s="1914">
        <v>0.1</v>
      </c>
      <c r="F51" s="1915">
        <v>0.1</v>
      </c>
    </row>
    <row r="52" spans="1:6" ht="14.25" thickBot="1">
      <c r="A52" s="1342" t="s">
        <v>1049</v>
      </c>
      <c r="B52" s="1336" t="s">
        <v>1143</v>
      </c>
      <c r="C52" s="1914">
        <v>9.8000000000000004E-2</v>
      </c>
      <c r="D52" s="1914">
        <v>9.7000000000000003E-2</v>
      </c>
      <c r="E52" s="1914">
        <v>8.1000000000000003E-2</v>
      </c>
      <c r="F52" s="1915">
        <v>0.1</v>
      </c>
    </row>
    <row r="53" spans="1:6" ht="14.25" thickBot="1">
      <c r="A53" s="1342" t="s">
        <v>1049</v>
      </c>
      <c r="B53" s="1336" t="s">
        <v>1155</v>
      </c>
      <c r="C53" s="1914">
        <v>9.7000000000000003E-2</v>
      </c>
      <c r="D53" s="1914">
        <v>7.5999999999999998E-2</v>
      </c>
      <c r="E53" s="1914">
        <v>7.0999999999999994E-2</v>
      </c>
      <c r="F53" s="1915">
        <v>0.1</v>
      </c>
    </row>
    <row r="54" spans="1:6" ht="14.25" thickBot="1">
      <c r="A54" s="1342" t="s">
        <v>1049</v>
      </c>
      <c r="B54" s="1336" t="s">
        <v>1167</v>
      </c>
      <c r="C54" s="1914">
        <v>7.5999999999999998E-2</v>
      </c>
      <c r="D54" s="1914">
        <v>0.1</v>
      </c>
      <c r="E54" s="1914">
        <v>9.9000000000000005E-2</v>
      </c>
      <c r="F54" s="1915">
        <v>0.1</v>
      </c>
    </row>
    <row r="55" spans="1:6" ht="14.25" thickBot="1">
      <c r="A55" s="1342" t="s">
        <v>1049</v>
      </c>
      <c r="B55" s="1336" t="s">
        <v>1179</v>
      </c>
      <c r="C55" s="1914">
        <v>0.1</v>
      </c>
      <c r="D55" s="1914">
        <v>0.1</v>
      </c>
      <c r="E55" s="1914">
        <v>9.6000000000000002E-2</v>
      </c>
      <c r="F55" s="1915">
        <v>0.1</v>
      </c>
    </row>
    <row r="56" spans="1:6" ht="14.25" thickBot="1">
      <c r="A56" s="1342" t="s">
        <v>1049</v>
      </c>
      <c r="B56" s="1336" t="s">
        <v>1191</v>
      </c>
      <c r="C56" s="1914">
        <v>0.1</v>
      </c>
      <c r="D56" s="1914">
        <v>9.6000000000000002E-2</v>
      </c>
      <c r="E56" s="1914">
        <v>5.1999999999999998E-2</v>
      </c>
      <c r="F56" s="1915">
        <v>0.1</v>
      </c>
    </row>
    <row r="57" spans="1:6" ht="14.25" thickBot="1">
      <c r="A57" s="1342" t="s">
        <v>1049</v>
      </c>
      <c r="B57" s="1336" t="s">
        <v>1204</v>
      </c>
      <c r="C57" s="1914">
        <v>9.7000000000000003E-2</v>
      </c>
      <c r="D57" s="1914">
        <v>9.6000000000000002E-2</v>
      </c>
      <c r="E57" s="1914">
        <v>9.6000000000000002E-2</v>
      </c>
      <c r="F57" s="1915">
        <v>0.1</v>
      </c>
    </row>
    <row r="58" spans="1:6" ht="14.25" thickBot="1">
      <c r="A58" s="1342" t="s">
        <v>1049</v>
      </c>
      <c r="B58" s="1336" t="s">
        <v>1215</v>
      </c>
      <c r="C58" s="1914">
        <v>9.6000000000000002E-2</v>
      </c>
      <c r="D58" s="1914">
        <v>9.9000000000000005E-2</v>
      </c>
      <c r="E58" s="1914">
        <v>9.6000000000000002E-2</v>
      </c>
      <c r="F58" s="1915">
        <v>0.1</v>
      </c>
    </row>
    <row r="59" spans="1:6" ht="14.25" thickBot="1">
      <c r="A59" s="1342" t="s">
        <v>1049</v>
      </c>
      <c r="B59" s="1336" t="s">
        <v>1226</v>
      </c>
      <c r="C59" s="1914">
        <v>7.1999999999999995E-2</v>
      </c>
      <c r="D59" s="1914">
        <v>9.6000000000000002E-2</v>
      </c>
      <c r="E59" s="1914">
        <v>7.0999999999999994E-2</v>
      </c>
      <c r="F59" s="1915">
        <v>0.1</v>
      </c>
    </row>
    <row r="60" spans="1:6" ht="14.25" thickBot="1">
      <c r="A60" s="1342" t="s">
        <v>1049</v>
      </c>
      <c r="B60" s="1336" t="s">
        <v>1237</v>
      </c>
      <c r="C60" s="1914">
        <v>9.6000000000000002E-2</v>
      </c>
      <c r="D60" s="1914">
        <v>8.8999999999999996E-2</v>
      </c>
      <c r="E60" s="1914">
        <v>9.6000000000000002E-2</v>
      </c>
      <c r="F60" s="1915">
        <v>0.1</v>
      </c>
    </row>
    <row r="61" spans="1:6" ht="14.25" thickBot="1">
      <c r="A61" s="1342" t="s">
        <v>1049</v>
      </c>
      <c r="B61" s="1336" t="s">
        <v>1248</v>
      </c>
      <c r="C61" s="1914">
        <v>8.8999999999999996E-2</v>
      </c>
      <c r="D61" s="1914">
        <v>9.8000000000000004E-2</v>
      </c>
      <c r="E61" s="1914">
        <v>8.7999999999999995E-2</v>
      </c>
      <c r="F61" s="1919"/>
    </row>
    <row r="62" spans="1:6" ht="14.25" thickBot="1">
      <c r="A62" s="1342" t="s">
        <v>1049</v>
      </c>
      <c r="B62" s="1336" t="s">
        <v>1259</v>
      </c>
      <c r="C62" s="1914">
        <v>9.8000000000000004E-2</v>
      </c>
      <c r="D62" s="1914">
        <v>9.2999999999999999E-2</v>
      </c>
      <c r="E62" s="1914">
        <v>9.7000000000000003E-2</v>
      </c>
      <c r="F62" s="1919"/>
    </row>
    <row r="63" spans="1:6" ht="14.25" thickBot="1">
      <c r="A63" s="1342" t="s">
        <v>1049</v>
      </c>
      <c r="B63" s="1336" t="s">
        <v>1270</v>
      </c>
      <c r="C63" s="1914">
        <v>9.6000000000000002E-2</v>
      </c>
      <c r="D63" s="1914">
        <v>9.8000000000000004E-2</v>
      </c>
      <c r="E63" s="1914">
        <v>0.09</v>
      </c>
      <c r="F63" s="1919"/>
    </row>
    <row r="64" spans="1:6" ht="14.25" thickBot="1">
      <c r="A64" s="1342" t="s">
        <v>1049</v>
      </c>
      <c r="B64" s="1336" t="s">
        <v>1280</v>
      </c>
      <c r="C64" s="1914">
        <v>9.9000000000000005E-2</v>
      </c>
      <c r="D64" s="1914">
        <v>9.7000000000000003E-2</v>
      </c>
      <c r="E64" s="1914">
        <v>9.9000000000000005E-2</v>
      </c>
      <c r="F64" s="1919"/>
    </row>
    <row r="65" spans="1:6" ht="14.25" thickBot="1">
      <c r="A65" s="1342" t="s">
        <v>1049</v>
      </c>
      <c r="B65" s="1336" t="s">
        <v>1290</v>
      </c>
      <c r="C65" s="1914">
        <v>9.8000000000000004E-2</v>
      </c>
      <c r="D65" s="1914">
        <v>9.6000000000000002E-2</v>
      </c>
      <c r="E65" s="1914">
        <v>9.6000000000000002E-2</v>
      </c>
      <c r="F65" s="1919"/>
    </row>
    <row r="66" spans="1:6" ht="14.25" thickBot="1">
      <c r="A66" s="1342" t="s">
        <v>1049</v>
      </c>
      <c r="B66" s="1336" t="s">
        <v>1300</v>
      </c>
      <c r="C66" s="1914">
        <v>9.6000000000000002E-2</v>
      </c>
      <c r="D66" s="1914">
        <v>9.1999999999999998E-2</v>
      </c>
      <c r="E66" s="1914">
        <v>9.6000000000000002E-2</v>
      </c>
      <c r="F66" s="1919"/>
    </row>
    <row r="67" spans="1:6" ht="14.25" thickBot="1">
      <c r="A67" s="1342" t="s">
        <v>1049</v>
      </c>
      <c r="B67" s="1336" t="s">
        <v>1310</v>
      </c>
      <c r="C67" s="1914">
        <v>9.4E-2</v>
      </c>
      <c r="D67" s="1914">
        <v>0.1</v>
      </c>
      <c r="E67" s="1914">
        <v>8.7999999999999995E-2</v>
      </c>
      <c r="F67" s="1919"/>
    </row>
    <row r="68" spans="1:6" ht="14.25" thickBot="1">
      <c r="A68" s="1342" t="s">
        <v>1049</v>
      </c>
      <c r="B68" s="1336" t="s">
        <v>1319</v>
      </c>
      <c r="C68" s="1914">
        <v>0.1</v>
      </c>
      <c r="D68" s="1914">
        <v>8.7999999999999995E-2</v>
      </c>
      <c r="E68" s="1914">
        <v>9.7000000000000003E-2</v>
      </c>
      <c r="F68" s="1919"/>
    </row>
    <row r="69" spans="1:6" ht="14.25" thickBot="1">
      <c r="A69" s="1342" t="s">
        <v>1049</v>
      </c>
      <c r="B69" s="1336" t="s">
        <v>1328</v>
      </c>
      <c r="C69" s="1914">
        <v>6.4000000000000001E-2</v>
      </c>
      <c r="D69" s="1914">
        <v>0.1</v>
      </c>
      <c r="E69" s="1914">
        <v>0.1</v>
      </c>
      <c r="F69" s="1919"/>
    </row>
    <row r="70" spans="1:6" ht="14.25" thickBot="1">
      <c r="A70" s="1342" t="s">
        <v>1049</v>
      </c>
      <c r="B70" s="1336" t="s">
        <v>1336</v>
      </c>
      <c r="C70" s="1914">
        <v>9.0999999999999998E-2</v>
      </c>
      <c r="D70" s="1920"/>
      <c r="E70" s="1920"/>
      <c r="F70" s="1919"/>
    </row>
    <row r="71" spans="1:6" ht="14.25" thickBot="1">
      <c r="A71" s="1342" t="s">
        <v>1049</v>
      </c>
      <c r="B71" s="1336" t="s">
        <v>1343</v>
      </c>
      <c r="C71" s="1914">
        <v>0.1</v>
      </c>
      <c r="D71" s="1920"/>
      <c r="E71" s="1920"/>
      <c r="F71" s="1919"/>
    </row>
    <row r="72" spans="1:6" ht="14.25" thickBot="1">
      <c r="A72" s="1342" t="s">
        <v>1049</v>
      </c>
      <c r="B72" s="1336" t="s">
        <v>2032</v>
      </c>
      <c r="C72" s="1920"/>
      <c r="D72" s="1920"/>
      <c r="E72" s="1920"/>
      <c r="F72" s="1915">
        <v>0.05</v>
      </c>
    </row>
    <row r="73" spans="1:6" ht="14.25" thickBot="1">
      <c r="A73" s="1342" t="s">
        <v>1049</v>
      </c>
      <c r="B73" s="1336" t="s">
        <v>2033</v>
      </c>
      <c r="C73" s="1920"/>
      <c r="D73" s="1920"/>
      <c r="E73" s="1920"/>
      <c r="F73" s="1915">
        <v>0.05</v>
      </c>
    </row>
    <row r="74" spans="1:6" ht="14.25" thickBot="1">
      <c r="A74" s="1342" t="s">
        <v>1049</v>
      </c>
      <c r="B74" s="1336" t="s">
        <v>2034</v>
      </c>
      <c r="C74" s="1920"/>
      <c r="D74" s="1920"/>
      <c r="E74" s="1920"/>
      <c r="F74" s="1915">
        <v>0.05</v>
      </c>
    </row>
    <row r="75" spans="1:6" ht="14.25" thickBot="1">
      <c r="A75" s="1359" t="s">
        <v>1049</v>
      </c>
      <c r="B75" s="1352" t="s">
        <v>2035</v>
      </c>
      <c r="C75" s="1917"/>
      <c r="D75" s="1917"/>
      <c r="E75" s="1917"/>
      <c r="F75" s="1921">
        <v>0.05</v>
      </c>
    </row>
    <row r="76" spans="1:6" ht="14.25" thickBot="1">
      <c r="A76" s="1342" t="s">
        <v>1458</v>
      </c>
      <c r="B76" s="1343" t="s">
        <v>2036</v>
      </c>
      <c r="C76" s="1912">
        <v>0.1</v>
      </c>
      <c r="D76" s="1912">
        <v>0.1</v>
      </c>
      <c r="E76" s="1912">
        <v>0.1</v>
      </c>
      <c r="F76" s="1913">
        <v>0.1</v>
      </c>
    </row>
    <row r="77" spans="1:6" ht="14.25" thickBot="1">
      <c r="A77" s="1342" t="s">
        <v>1458</v>
      </c>
      <c r="B77" s="1336" t="s">
        <v>1118</v>
      </c>
      <c r="C77" s="1914">
        <v>8.7999999999999995E-2</v>
      </c>
      <c r="D77" s="1914">
        <v>8.6999999999999994E-2</v>
      </c>
      <c r="E77" s="1914">
        <v>7.9000000000000001E-2</v>
      </c>
      <c r="F77" s="1915">
        <v>0.1</v>
      </c>
    </row>
    <row r="78" spans="1:6" ht="14.25" thickBot="1">
      <c r="A78" s="1342" t="s">
        <v>1458</v>
      </c>
      <c r="B78" s="1336" t="s">
        <v>1131</v>
      </c>
      <c r="C78" s="1914">
        <v>8.6999999999999994E-2</v>
      </c>
      <c r="D78" s="1914">
        <v>8.4000000000000005E-2</v>
      </c>
      <c r="E78" s="1914">
        <v>9.6000000000000002E-2</v>
      </c>
      <c r="F78" s="1915">
        <v>0.1</v>
      </c>
    </row>
    <row r="79" spans="1:6" ht="14.25" thickBot="1">
      <c r="A79" s="1342" t="s">
        <v>1458</v>
      </c>
      <c r="B79" s="1336" t="s">
        <v>1144</v>
      </c>
      <c r="C79" s="1914">
        <v>9.8000000000000004E-2</v>
      </c>
      <c r="D79" s="1914">
        <v>9.8000000000000004E-2</v>
      </c>
      <c r="E79" s="1914">
        <v>9.0999999999999998E-2</v>
      </c>
      <c r="F79" s="1915">
        <v>0.1</v>
      </c>
    </row>
    <row r="80" spans="1:6" ht="14.25" thickBot="1">
      <c r="A80" s="1342" t="s">
        <v>1458</v>
      </c>
      <c r="B80" s="1336" t="s">
        <v>1156</v>
      </c>
      <c r="C80" s="1914">
        <v>9.6000000000000002E-2</v>
      </c>
      <c r="D80" s="1914">
        <v>9.6000000000000002E-2</v>
      </c>
      <c r="E80" s="1914">
        <v>0.1</v>
      </c>
      <c r="F80" s="1915">
        <v>0.1</v>
      </c>
    </row>
    <row r="81" spans="1:6" ht="14.25" thickBot="1">
      <c r="A81" s="1342" t="s">
        <v>1458</v>
      </c>
      <c r="B81" s="1336" t="s">
        <v>1168</v>
      </c>
      <c r="C81" s="1914">
        <v>9.9000000000000005E-2</v>
      </c>
      <c r="D81" s="1914">
        <v>9.9000000000000005E-2</v>
      </c>
      <c r="E81" s="1914">
        <v>9.8000000000000004E-2</v>
      </c>
      <c r="F81" s="1915">
        <v>0.1</v>
      </c>
    </row>
    <row r="82" spans="1:6" ht="14.25" thickBot="1">
      <c r="A82" s="1342" t="s">
        <v>1458</v>
      </c>
      <c r="B82" s="1336" t="s">
        <v>1180</v>
      </c>
      <c r="C82" s="1914">
        <v>9.9000000000000005E-2</v>
      </c>
      <c r="D82" s="1914">
        <v>9.9000000000000005E-2</v>
      </c>
      <c r="E82" s="1914">
        <v>9.7000000000000003E-2</v>
      </c>
      <c r="F82" s="1915">
        <v>0.1</v>
      </c>
    </row>
    <row r="83" spans="1:6" ht="14.25" thickBot="1">
      <c r="A83" s="1342" t="s">
        <v>1458</v>
      </c>
      <c r="B83" s="1336" t="s">
        <v>1192</v>
      </c>
      <c r="C83" s="1914">
        <v>9.8000000000000004E-2</v>
      </c>
      <c r="D83" s="1914">
        <v>9.8000000000000004E-2</v>
      </c>
      <c r="E83" s="1914">
        <v>9.8000000000000004E-2</v>
      </c>
      <c r="F83" s="1915">
        <v>0.1</v>
      </c>
    </row>
    <row r="84" spans="1:6" ht="14.25" thickBot="1">
      <c r="A84" s="1342" t="s">
        <v>1458</v>
      </c>
      <c r="B84" s="1336" t="s">
        <v>1205</v>
      </c>
      <c r="C84" s="1914">
        <v>9.9000000000000005E-2</v>
      </c>
      <c r="D84" s="1914">
        <v>9.9000000000000005E-2</v>
      </c>
      <c r="E84" s="1914">
        <v>9.9000000000000005E-2</v>
      </c>
      <c r="F84" s="1915">
        <v>0.1</v>
      </c>
    </row>
    <row r="85" spans="1:6" ht="14.25" thickBot="1">
      <c r="A85" s="1342" t="s">
        <v>1458</v>
      </c>
      <c r="B85" s="1336" t="s">
        <v>1216</v>
      </c>
      <c r="C85" s="1914">
        <v>9.9000000000000005E-2</v>
      </c>
      <c r="D85" s="1914">
        <v>9.9000000000000005E-2</v>
      </c>
      <c r="E85" s="1914">
        <v>9.9000000000000005E-2</v>
      </c>
      <c r="F85" s="1915">
        <v>0.1</v>
      </c>
    </row>
    <row r="86" spans="1:6" ht="14.25" thickBot="1">
      <c r="A86" s="1342" t="s">
        <v>1458</v>
      </c>
      <c r="B86" s="1336" t="s">
        <v>1227</v>
      </c>
      <c r="C86" s="1914">
        <v>0.1</v>
      </c>
      <c r="D86" s="1914">
        <v>0.1</v>
      </c>
      <c r="E86" s="1914">
        <v>7.6999999999999999E-2</v>
      </c>
      <c r="F86" s="1915">
        <v>0.1</v>
      </c>
    </row>
    <row r="87" spans="1:6" ht="14.25" thickBot="1">
      <c r="A87" s="1342" t="s">
        <v>1458</v>
      </c>
      <c r="B87" s="1336" t="s">
        <v>1238</v>
      </c>
      <c r="C87" s="1914">
        <v>0.1</v>
      </c>
      <c r="D87" s="1914">
        <v>0.1</v>
      </c>
      <c r="E87" s="1914">
        <v>9.8000000000000004E-2</v>
      </c>
      <c r="F87" s="1919"/>
    </row>
    <row r="88" spans="1:6" ht="14.25" thickBot="1">
      <c r="A88" s="1342" t="s">
        <v>1458</v>
      </c>
      <c r="B88" s="1336" t="s">
        <v>1249</v>
      </c>
      <c r="C88" s="1914">
        <v>9.1999999999999998E-2</v>
      </c>
      <c r="D88" s="1914">
        <v>8.5000000000000006E-2</v>
      </c>
      <c r="E88" s="1914">
        <v>9.6000000000000002E-2</v>
      </c>
      <c r="F88" s="1919"/>
    </row>
    <row r="89" spans="1:6" ht="14.25" thickBot="1">
      <c r="A89" s="1342" t="s">
        <v>1458</v>
      </c>
      <c r="B89" s="1336" t="s">
        <v>1260</v>
      </c>
      <c r="C89" s="1914">
        <v>0.1</v>
      </c>
      <c r="D89" s="1914">
        <v>0.1</v>
      </c>
      <c r="E89" s="1914">
        <v>9.7000000000000003E-2</v>
      </c>
      <c r="F89" s="1919"/>
    </row>
    <row r="90" spans="1:6" ht="14.25" thickBot="1">
      <c r="A90" s="1342" t="s">
        <v>1458</v>
      </c>
      <c r="B90" s="1336" t="s">
        <v>1271</v>
      </c>
      <c r="C90" s="1914">
        <v>9.8000000000000004E-2</v>
      </c>
      <c r="D90" s="1914">
        <v>9.8000000000000004E-2</v>
      </c>
      <c r="E90" s="1914">
        <v>8.7999999999999995E-2</v>
      </c>
      <c r="F90" s="1919"/>
    </row>
    <row r="91" spans="1:6" ht="14.25" thickBot="1">
      <c r="A91" s="1342" t="s">
        <v>1458</v>
      </c>
      <c r="B91" s="1336" t="s">
        <v>1281</v>
      </c>
      <c r="C91" s="1914">
        <v>9.9000000000000005E-2</v>
      </c>
      <c r="D91" s="1914">
        <v>9.9000000000000005E-2</v>
      </c>
      <c r="E91" s="1914">
        <v>9.0999999999999998E-2</v>
      </c>
      <c r="F91" s="1919"/>
    </row>
    <row r="92" spans="1:6" ht="14.25" thickBot="1">
      <c r="A92" s="1342" t="s">
        <v>1458</v>
      </c>
      <c r="B92" s="1336" t="s">
        <v>1291</v>
      </c>
      <c r="C92" s="1914">
        <v>9.6000000000000002E-2</v>
      </c>
      <c r="D92" s="1914">
        <v>9.6000000000000002E-2</v>
      </c>
      <c r="E92" s="1914">
        <v>7.2999999999999995E-2</v>
      </c>
      <c r="F92" s="1919"/>
    </row>
    <row r="93" spans="1:6" ht="14.25" thickBot="1">
      <c r="A93" s="1342" t="s">
        <v>1458</v>
      </c>
      <c r="B93" s="1336" t="s">
        <v>1301</v>
      </c>
      <c r="C93" s="1914">
        <v>9.6000000000000002E-2</v>
      </c>
      <c r="D93" s="1914">
        <v>9.6000000000000002E-2</v>
      </c>
      <c r="E93" s="1914">
        <v>9.9000000000000005E-2</v>
      </c>
      <c r="F93" s="1919"/>
    </row>
    <row r="94" spans="1:6" ht="14.25" thickBot="1">
      <c r="A94" s="1342" t="s">
        <v>1458</v>
      </c>
      <c r="B94" s="1336" t="s">
        <v>1311</v>
      </c>
      <c r="C94" s="1914">
        <v>7.5999999999999998E-2</v>
      </c>
      <c r="D94" s="1914">
        <v>7.3999999999999996E-2</v>
      </c>
      <c r="E94" s="1914">
        <v>9.7000000000000003E-2</v>
      </c>
      <c r="F94" s="1919"/>
    </row>
    <row r="95" spans="1:6" ht="14.25" thickBot="1">
      <c r="A95" s="1342" t="s">
        <v>1458</v>
      </c>
      <c r="B95" s="1336" t="s">
        <v>1320</v>
      </c>
      <c r="C95" s="1914">
        <v>9.9000000000000005E-2</v>
      </c>
      <c r="D95" s="1914">
        <v>9.4E-2</v>
      </c>
      <c r="E95" s="1914">
        <v>9.6000000000000002E-2</v>
      </c>
      <c r="F95" s="1919"/>
    </row>
    <row r="96" spans="1:6" ht="14.25" thickBot="1">
      <c r="A96" s="1342" t="s">
        <v>1458</v>
      </c>
      <c r="B96" s="1336" t="s">
        <v>1329</v>
      </c>
      <c r="C96" s="1914">
        <v>9.9000000000000005E-2</v>
      </c>
      <c r="D96" s="1914">
        <v>9.9000000000000005E-2</v>
      </c>
      <c r="E96" s="1914">
        <v>9.9000000000000005E-2</v>
      </c>
      <c r="F96" s="1919"/>
    </row>
    <row r="97" spans="1:6" ht="14.25" thickBot="1">
      <c r="A97" s="1342" t="s">
        <v>1458</v>
      </c>
      <c r="B97" s="1336" t="s">
        <v>1337</v>
      </c>
      <c r="C97" s="1914">
        <v>9.8000000000000004E-2</v>
      </c>
      <c r="D97" s="1914">
        <v>9.8000000000000004E-2</v>
      </c>
      <c r="E97" s="1914">
        <v>9.7000000000000003E-2</v>
      </c>
      <c r="F97" s="1919"/>
    </row>
    <row r="98" spans="1:6" ht="14.25" thickBot="1">
      <c r="A98" s="1342" t="s">
        <v>1458</v>
      </c>
      <c r="B98" s="1336" t="s">
        <v>1344</v>
      </c>
      <c r="C98" s="1914">
        <v>0.1</v>
      </c>
      <c r="D98" s="1914">
        <v>0.1</v>
      </c>
      <c r="E98" s="1914">
        <v>9.7000000000000003E-2</v>
      </c>
      <c r="F98" s="1919"/>
    </row>
    <row r="99" spans="1:6" ht="14.25" thickBot="1">
      <c r="A99" s="1342" t="s">
        <v>1458</v>
      </c>
      <c r="B99" s="1336" t="s">
        <v>1351</v>
      </c>
      <c r="C99" s="1914">
        <v>0.1</v>
      </c>
      <c r="D99" s="1914">
        <v>0.1</v>
      </c>
      <c r="E99" s="1920"/>
      <c r="F99" s="1919"/>
    </row>
    <row r="100" spans="1:6" ht="14.25" thickBot="1">
      <c r="A100" s="1342" t="s">
        <v>1458</v>
      </c>
      <c r="B100" s="1336" t="s">
        <v>1358</v>
      </c>
      <c r="C100" s="1914">
        <v>0.09</v>
      </c>
      <c r="D100" s="1914">
        <v>8.8999999999999996E-2</v>
      </c>
      <c r="E100" s="1920"/>
      <c r="F100" s="1919"/>
    </row>
    <row r="101" spans="1:6" ht="14.25" thickBot="1">
      <c r="A101" s="1342" t="s">
        <v>1458</v>
      </c>
      <c r="B101" s="1336" t="s">
        <v>1365</v>
      </c>
      <c r="C101" s="1914">
        <v>9.8000000000000004E-2</v>
      </c>
      <c r="D101" s="1914">
        <v>9.7000000000000003E-2</v>
      </c>
      <c r="E101" s="1920"/>
      <c r="F101" s="1919"/>
    </row>
    <row r="102" spans="1:6" ht="14.25" thickBot="1">
      <c r="A102" s="1342" t="s">
        <v>1458</v>
      </c>
      <c r="B102" s="1336" t="s">
        <v>2037</v>
      </c>
      <c r="C102" s="1920"/>
      <c r="D102" s="1920"/>
      <c r="E102" s="1920"/>
      <c r="F102" s="1915">
        <v>0.05</v>
      </c>
    </row>
    <row r="103" spans="1:6" ht="24.75" thickBot="1">
      <c r="A103" s="1342" t="s">
        <v>1458</v>
      </c>
      <c r="B103" s="1336" t="s">
        <v>2038</v>
      </c>
      <c r="C103" s="1920"/>
      <c r="D103" s="1920"/>
      <c r="E103" s="1920"/>
      <c r="F103" s="1915">
        <v>0.05</v>
      </c>
    </row>
    <row r="104" spans="1:6" ht="14.25" thickBot="1">
      <c r="A104" s="1342" t="s">
        <v>1458</v>
      </c>
      <c r="B104" s="1336" t="s">
        <v>2039</v>
      </c>
      <c r="C104" s="1920"/>
      <c r="D104" s="1920"/>
      <c r="E104" s="1920"/>
      <c r="F104" s="1915">
        <v>0.05</v>
      </c>
    </row>
    <row r="105" spans="1:6" ht="14.25" thickBot="1">
      <c r="A105" s="1342" t="s">
        <v>1458</v>
      </c>
      <c r="B105" s="1336" t="s">
        <v>2040</v>
      </c>
      <c r="C105" s="1920"/>
      <c r="D105" s="1920"/>
      <c r="E105" s="1920"/>
      <c r="F105" s="1915">
        <v>0.05</v>
      </c>
    </row>
    <row r="106" spans="1:6" ht="14.25" thickBot="1">
      <c r="A106" s="1342" t="s">
        <v>1458</v>
      </c>
      <c r="B106" s="1336" t="s">
        <v>2041</v>
      </c>
      <c r="C106" s="1920"/>
      <c r="D106" s="1920"/>
      <c r="E106" s="1920"/>
      <c r="F106" s="1915">
        <v>0.05</v>
      </c>
    </row>
    <row r="107" spans="1:6" ht="24.75" thickBot="1">
      <c r="A107" s="1342" t="s">
        <v>1458</v>
      </c>
      <c r="B107" s="1336" t="s">
        <v>2042</v>
      </c>
      <c r="C107" s="1920"/>
      <c r="D107" s="1920"/>
      <c r="E107" s="1920"/>
      <c r="F107" s="1915">
        <v>0.05</v>
      </c>
    </row>
    <row r="108" spans="1:6" ht="24.75" thickBot="1">
      <c r="A108" s="1342" t="s">
        <v>1458</v>
      </c>
      <c r="B108" s="1336" t="s">
        <v>2043</v>
      </c>
      <c r="C108" s="1920"/>
      <c r="D108" s="1920"/>
      <c r="E108" s="1920"/>
      <c r="F108" s="1915">
        <v>0.05</v>
      </c>
    </row>
    <row r="109" spans="1:6" ht="24.75" thickBot="1">
      <c r="A109" s="1359" t="s">
        <v>1458</v>
      </c>
      <c r="B109" s="1352" t="s">
        <v>2044</v>
      </c>
      <c r="C109" s="1917"/>
      <c r="D109" s="1917"/>
      <c r="E109" s="1917"/>
      <c r="F109" s="1921">
        <v>0.05</v>
      </c>
    </row>
    <row r="110" spans="1:6" ht="14.25" thickBot="1">
      <c r="A110" s="1342" t="s">
        <v>210</v>
      </c>
      <c r="B110" s="1343" t="s">
        <v>2045</v>
      </c>
      <c r="C110" s="1912">
        <v>0.129</v>
      </c>
      <c r="D110" s="1912">
        <v>0.129</v>
      </c>
      <c r="E110" s="1912">
        <v>0.126</v>
      </c>
      <c r="F110" s="1913">
        <v>0.13</v>
      </c>
    </row>
    <row r="111" spans="1:6" ht="14.25" thickBot="1">
      <c r="A111" s="1342" t="s">
        <v>210</v>
      </c>
      <c r="B111" s="1336" t="s">
        <v>1119</v>
      </c>
      <c r="C111" s="1914">
        <v>0.11</v>
      </c>
      <c r="D111" s="1914">
        <v>0.11</v>
      </c>
      <c r="E111" s="1914">
        <v>9.9000000000000005E-2</v>
      </c>
      <c r="F111" s="1915">
        <v>0.128</v>
      </c>
    </row>
    <row r="112" spans="1:6" ht="14.25" thickBot="1">
      <c r="A112" s="1342" t="s">
        <v>210</v>
      </c>
      <c r="B112" s="1336" t="s">
        <v>1132</v>
      </c>
      <c r="C112" s="1914">
        <v>0.125</v>
      </c>
      <c r="D112" s="1914">
        <v>0.125</v>
      </c>
      <c r="E112" s="1914">
        <v>0.12</v>
      </c>
      <c r="F112" s="1915">
        <v>0.125</v>
      </c>
    </row>
    <row r="113" spans="1:6" ht="14.25" thickBot="1">
      <c r="A113" s="1342" t="s">
        <v>210</v>
      </c>
      <c r="B113" s="1336" t="s">
        <v>1145</v>
      </c>
      <c r="C113" s="1914">
        <v>0.13</v>
      </c>
      <c r="D113" s="1914">
        <v>0.13</v>
      </c>
      <c r="E113" s="1914">
        <v>0.13</v>
      </c>
      <c r="F113" s="1915">
        <v>0.13</v>
      </c>
    </row>
    <row r="114" spans="1:6" ht="14.25" thickBot="1">
      <c r="A114" s="1342" t="s">
        <v>210</v>
      </c>
      <c r="B114" s="1336" t="s">
        <v>1157</v>
      </c>
      <c r="C114" s="1914">
        <v>0.123</v>
      </c>
      <c r="D114" s="1914">
        <v>0.123</v>
      </c>
      <c r="E114" s="1914">
        <v>0.12</v>
      </c>
      <c r="F114" s="1915">
        <v>0.13</v>
      </c>
    </row>
    <row r="115" spans="1:6" ht="14.25" thickBot="1">
      <c r="A115" s="1342" t="s">
        <v>210</v>
      </c>
      <c r="B115" s="1336" t="s">
        <v>1169</v>
      </c>
      <c r="C115" s="1914">
        <v>0.125</v>
      </c>
      <c r="D115" s="1914">
        <v>0.125</v>
      </c>
      <c r="E115" s="1914">
        <v>0.11700000000000001</v>
      </c>
      <c r="F115" s="1915">
        <v>0.13</v>
      </c>
    </row>
    <row r="116" spans="1:6" ht="14.25" thickBot="1">
      <c r="A116" s="1342" t="s">
        <v>210</v>
      </c>
      <c r="B116" s="1336" t="s">
        <v>1181</v>
      </c>
      <c r="C116" s="1914">
        <v>0.11700000000000001</v>
      </c>
      <c r="D116" s="1914">
        <v>0.11700000000000001</v>
      </c>
      <c r="E116" s="1914">
        <v>8.7999999999999995E-2</v>
      </c>
      <c r="F116" s="1915">
        <v>0.13</v>
      </c>
    </row>
    <row r="117" spans="1:6" ht="14.25" thickBot="1">
      <c r="A117" s="1342" t="s">
        <v>210</v>
      </c>
      <c r="B117" s="1336" t="s">
        <v>1193</v>
      </c>
      <c r="C117" s="1914">
        <v>0.13</v>
      </c>
      <c r="D117" s="1914">
        <v>0.13</v>
      </c>
      <c r="E117" s="1914">
        <v>0.129</v>
      </c>
      <c r="F117" s="1915">
        <v>0.13</v>
      </c>
    </row>
    <row r="118" spans="1:6" ht="14.25" thickBot="1">
      <c r="A118" s="1342" t="s">
        <v>210</v>
      </c>
      <c r="B118" s="1336" t="s">
        <v>1206</v>
      </c>
      <c r="C118" s="1914">
        <v>0.123</v>
      </c>
      <c r="D118" s="1914">
        <v>0.123</v>
      </c>
      <c r="E118" s="1914">
        <v>0.11600000000000001</v>
      </c>
      <c r="F118" s="1915">
        <v>0.13</v>
      </c>
    </row>
    <row r="119" spans="1:6" ht="14.25" thickBot="1">
      <c r="A119" s="1342" t="s">
        <v>210</v>
      </c>
      <c r="B119" s="1336" t="s">
        <v>1217</v>
      </c>
      <c r="C119" s="1914">
        <v>0.127</v>
      </c>
      <c r="D119" s="1914">
        <v>0.127</v>
      </c>
      <c r="E119" s="1914">
        <v>0.124</v>
      </c>
      <c r="F119" s="1915">
        <v>0.13</v>
      </c>
    </row>
    <row r="120" spans="1:6" ht="14.25" thickBot="1">
      <c r="A120" s="1342" t="s">
        <v>210</v>
      </c>
      <c r="B120" s="1336" t="s">
        <v>1228</v>
      </c>
      <c r="C120" s="1914">
        <v>0.125</v>
      </c>
      <c r="D120" s="1914">
        <v>0.125</v>
      </c>
      <c r="E120" s="1914">
        <v>0.122</v>
      </c>
      <c r="F120" s="1915">
        <v>0.13</v>
      </c>
    </row>
    <row r="121" spans="1:6" ht="14.25" thickBot="1">
      <c r="A121" s="1342" t="s">
        <v>210</v>
      </c>
      <c r="B121" s="1336" t="s">
        <v>1239</v>
      </c>
      <c r="C121" s="1914">
        <v>0.13</v>
      </c>
      <c r="D121" s="1914">
        <v>0.13</v>
      </c>
      <c r="E121" s="1914">
        <v>0.13</v>
      </c>
      <c r="F121" s="1915">
        <v>0.13</v>
      </c>
    </row>
    <row r="122" spans="1:6" ht="14.25" thickBot="1">
      <c r="A122" s="1342" t="s">
        <v>210</v>
      </c>
      <c r="B122" s="1336" t="s">
        <v>1250</v>
      </c>
      <c r="C122" s="1914">
        <v>0.13</v>
      </c>
      <c r="D122" s="1914">
        <v>0.13</v>
      </c>
      <c r="E122" s="1914">
        <v>0.125</v>
      </c>
      <c r="F122" s="1915">
        <v>0.13</v>
      </c>
    </row>
    <row r="123" spans="1:6" ht="14.25" thickBot="1">
      <c r="A123" s="1342" t="s">
        <v>210</v>
      </c>
      <c r="B123" s="1336" t="s">
        <v>1261</v>
      </c>
      <c r="C123" s="1914">
        <v>0.129</v>
      </c>
      <c r="D123" s="1914">
        <v>0.129</v>
      </c>
      <c r="E123" s="1914">
        <v>0.123</v>
      </c>
      <c r="F123" s="1915">
        <v>0.13</v>
      </c>
    </row>
    <row r="124" spans="1:6" ht="14.25" thickBot="1">
      <c r="A124" s="1342" t="s">
        <v>210</v>
      </c>
      <c r="B124" s="1336" t="s">
        <v>1272</v>
      </c>
      <c r="C124" s="1914">
        <v>0.10199999999999999</v>
      </c>
      <c r="D124" s="1914">
        <v>0.10100000000000001</v>
      </c>
      <c r="E124" s="1914">
        <v>0.08</v>
      </c>
      <c r="F124" s="1919"/>
    </row>
    <row r="125" spans="1:6" ht="14.25" thickBot="1">
      <c r="A125" s="1342" t="s">
        <v>210</v>
      </c>
      <c r="B125" s="1336" t="s">
        <v>1282</v>
      </c>
      <c r="C125" s="1914">
        <v>0.13</v>
      </c>
      <c r="D125" s="1914">
        <v>0.13</v>
      </c>
      <c r="E125" s="1914">
        <v>0.129</v>
      </c>
      <c r="F125" s="1919"/>
    </row>
    <row r="126" spans="1:6" ht="14.25" thickBot="1">
      <c r="A126" s="1342" t="s">
        <v>210</v>
      </c>
      <c r="B126" s="1336" t="s">
        <v>1292</v>
      </c>
      <c r="C126" s="1914">
        <v>0.13</v>
      </c>
      <c r="D126" s="1914">
        <v>0.13</v>
      </c>
      <c r="E126" s="1914">
        <v>0.126</v>
      </c>
      <c r="F126" s="1919"/>
    </row>
    <row r="127" spans="1:6" ht="14.25" thickBot="1">
      <c r="A127" s="1342" t="s">
        <v>210</v>
      </c>
      <c r="B127" s="1336" t="s">
        <v>1302</v>
      </c>
      <c r="C127" s="1914">
        <v>0.125</v>
      </c>
      <c r="D127" s="1914">
        <v>0.125</v>
      </c>
      <c r="E127" s="1914">
        <v>0.121</v>
      </c>
      <c r="F127" s="1919"/>
    </row>
    <row r="128" spans="1:6" ht="14.25" thickBot="1">
      <c r="A128" s="1342" t="s">
        <v>210</v>
      </c>
      <c r="B128" s="1336" t="s">
        <v>1312</v>
      </c>
      <c r="C128" s="1914">
        <v>0.12</v>
      </c>
      <c r="D128" s="1914">
        <v>0.12</v>
      </c>
      <c r="E128" s="1914">
        <v>0.105</v>
      </c>
      <c r="F128" s="1919"/>
    </row>
    <row r="129" spans="1:6" ht="14.25" thickBot="1">
      <c r="A129" s="1342" t="s">
        <v>210</v>
      </c>
      <c r="B129" s="1336" t="s">
        <v>1321</v>
      </c>
      <c r="C129" s="1914">
        <v>0.13</v>
      </c>
      <c r="D129" s="1914">
        <v>0.13</v>
      </c>
      <c r="E129" s="1914">
        <v>0.126</v>
      </c>
      <c r="F129" s="1919"/>
    </row>
    <row r="130" spans="1:6" ht="14.25" thickBot="1">
      <c r="A130" s="1342" t="s">
        <v>210</v>
      </c>
      <c r="B130" s="1336" t="s">
        <v>1330</v>
      </c>
      <c r="C130" s="1914">
        <v>0.125</v>
      </c>
      <c r="D130" s="1914">
        <v>0.125</v>
      </c>
      <c r="E130" s="1914">
        <v>0.122</v>
      </c>
      <c r="F130" s="1919"/>
    </row>
    <row r="131" spans="1:6" ht="14.25" thickBot="1">
      <c r="A131" s="1342" t="s">
        <v>210</v>
      </c>
      <c r="B131" s="1336" t="s">
        <v>1338</v>
      </c>
      <c r="C131" s="1914">
        <v>0.127</v>
      </c>
      <c r="D131" s="1914">
        <v>0.126</v>
      </c>
      <c r="E131" s="1914">
        <v>0.123</v>
      </c>
      <c r="F131" s="1919"/>
    </row>
    <row r="132" spans="1:6" ht="14.25" thickBot="1">
      <c r="A132" s="1342" t="s">
        <v>210</v>
      </c>
      <c r="B132" s="1336" t="s">
        <v>1345</v>
      </c>
      <c r="C132" s="1914">
        <v>9.0999999999999998E-2</v>
      </c>
      <c r="D132" s="1914">
        <v>0.121</v>
      </c>
      <c r="E132" s="1914">
        <v>9.9000000000000005E-2</v>
      </c>
      <c r="F132" s="1919"/>
    </row>
    <row r="133" spans="1:6" ht="14.25" thickBot="1">
      <c r="A133" s="1342" t="s">
        <v>210</v>
      </c>
      <c r="B133" s="1336" t="s">
        <v>1352</v>
      </c>
      <c r="C133" s="1914">
        <v>0.13</v>
      </c>
      <c r="D133" s="1914">
        <v>0.13</v>
      </c>
      <c r="E133" s="1914">
        <v>0.129</v>
      </c>
      <c r="F133" s="1919"/>
    </row>
    <row r="134" spans="1:6" ht="14.25" thickBot="1">
      <c r="A134" s="1342" t="s">
        <v>210</v>
      </c>
      <c r="B134" s="1336" t="s">
        <v>2046</v>
      </c>
      <c r="C134" s="1914">
        <v>6.8000000000000005E-2</v>
      </c>
      <c r="D134" s="1914">
        <v>6.5000000000000002E-2</v>
      </c>
      <c r="E134" s="1914">
        <v>6.5000000000000002E-2</v>
      </c>
      <c r="F134" s="1915">
        <v>0.13</v>
      </c>
    </row>
    <row r="135" spans="1:6" ht="14.25" thickBot="1">
      <c r="A135" s="1342" t="s">
        <v>210</v>
      </c>
      <c r="B135" s="1336" t="s">
        <v>1366</v>
      </c>
      <c r="C135" s="1914">
        <v>0.123</v>
      </c>
      <c r="D135" s="1914">
        <v>0.123</v>
      </c>
      <c r="E135" s="1914">
        <v>0.11</v>
      </c>
      <c r="F135" s="1919"/>
    </row>
    <row r="136" spans="1:6" ht="14.25" thickBot="1">
      <c r="A136" s="1342" t="s">
        <v>210</v>
      </c>
      <c r="B136" s="1336" t="s">
        <v>1373</v>
      </c>
      <c r="C136" s="1914">
        <v>0.13</v>
      </c>
      <c r="D136" s="1914">
        <v>0.13</v>
      </c>
      <c r="E136" s="1914">
        <v>0.125</v>
      </c>
      <c r="F136" s="1919"/>
    </row>
    <row r="137" spans="1:6" ht="14.25" thickBot="1">
      <c r="A137" s="1342" t="s">
        <v>210</v>
      </c>
      <c r="B137" s="1336" t="s">
        <v>1380</v>
      </c>
      <c r="C137" s="1914">
        <v>0.121</v>
      </c>
      <c r="D137" s="1914">
        <v>0.122</v>
      </c>
      <c r="E137" s="1914">
        <v>0.115</v>
      </c>
      <c r="F137" s="1919"/>
    </row>
    <row r="138" spans="1:6" ht="14.25" thickBot="1">
      <c r="A138" s="1342" t="s">
        <v>210</v>
      </c>
      <c r="B138" s="1336" t="s">
        <v>2047</v>
      </c>
      <c r="C138" s="1914">
        <v>0.105</v>
      </c>
      <c r="D138" s="1914">
        <v>0.125</v>
      </c>
      <c r="E138" s="1914">
        <v>0.112</v>
      </c>
      <c r="F138" s="1919"/>
    </row>
    <row r="139" spans="1:6" ht="14.25" thickBot="1">
      <c r="A139" s="1342" t="s">
        <v>210</v>
      </c>
      <c r="B139" s="1336" t="s">
        <v>2048</v>
      </c>
      <c r="C139" s="1914">
        <v>0.127</v>
      </c>
      <c r="D139" s="1914">
        <v>0.127</v>
      </c>
      <c r="E139" s="1914">
        <v>0.122</v>
      </c>
      <c r="F139" s="1915">
        <v>0.13</v>
      </c>
    </row>
    <row r="140" spans="1:6" ht="14.25" thickBot="1">
      <c r="A140" s="1342" t="s">
        <v>210</v>
      </c>
      <c r="B140" s="1336" t="s">
        <v>2049</v>
      </c>
      <c r="C140" s="1914">
        <v>0.125</v>
      </c>
      <c r="D140" s="1914">
        <v>0.125</v>
      </c>
      <c r="E140" s="1914">
        <v>0.11899999999999999</v>
      </c>
      <c r="F140" s="1915">
        <v>0.13</v>
      </c>
    </row>
    <row r="141" spans="1:6" ht="14.25" thickBot="1">
      <c r="A141" s="1342" t="s">
        <v>210</v>
      </c>
      <c r="B141" s="1336" t="s">
        <v>1399</v>
      </c>
      <c r="C141" s="1914">
        <v>0.125</v>
      </c>
      <c r="D141" s="1914">
        <v>0.125</v>
      </c>
      <c r="E141" s="1914">
        <v>0.11700000000000001</v>
      </c>
      <c r="F141" s="1919"/>
    </row>
    <row r="142" spans="1:6" ht="14.25" thickBot="1">
      <c r="A142" s="1342" t="s">
        <v>210</v>
      </c>
      <c r="B142" s="1336" t="s">
        <v>1404</v>
      </c>
      <c r="C142" s="1914">
        <v>0.125</v>
      </c>
      <c r="D142" s="1914">
        <v>0.125</v>
      </c>
      <c r="E142" s="1914">
        <v>0.115</v>
      </c>
      <c r="F142" s="1919"/>
    </row>
    <row r="143" spans="1:6" ht="14.25" thickBot="1">
      <c r="A143" s="1342" t="s">
        <v>210</v>
      </c>
      <c r="B143" s="1336" t="s">
        <v>1409</v>
      </c>
      <c r="C143" s="1914">
        <v>0.121</v>
      </c>
      <c r="D143" s="1914">
        <v>0.121</v>
      </c>
      <c r="E143" s="1914">
        <v>0.108</v>
      </c>
      <c r="F143" s="1919"/>
    </row>
    <row r="144" spans="1:6" ht="14.25" thickBot="1">
      <c r="A144" s="1342" t="s">
        <v>210</v>
      </c>
      <c r="B144" s="1922" t="s">
        <v>2050</v>
      </c>
      <c r="C144" s="1923">
        <v>0.126</v>
      </c>
      <c r="D144" s="1923">
        <v>0.126</v>
      </c>
      <c r="E144" s="1923">
        <v>0.121</v>
      </c>
      <c r="F144" s="1919"/>
    </row>
    <row r="145" spans="1:6" ht="14.25" thickBot="1">
      <c r="A145" s="1359" t="s">
        <v>210</v>
      </c>
      <c r="B145" s="1924" t="s">
        <v>2051</v>
      </c>
      <c r="C145" s="1925"/>
      <c r="D145" s="1925"/>
      <c r="E145" s="1925"/>
      <c r="F145" s="1926">
        <v>0.05</v>
      </c>
    </row>
    <row r="146" spans="1:6" ht="24.75" thickBot="1">
      <c r="A146" s="1927" t="s">
        <v>210</v>
      </c>
      <c r="B146" s="1350" t="s">
        <v>2052</v>
      </c>
      <c r="C146" s="1920"/>
      <c r="D146" s="1920"/>
      <c r="E146" s="1920"/>
      <c r="F146" s="1928">
        <v>0.05</v>
      </c>
    </row>
    <row r="147" spans="1:6" ht="24.75" thickBot="1">
      <c r="A147" s="1342" t="s">
        <v>210</v>
      </c>
      <c r="B147" s="1336" t="s">
        <v>2053</v>
      </c>
      <c r="C147" s="1920"/>
      <c r="D147" s="1920"/>
      <c r="E147" s="1920"/>
      <c r="F147" s="1915">
        <v>0.05</v>
      </c>
    </row>
    <row r="148" spans="1:6" ht="24.75" thickBot="1">
      <c r="A148" s="1342" t="s">
        <v>210</v>
      </c>
      <c r="B148" s="1336" t="s">
        <v>2054</v>
      </c>
      <c r="C148" s="1920"/>
      <c r="D148" s="1920"/>
      <c r="E148" s="1920"/>
      <c r="F148" s="1915">
        <v>0.05</v>
      </c>
    </row>
    <row r="149" spans="1:6" ht="24.75" thickBot="1">
      <c r="A149" s="1342" t="s">
        <v>210</v>
      </c>
      <c r="B149" s="1336" t="s">
        <v>2055</v>
      </c>
      <c r="C149" s="1920"/>
      <c r="D149" s="1920"/>
      <c r="E149" s="1920"/>
      <c r="F149" s="1915">
        <v>0.05</v>
      </c>
    </row>
    <row r="150" spans="1:6" ht="24.75" thickBot="1">
      <c r="A150" s="1342" t="s">
        <v>210</v>
      </c>
      <c r="B150" s="1336" t="s">
        <v>2056</v>
      </c>
      <c r="C150" s="1920"/>
      <c r="D150" s="1920"/>
      <c r="E150" s="1920"/>
      <c r="F150" s="1915">
        <v>0.05</v>
      </c>
    </row>
    <row r="151" spans="1:6" ht="24.75" thickBot="1">
      <c r="A151" s="1342" t="s">
        <v>210</v>
      </c>
      <c r="B151" s="1336" t="s">
        <v>2057</v>
      </c>
      <c r="C151" s="1920"/>
      <c r="D151" s="1920"/>
      <c r="E151" s="1920"/>
      <c r="F151" s="1915">
        <v>0.05</v>
      </c>
    </row>
    <row r="152" spans="1:6" ht="24.75" thickBot="1">
      <c r="A152" s="1342" t="s">
        <v>210</v>
      </c>
      <c r="B152" s="1336" t="s">
        <v>1442</v>
      </c>
      <c r="C152" s="1920"/>
      <c r="D152" s="1920"/>
      <c r="E152" s="1920"/>
      <c r="F152" s="1915">
        <v>0.05</v>
      </c>
    </row>
    <row r="153" spans="1:6" ht="14.25" thickBot="1">
      <c r="A153" s="1342" t="s">
        <v>210</v>
      </c>
      <c r="B153" s="1336" t="s">
        <v>2058</v>
      </c>
      <c r="C153" s="1920"/>
      <c r="D153" s="1920"/>
      <c r="E153" s="1920"/>
      <c r="F153" s="1915">
        <v>0.05</v>
      </c>
    </row>
    <row r="154" spans="1:6" ht="14.25" thickBot="1">
      <c r="A154" s="1342" t="s">
        <v>210</v>
      </c>
      <c r="B154" s="1336" t="s">
        <v>2059</v>
      </c>
      <c r="C154" s="1920"/>
      <c r="D154" s="1920"/>
      <c r="E154" s="1920"/>
      <c r="F154" s="1915">
        <v>0.05</v>
      </c>
    </row>
    <row r="155" spans="1:6" ht="24.75" thickBot="1">
      <c r="A155" s="1342" t="s">
        <v>210</v>
      </c>
      <c r="B155" s="1336" t="s">
        <v>2060</v>
      </c>
      <c r="C155" s="1920"/>
      <c r="D155" s="1920"/>
      <c r="E155" s="1920"/>
      <c r="F155" s="1915">
        <v>0.05</v>
      </c>
    </row>
    <row r="156" spans="1:6" ht="24.75" thickBot="1">
      <c r="A156" s="1342" t="s">
        <v>210</v>
      </c>
      <c r="B156" s="1336" t="s">
        <v>2061</v>
      </c>
      <c r="C156" s="1920"/>
      <c r="D156" s="1920"/>
      <c r="E156" s="1920"/>
      <c r="F156" s="1915">
        <v>0.05</v>
      </c>
    </row>
    <row r="157" spans="1:6" ht="14.25" thickBot="1">
      <c r="A157" s="1359" t="s">
        <v>210</v>
      </c>
      <c r="B157" s="1352" t="s">
        <v>2062</v>
      </c>
      <c r="C157" s="1917"/>
      <c r="D157" s="1917"/>
      <c r="E157" s="1917"/>
      <c r="F157" s="1921">
        <v>0.05</v>
      </c>
    </row>
    <row r="158" spans="1:6" ht="14.25" thickBot="1">
      <c r="A158" s="1342" t="s">
        <v>1461</v>
      </c>
      <c r="B158" s="1343" t="s">
        <v>2063</v>
      </c>
      <c r="C158" s="1912">
        <v>0.13</v>
      </c>
      <c r="D158" s="1912">
        <v>0.13</v>
      </c>
      <c r="E158" s="1912">
        <v>0.13</v>
      </c>
      <c r="F158" s="1913">
        <v>0.13</v>
      </c>
    </row>
    <row r="159" spans="1:6" ht="14.25" thickBot="1">
      <c r="A159" s="1342" t="s">
        <v>1461</v>
      </c>
      <c r="B159" s="1336" t="s">
        <v>1120</v>
      </c>
      <c r="C159" s="1914">
        <v>0.13</v>
      </c>
      <c r="D159" s="1914">
        <v>0.13</v>
      </c>
      <c r="E159" s="1914">
        <v>0.13</v>
      </c>
      <c r="F159" s="1915">
        <v>0.13</v>
      </c>
    </row>
    <row r="160" spans="1:6" ht="14.25" thickBot="1">
      <c r="A160" s="1342" t="s">
        <v>1461</v>
      </c>
      <c r="B160" s="1336" t="s">
        <v>1133</v>
      </c>
      <c r="C160" s="1914">
        <v>0.13</v>
      </c>
      <c r="D160" s="1914">
        <v>0.13</v>
      </c>
      <c r="E160" s="1914">
        <v>0.129</v>
      </c>
      <c r="F160" s="1915">
        <v>0.13</v>
      </c>
    </row>
    <row r="161" spans="1:6" ht="14.25" thickBot="1">
      <c r="A161" s="1342" t="s">
        <v>1461</v>
      </c>
      <c r="B161" s="1336" t="s">
        <v>1146</v>
      </c>
      <c r="C161" s="1914">
        <v>0.128</v>
      </c>
      <c r="D161" s="1914">
        <v>0.128</v>
      </c>
      <c r="E161" s="1914">
        <v>0.125</v>
      </c>
      <c r="F161" s="1915">
        <v>0.13</v>
      </c>
    </row>
    <row r="162" spans="1:6" ht="14.25" thickBot="1">
      <c r="A162" s="1342" t="s">
        <v>1461</v>
      </c>
      <c r="B162" s="1336" t="s">
        <v>1158</v>
      </c>
      <c r="C162" s="1914">
        <v>0.122</v>
      </c>
      <c r="D162" s="1914">
        <v>0.122</v>
      </c>
      <c r="E162" s="1914">
        <v>0.126</v>
      </c>
      <c r="F162" s="1915">
        <v>0.122</v>
      </c>
    </row>
    <row r="163" spans="1:6" ht="14.25" thickBot="1">
      <c r="A163" s="1342" t="s">
        <v>1461</v>
      </c>
      <c r="B163" s="1336" t="s">
        <v>1170</v>
      </c>
      <c r="C163" s="1914">
        <v>0.13</v>
      </c>
      <c r="D163" s="1914">
        <v>0.13</v>
      </c>
      <c r="E163" s="1914">
        <v>0.125</v>
      </c>
      <c r="F163" s="1915">
        <v>0.13</v>
      </c>
    </row>
    <row r="164" spans="1:6" ht="14.25" thickBot="1">
      <c r="A164" s="1342" t="s">
        <v>1461</v>
      </c>
      <c r="B164" s="1336" t="s">
        <v>1182</v>
      </c>
      <c r="C164" s="1914">
        <v>0.13</v>
      </c>
      <c r="D164" s="1914">
        <v>0.13</v>
      </c>
      <c r="E164" s="1914">
        <v>0.13</v>
      </c>
      <c r="F164" s="1915">
        <v>0.13</v>
      </c>
    </row>
    <row r="165" spans="1:6" ht="14.25" thickBot="1">
      <c r="A165" s="1342" t="s">
        <v>1461</v>
      </c>
      <c r="B165" s="1336" t="s">
        <v>1194</v>
      </c>
      <c r="C165" s="1914">
        <v>0.13</v>
      </c>
      <c r="D165" s="1914">
        <v>0.13</v>
      </c>
      <c r="E165" s="1914">
        <v>0.124</v>
      </c>
      <c r="F165" s="1915">
        <v>0.13</v>
      </c>
    </row>
    <row r="166" spans="1:6" ht="14.25" thickBot="1">
      <c r="A166" s="1342" t="s">
        <v>1461</v>
      </c>
      <c r="B166" s="1336" t="s">
        <v>1207</v>
      </c>
      <c r="C166" s="1914">
        <v>0.13</v>
      </c>
      <c r="D166" s="1914">
        <v>0.13</v>
      </c>
      <c r="E166" s="1914">
        <v>0.13</v>
      </c>
      <c r="F166" s="1915">
        <v>0.13</v>
      </c>
    </row>
    <row r="167" spans="1:6" ht="14.25" thickBot="1">
      <c r="A167" s="1342" t="s">
        <v>1461</v>
      </c>
      <c r="B167" s="1336" t="s">
        <v>1218</v>
      </c>
      <c r="C167" s="1914">
        <v>0.125</v>
      </c>
      <c r="D167" s="1914">
        <v>0.125</v>
      </c>
      <c r="E167" s="1914">
        <v>0.121</v>
      </c>
      <c r="F167" s="1919"/>
    </row>
    <row r="168" spans="1:6" ht="14.25" thickBot="1">
      <c r="A168" s="1342" t="s">
        <v>1461</v>
      </c>
      <c r="B168" s="1336" t="s">
        <v>1229</v>
      </c>
      <c r="C168" s="1914">
        <v>0.13</v>
      </c>
      <c r="D168" s="1914">
        <v>0.13</v>
      </c>
      <c r="E168" s="1914">
        <v>0.126</v>
      </c>
      <c r="F168" s="1919"/>
    </row>
    <row r="169" spans="1:6" ht="14.25" thickBot="1">
      <c r="A169" s="1342" t="s">
        <v>1461</v>
      </c>
      <c r="B169" s="1336" t="s">
        <v>1240</v>
      </c>
      <c r="C169" s="1914">
        <v>0.128</v>
      </c>
      <c r="D169" s="1914">
        <v>0.129</v>
      </c>
      <c r="E169" s="1914">
        <v>0.13</v>
      </c>
      <c r="F169" s="1919"/>
    </row>
    <row r="170" spans="1:6" ht="14.25" thickBot="1">
      <c r="A170" s="1342" t="s">
        <v>1461</v>
      </c>
      <c r="B170" s="1336" t="s">
        <v>1251</v>
      </c>
      <c r="C170" s="1914">
        <v>0.14099999999999999</v>
      </c>
      <c r="D170" s="1914">
        <v>0.13</v>
      </c>
      <c r="E170" s="1914">
        <v>0.125</v>
      </c>
      <c r="F170" s="1919"/>
    </row>
    <row r="171" spans="1:6" ht="14.25" thickBot="1">
      <c r="A171" s="1342" t="s">
        <v>1461</v>
      </c>
      <c r="B171" s="1336" t="s">
        <v>2064</v>
      </c>
      <c r="C171" s="1914">
        <v>0.127</v>
      </c>
      <c r="D171" s="1914">
        <v>0.126</v>
      </c>
      <c r="E171" s="1914">
        <v>0.126</v>
      </c>
      <c r="F171" s="1915">
        <v>0.11799999999999999</v>
      </c>
    </row>
    <row r="172" spans="1:6" ht="14.25" thickBot="1">
      <c r="A172" s="1342" t="s">
        <v>1461</v>
      </c>
      <c r="B172" s="1336" t="s">
        <v>2065</v>
      </c>
      <c r="C172" s="1914">
        <v>0.13</v>
      </c>
      <c r="D172" s="1914">
        <v>0.13</v>
      </c>
      <c r="E172" s="1914">
        <v>0.13</v>
      </c>
      <c r="F172" s="1919"/>
    </row>
    <row r="173" spans="1:6" ht="14.25" thickBot="1">
      <c r="A173" s="1342" t="s">
        <v>1461</v>
      </c>
      <c r="B173" s="1336" t="s">
        <v>1283</v>
      </c>
      <c r="C173" s="1914">
        <v>0.13</v>
      </c>
      <c r="D173" s="1914">
        <v>0.13</v>
      </c>
      <c r="E173" s="1914">
        <v>0.13</v>
      </c>
      <c r="F173" s="1919"/>
    </row>
    <row r="174" spans="1:6" ht="14.25" thickBot="1">
      <c r="A174" s="1342" t="s">
        <v>1461</v>
      </c>
      <c r="B174" s="1336" t="s">
        <v>2066</v>
      </c>
      <c r="C174" s="1914">
        <v>0.13</v>
      </c>
      <c r="D174" s="1914">
        <v>0.13</v>
      </c>
      <c r="E174" s="1914">
        <v>0.13</v>
      </c>
      <c r="F174" s="1915">
        <v>0.13</v>
      </c>
    </row>
    <row r="175" spans="1:6" ht="14.25" thickBot="1">
      <c r="A175" s="1342" t="s">
        <v>1461</v>
      </c>
      <c r="B175" s="1336" t="s">
        <v>2067</v>
      </c>
      <c r="C175" s="1914">
        <v>0.13</v>
      </c>
      <c r="D175" s="1914">
        <v>0.13</v>
      </c>
      <c r="E175" s="1914">
        <v>0.13</v>
      </c>
      <c r="F175" s="1915">
        <v>0.13</v>
      </c>
    </row>
    <row r="176" spans="1:6" ht="14.25" thickBot="1">
      <c r="A176" s="1342" t="s">
        <v>1461</v>
      </c>
      <c r="B176" s="1336" t="s">
        <v>1313</v>
      </c>
      <c r="C176" s="1914">
        <v>0.13</v>
      </c>
      <c r="D176" s="1914">
        <v>0.13</v>
      </c>
      <c r="E176" s="1914">
        <v>0.13</v>
      </c>
      <c r="F176" s="1915">
        <v>0.13</v>
      </c>
    </row>
    <row r="177" spans="1:6" ht="14.25" thickBot="1">
      <c r="A177" s="1342" t="s">
        <v>1461</v>
      </c>
      <c r="B177" s="1336" t="s">
        <v>2068</v>
      </c>
      <c r="C177" s="1914">
        <v>0.13</v>
      </c>
      <c r="D177" s="1914">
        <v>0.13</v>
      </c>
      <c r="E177" s="1914">
        <v>0.13</v>
      </c>
      <c r="F177" s="1915">
        <v>0.13</v>
      </c>
    </row>
    <row r="178" spans="1:6" ht="14.25" thickBot="1">
      <c r="A178" s="1342" t="s">
        <v>1461</v>
      </c>
      <c r="B178" s="1336" t="s">
        <v>1331</v>
      </c>
      <c r="C178" s="1914">
        <v>0.13</v>
      </c>
      <c r="D178" s="1914">
        <v>0.13</v>
      </c>
      <c r="E178" s="1914">
        <v>0.13</v>
      </c>
      <c r="F178" s="1915">
        <v>0.127</v>
      </c>
    </row>
    <row r="179" spans="1:6" ht="14.25" thickBot="1">
      <c r="A179" s="1342" t="s">
        <v>1461</v>
      </c>
      <c r="B179" s="1336" t="s">
        <v>1339</v>
      </c>
      <c r="C179" s="1914">
        <v>0.13</v>
      </c>
      <c r="D179" s="1914">
        <v>0.13</v>
      </c>
      <c r="E179" s="1914">
        <v>0.13</v>
      </c>
      <c r="F179" s="1919"/>
    </row>
    <row r="180" spans="1:6" ht="14.25" thickBot="1">
      <c r="A180" s="1342" t="s">
        <v>1461</v>
      </c>
      <c r="B180" s="1336" t="s">
        <v>2069</v>
      </c>
      <c r="C180" s="1914">
        <v>0.13</v>
      </c>
      <c r="D180" s="1914">
        <v>0.13</v>
      </c>
      <c r="E180" s="1914">
        <v>0.125</v>
      </c>
      <c r="F180" s="1915">
        <v>0.13</v>
      </c>
    </row>
    <row r="181" spans="1:6" ht="14.25" thickBot="1">
      <c r="A181" s="1342" t="s">
        <v>1461</v>
      </c>
      <c r="B181" s="1336" t="s">
        <v>1353</v>
      </c>
      <c r="C181" s="1914">
        <v>0.122</v>
      </c>
      <c r="D181" s="1914">
        <v>0.123</v>
      </c>
      <c r="E181" s="1914">
        <v>0.126</v>
      </c>
      <c r="F181" s="1915">
        <v>0.121</v>
      </c>
    </row>
    <row r="182" spans="1:6" ht="14.25" thickBot="1">
      <c r="A182" s="1342" t="s">
        <v>1461</v>
      </c>
      <c r="B182" s="1336" t="s">
        <v>1360</v>
      </c>
      <c r="C182" s="1914">
        <v>0.125</v>
      </c>
      <c r="D182" s="1914">
        <v>0.125</v>
      </c>
      <c r="E182" s="1914">
        <v>0.11700000000000001</v>
      </c>
      <c r="F182" s="1915">
        <v>0.13</v>
      </c>
    </row>
    <row r="183" spans="1:6" ht="14.25" thickBot="1">
      <c r="A183" s="1342" t="s">
        <v>1461</v>
      </c>
      <c r="B183" s="1336" t="s">
        <v>1367</v>
      </c>
      <c r="C183" s="1914">
        <v>0.127</v>
      </c>
      <c r="D183" s="1914">
        <v>0.127</v>
      </c>
      <c r="E183" s="1914">
        <v>0.128</v>
      </c>
      <c r="F183" s="1919"/>
    </row>
    <row r="184" spans="1:6" ht="14.25" thickBot="1">
      <c r="A184" s="1342" t="s">
        <v>1461</v>
      </c>
      <c r="B184" s="1336" t="s">
        <v>1374</v>
      </c>
      <c r="C184" s="1914">
        <v>0.125</v>
      </c>
      <c r="D184" s="1914">
        <v>0.125</v>
      </c>
      <c r="E184" s="1914">
        <v>0.127</v>
      </c>
      <c r="F184" s="1919"/>
    </row>
    <row r="185" spans="1:6" ht="14.25" thickBot="1">
      <c r="A185" s="1342" t="s">
        <v>1461</v>
      </c>
      <c r="B185" s="1336" t="s">
        <v>2070</v>
      </c>
      <c r="C185" s="1914">
        <v>0.127</v>
      </c>
      <c r="D185" s="1914">
        <v>0.127</v>
      </c>
      <c r="E185" s="1914">
        <v>0.128</v>
      </c>
      <c r="F185" s="1915">
        <v>0.13</v>
      </c>
    </row>
    <row r="186" spans="1:6" ht="24.75" thickBot="1">
      <c r="A186" s="1342" t="s">
        <v>1461</v>
      </c>
      <c r="B186" s="1336" t="s">
        <v>2071</v>
      </c>
      <c r="C186" s="1920"/>
      <c r="D186" s="1920"/>
      <c r="E186" s="1920"/>
      <c r="F186" s="1915">
        <v>0.05</v>
      </c>
    </row>
    <row r="187" spans="1:6" ht="14.25" thickBot="1">
      <c r="A187" s="1342" t="s">
        <v>1461</v>
      </c>
      <c r="B187" s="1336" t="s">
        <v>2072</v>
      </c>
      <c r="C187" s="1920"/>
      <c r="D187" s="1920"/>
      <c r="E187" s="1920"/>
      <c r="F187" s="1915">
        <v>0.05</v>
      </c>
    </row>
    <row r="188" spans="1:6" ht="14.25" thickBot="1">
      <c r="A188" s="1342" t="s">
        <v>1461</v>
      </c>
      <c r="B188" s="1336" t="s">
        <v>2073</v>
      </c>
      <c r="C188" s="1920"/>
      <c r="D188" s="1920"/>
      <c r="E188" s="1920"/>
      <c r="F188" s="1915">
        <v>0.05</v>
      </c>
    </row>
    <row r="189" spans="1:6" ht="24.75" thickBot="1">
      <c r="A189" s="1342" t="s">
        <v>1461</v>
      </c>
      <c r="B189" s="1336" t="s">
        <v>2074</v>
      </c>
      <c r="C189" s="1920"/>
      <c r="D189" s="1920"/>
      <c r="E189" s="1920"/>
      <c r="F189" s="1915">
        <v>0.05</v>
      </c>
    </row>
    <row r="190" spans="1:6" ht="24.75" thickBot="1">
      <c r="A190" s="1342" t="s">
        <v>1461</v>
      </c>
      <c r="B190" s="1336" t="s">
        <v>2075</v>
      </c>
      <c r="C190" s="1920"/>
      <c r="D190" s="1920"/>
      <c r="E190" s="1920"/>
      <c r="F190" s="1915">
        <v>0.05</v>
      </c>
    </row>
    <row r="191" spans="1:6" ht="24.75" thickBot="1">
      <c r="A191" s="1342" t="s">
        <v>1461</v>
      </c>
      <c r="B191" s="1336" t="s">
        <v>2076</v>
      </c>
      <c r="C191" s="1920"/>
      <c r="D191" s="1920"/>
      <c r="E191" s="1920"/>
      <c r="F191" s="1915">
        <v>0.05</v>
      </c>
    </row>
    <row r="192" spans="1:6" ht="24.75" thickBot="1">
      <c r="A192" s="1342" t="s">
        <v>1461</v>
      </c>
      <c r="B192" s="1336" t="s">
        <v>2077</v>
      </c>
      <c r="C192" s="1920"/>
      <c r="D192" s="1920"/>
      <c r="E192" s="1920"/>
      <c r="F192" s="1915">
        <v>0.05</v>
      </c>
    </row>
    <row r="193" spans="1:6" ht="24.75" thickBot="1">
      <c r="A193" s="1342" t="s">
        <v>1461</v>
      </c>
      <c r="B193" s="1336" t="s">
        <v>2078</v>
      </c>
      <c r="C193" s="1920"/>
      <c r="D193" s="1920"/>
      <c r="E193" s="1920"/>
      <c r="F193" s="1915">
        <v>0.05</v>
      </c>
    </row>
    <row r="194" spans="1:6" ht="24.75" thickBot="1">
      <c r="A194" s="1342" t="s">
        <v>1461</v>
      </c>
      <c r="B194" s="1336" t="s">
        <v>2079</v>
      </c>
      <c r="C194" s="1920"/>
      <c r="D194" s="1920"/>
      <c r="E194" s="1920"/>
      <c r="F194" s="1915">
        <v>0.05</v>
      </c>
    </row>
    <row r="195" spans="1:6" ht="14.25" thickBot="1">
      <c r="A195" s="1342" t="s">
        <v>1461</v>
      </c>
      <c r="B195" s="1336" t="s">
        <v>2080</v>
      </c>
      <c r="C195" s="1920"/>
      <c r="D195" s="1920"/>
      <c r="E195" s="1920"/>
      <c r="F195" s="1915">
        <v>0.05</v>
      </c>
    </row>
    <row r="196" spans="1:6" ht="24.75" thickBot="1">
      <c r="A196" s="1342" t="s">
        <v>1461</v>
      </c>
      <c r="B196" s="1336" t="s">
        <v>2081</v>
      </c>
      <c r="C196" s="1920"/>
      <c r="D196" s="1920"/>
      <c r="E196" s="1920"/>
      <c r="F196" s="1915">
        <v>0.05</v>
      </c>
    </row>
    <row r="197" spans="1:6" ht="24.75" thickBot="1">
      <c r="A197" s="1342" t="s">
        <v>1461</v>
      </c>
      <c r="B197" s="1336" t="s">
        <v>2082</v>
      </c>
      <c r="C197" s="1920"/>
      <c r="D197" s="1920"/>
      <c r="E197" s="1920"/>
      <c r="F197" s="1915">
        <v>0.05</v>
      </c>
    </row>
    <row r="198" spans="1:6" ht="24.75" thickBot="1">
      <c r="A198" s="1342" t="s">
        <v>1461</v>
      </c>
      <c r="B198" s="1336" t="s">
        <v>2083</v>
      </c>
      <c r="C198" s="1920"/>
      <c r="D198" s="1920"/>
      <c r="E198" s="1920"/>
      <c r="F198" s="1915">
        <v>0.05</v>
      </c>
    </row>
    <row r="199" spans="1:6" ht="24.75" thickBot="1">
      <c r="A199" s="1342" t="s">
        <v>1461</v>
      </c>
      <c r="B199" s="1336" t="s">
        <v>2084</v>
      </c>
      <c r="C199" s="1920"/>
      <c r="D199" s="1920"/>
      <c r="E199" s="1920"/>
      <c r="F199" s="1915">
        <v>0.05</v>
      </c>
    </row>
    <row r="200" spans="1:6" ht="24.75" thickBot="1">
      <c r="A200" s="1342" t="s">
        <v>1461</v>
      </c>
      <c r="B200" s="1336" t="s">
        <v>2085</v>
      </c>
      <c r="C200" s="1920"/>
      <c r="D200" s="1920"/>
      <c r="E200" s="1920"/>
      <c r="F200" s="1915">
        <v>0.05</v>
      </c>
    </row>
    <row r="201" spans="1:6" ht="24.75" thickBot="1">
      <c r="A201" s="1342" t="s">
        <v>1461</v>
      </c>
      <c r="B201" s="1336" t="s">
        <v>2086</v>
      </c>
      <c r="C201" s="1920"/>
      <c r="D201" s="1920"/>
      <c r="E201" s="1920"/>
      <c r="F201" s="1915">
        <v>0.05</v>
      </c>
    </row>
    <row r="202" spans="1:6" ht="24.75" thickBot="1">
      <c r="A202" s="1342" t="s">
        <v>1461</v>
      </c>
      <c r="B202" s="1336" t="s">
        <v>2087</v>
      </c>
      <c r="C202" s="1920"/>
      <c r="D202" s="1920"/>
      <c r="E202" s="1920"/>
      <c r="F202" s="1915">
        <v>0.05</v>
      </c>
    </row>
    <row r="203" spans="1:6" ht="24.75" thickBot="1">
      <c r="A203" s="1342" t="s">
        <v>1461</v>
      </c>
      <c r="B203" s="1336" t="s">
        <v>2088</v>
      </c>
      <c r="C203" s="1920"/>
      <c r="D203" s="1920"/>
      <c r="E203" s="1920"/>
      <c r="F203" s="1915">
        <v>0.05</v>
      </c>
    </row>
    <row r="204" spans="1:6" ht="14.25" thickBot="1">
      <c r="A204" s="1342" t="s">
        <v>1461</v>
      </c>
      <c r="B204" s="1336" t="s">
        <v>2089</v>
      </c>
      <c r="C204" s="1920"/>
      <c r="D204" s="1920"/>
      <c r="E204" s="1920"/>
      <c r="F204" s="1915">
        <v>0.05</v>
      </c>
    </row>
    <row r="205" spans="1:6" ht="14.25" thickBot="1">
      <c r="A205" s="1359" t="s">
        <v>1461</v>
      </c>
      <c r="B205" s="1352" t="s">
        <v>2090</v>
      </c>
      <c r="C205" s="1917"/>
      <c r="D205" s="1917"/>
      <c r="E205" s="1917"/>
      <c r="F205" s="1921">
        <v>0.05</v>
      </c>
    </row>
    <row r="206" spans="1:6" ht="14.25" thickBot="1">
      <c r="A206" s="1342" t="s">
        <v>1463</v>
      </c>
      <c r="B206" s="1343" t="s">
        <v>2091</v>
      </c>
      <c r="C206" s="1912">
        <v>0.15</v>
      </c>
      <c r="D206" s="1912">
        <v>0.15</v>
      </c>
      <c r="E206" s="1912">
        <v>0.15</v>
      </c>
      <c r="F206" s="1913">
        <v>0.15</v>
      </c>
    </row>
    <row r="207" spans="1:6" ht="14.25" thickBot="1">
      <c r="A207" s="1342" t="s">
        <v>1463</v>
      </c>
      <c r="B207" s="1336" t="s">
        <v>1121</v>
      </c>
      <c r="C207" s="1914">
        <v>0.15</v>
      </c>
      <c r="D207" s="1914">
        <v>0.15</v>
      </c>
      <c r="E207" s="1914">
        <v>0.15</v>
      </c>
      <c r="F207" s="1915">
        <v>0.14399999999999999</v>
      </c>
    </row>
    <row r="208" spans="1:6" ht="14.25" thickBot="1">
      <c r="A208" s="1342" t="s">
        <v>1463</v>
      </c>
      <c r="B208" s="1336" t="s">
        <v>1134</v>
      </c>
      <c r="C208" s="1914">
        <v>0.15</v>
      </c>
      <c r="D208" s="1914">
        <v>0.15</v>
      </c>
      <c r="E208" s="1914">
        <v>0.15</v>
      </c>
      <c r="F208" s="1915">
        <v>0.15</v>
      </c>
    </row>
    <row r="209" spans="1:6" ht="14.25" thickBot="1">
      <c r="A209" s="1342" t="s">
        <v>1463</v>
      </c>
      <c r="B209" s="1336" t="s">
        <v>1147</v>
      </c>
      <c r="C209" s="1914">
        <v>0.13700000000000001</v>
      </c>
      <c r="D209" s="1914">
        <v>0.13700000000000001</v>
      </c>
      <c r="E209" s="1914">
        <v>0.14000000000000001</v>
      </c>
      <c r="F209" s="1915">
        <v>0.11700000000000001</v>
      </c>
    </row>
    <row r="210" spans="1:6" ht="14.25" thickBot="1">
      <c r="A210" s="1342" t="s">
        <v>1463</v>
      </c>
      <c r="B210" s="1336" t="s">
        <v>2092</v>
      </c>
      <c r="C210" s="1914">
        <v>0.15</v>
      </c>
      <c r="D210" s="1914">
        <v>0.15</v>
      </c>
      <c r="E210" s="1914">
        <v>0.15</v>
      </c>
      <c r="F210" s="1915">
        <v>0.13800000000000001</v>
      </c>
    </row>
    <row r="211" spans="1:6" ht="14.25" thickBot="1">
      <c r="A211" s="1342" t="s">
        <v>1463</v>
      </c>
      <c r="B211" s="1336" t="s">
        <v>2093</v>
      </c>
      <c r="C211" s="1914">
        <v>0.13700000000000001</v>
      </c>
      <c r="D211" s="1914">
        <v>0.13500000000000001</v>
      </c>
      <c r="E211" s="1914">
        <v>0.13600000000000001</v>
      </c>
      <c r="F211" s="1915">
        <v>0.1</v>
      </c>
    </row>
    <row r="212" spans="1:6" ht="14.25" thickBot="1">
      <c r="A212" s="1342" t="s">
        <v>1463</v>
      </c>
      <c r="B212" s="1336" t="s">
        <v>2094</v>
      </c>
      <c r="C212" s="1914">
        <v>0.15</v>
      </c>
      <c r="D212" s="1914">
        <v>0.15</v>
      </c>
      <c r="E212" s="1914">
        <v>0.14799999999999999</v>
      </c>
      <c r="F212" s="1915">
        <v>0.13600000000000001</v>
      </c>
    </row>
    <row r="213" spans="1:6" ht="14.25" thickBot="1">
      <c r="A213" s="1342" t="s">
        <v>1463</v>
      </c>
      <c r="B213" s="1336" t="s">
        <v>1195</v>
      </c>
      <c r="C213" s="1914">
        <v>0.15</v>
      </c>
      <c r="D213" s="1914">
        <v>0.15</v>
      </c>
      <c r="E213" s="1914">
        <v>0.15</v>
      </c>
      <c r="F213" s="1915">
        <v>0.13800000000000001</v>
      </c>
    </row>
    <row r="214" spans="1:6" ht="14.25" thickBot="1">
      <c r="A214" s="1342" t="s">
        <v>1463</v>
      </c>
      <c r="B214" s="1336" t="s">
        <v>1208</v>
      </c>
      <c r="C214" s="1914">
        <v>9.0999999999999998E-2</v>
      </c>
      <c r="D214" s="1914">
        <v>0.09</v>
      </c>
      <c r="E214" s="1914">
        <v>9.1999999999999998E-2</v>
      </c>
      <c r="F214" s="1919"/>
    </row>
    <row r="215" spans="1:6" ht="14.25" thickBot="1">
      <c r="A215" s="1342" t="s">
        <v>1463</v>
      </c>
      <c r="B215" s="1336" t="s">
        <v>2095</v>
      </c>
      <c r="C215" s="1914">
        <v>0.15</v>
      </c>
      <c r="D215" s="1914">
        <v>0.15</v>
      </c>
      <c r="E215" s="1914">
        <v>0.15</v>
      </c>
      <c r="F215" s="1915">
        <v>0.15</v>
      </c>
    </row>
    <row r="216" spans="1:6" ht="14.25" thickBot="1">
      <c r="A216" s="1342" t="s">
        <v>1463</v>
      </c>
      <c r="B216" s="1336" t="s">
        <v>1230</v>
      </c>
      <c r="C216" s="1914">
        <v>0.14699999999999999</v>
      </c>
      <c r="D216" s="1914">
        <v>0.14699999999999999</v>
      </c>
      <c r="E216" s="1914">
        <v>0.15</v>
      </c>
      <c r="F216" s="1915">
        <v>0.14000000000000001</v>
      </c>
    </row>
    <row r="217" spans="1:6" ht="14.25" thickBot="1">
      <c r="A217" s="1342" t="s">
        <v>1463</v>
      </c>
      <c r="B217" s="1336" t="s">
        <v>1241</v>
      </c>
      <c r="C217" s="1914">
        <v>0.15</v>
      </c>
      <c r="D217" s="1914">
        <v>0.15</v>
      </c>
      <c r="E217" s="1914">
        <v>0.15</v>
      </c>
      <c r="F217" s="1915">
        <v>0.15</v>
      </c>
    </row>
    <row r="218" spans="1:6" ht="14.25" thickBot="1">
      <c r="A218" s="1342" t="s">
        <v>1463</v>
      </c>
      <c r="B218" s="1336" t="s">
        <v>2096</v>
      </c>
      <c r="C218" s="1914">
        <v>0.15</v>
      </c>
      <c r="D218" s="1914">
        <v>0.15</v>
      </c>
      <c r="E218" s="1914">
        <v>0.15</v>
      </c>
      <c r="F218" s="1915">
        <v>0.15</v>
      </c>
    </row>
    <row r="219" spans="1:6" ht="14.25" thickBot="1">
      <c r="A219" s="1342" t="s">
        <v>1463</v>
      </c>
      <c r="B219" s="1336" t="s">
        <v>1263</v>
      </c>
      <c r="C219" s="1914">
        <v>0.15</v>
      </c>
      <c r="D219" s="1914">
        <v>0.15</v>
      </c>
      <c r="E219" s="1914">
        <v>0.15</v>
      </c>
      <c r="F219" s="1915">
        <v>0.14799999999999999</v>
      </c>
    </row>
    <row r="220" spans="1:6" ht="14.25" thickBot="1">
      <c r="A220" s="1342" t="s">
        <v>1463</v>
      </c>
      <c r="B220" s="1336" t="s">
        <v>2097</v>
      </c>
      <c r="C220" s="1914">
        <v>0.15</v>
      </c>
      <c r="D220" s="1914">
        <v>0.15</v>
      </c>
      <c r="E220" s="1914">
        <v>0.15</v>
      </c>
      <c r="F220" s="1915">
        <v>0.15</v>
      </c>
    </row>
    <row r="221" spans="1:6" ht="14.25" thickBot="1">
      <c r="A221" s="1342" t="s">
        <v>1463</v>
      </c>
      <c r="B221" s="1336" t="s">
        <v>1284</v>
      </c>
      <c r="C221" s="1914"/>
      <c r="D221" s="1920"/>
      <c r="E221" s="1920"/>
      <c r="F221" s="1915">
        <v>0.14799999999999999</v>
      </c>
    </row>
    <row r="222" spans="1:6" ht="14.25" thickBot="1">
      <c r="A222" s="1342" t="s">
        <v>1463</v>
      </c>
      <c r="B222" s="1336" t="s">
        <v>1294</v>
      </c>
      <c r="C222" s="1914"/>
      <c r="D222" s="1920"/>
      <c r="E222" s="1920"/>
      <c r="F222" s="1915">
        <v>0.1</v>
      </c>
    </row>
    <row r="223" spans="1:6" ht="14.25" thickBot="1">
      <c r="A223" s="1342" t="s">
        <v>1463</v>
      </c>
      <c r="B223" s="1336" t="s">
        <v>1304</v>
      </c>
      <c r="C223" s="1914"/>
      <c r="D223" s="1920"/>
      <c r="E223" s="1920"/>
      <c r="F223" s="1915">
        <v>0.15</v>
      </c>
    </row>
    <row r="224" spans="1:6" ht="14.25" thickBot="1">
      <c r="A224" s="1342" t="s">
        <v>1463</v>
      </c>
      <c r="B224" s="1336" t="s">
        <v>1314</v>
      </c>
      <c r="C224" s="1914"/>
      <c r="D224" s="1920"/>
      <c r="E224" s="1920"/>
      <c r="F224" s="1915">
        <v>0.15</v>
      </c>
    </row>
    <row r="225" spans="1:6" ht="14.25" thickBot="1">
      <c r="A225" s="1342" t="s">
        <v>1463</v>
      </c>
      <c r="B225" s="1336" t="s">
        <v>2098</v>
      </c>
      <c r="C225" s="1914">
        <v>0.15</v>
      </c>
      <c r="D225" s="1914">
        <v>0.15</v>
      </c>
      <c r="E225" s="1914">
        <v>0.15</v>
      </c>
      <c r="F225" s="1915">
        <v>0.15</v>
      </c>
    </row>
    <row r="226" spans="1:6" ht="14.25" thickBot="1">
      <c r="A226" s="1342" t="s">
        <v>1463</v>
      </c>
      <c r="B226" s="1336" t="s">
        <v>1332</v>
      </c>
      <c r="C226" s="1914">
        <v>0.15</v>
      </c>
      <c r="D226" s="1914">
        <v>0.15</v>
      </c>
      <c r="E226" s="1914">
        <v>0.15</v>
      </c>
      <c r="F226" s="1915">
        <v>0.14799999999999999</v>
      </c>
    </row>
    <row r="227" spans="1:6" ht="14.25" thickBot="1">
      <c r="A227" s="1342" t="s">
        <v>1463</v>
      </c>
      <c r="B227" s="1336" t="s">
        <v>2099</v>
      </c>
      <c r="C227" s="1914">
        <v>0.15</v>
      </c>
      <c r="D227" s="1914">
        <v>0.15</v>
      </c>
      <c r="E227" s="1914">
        <v>0.15</v>
      </c>
      <c r="F227" s="1915">
        <v>0.15</v>
      </c>
    </row>
    <row r="228" spans="1:6" ht="14.25" thickBot="1">
      <c r="A228" s="1342" t="s">
        <v>1463</v>
      </c>
      <c r="B228" s="1336" t="s">
        <v>1347</v>
      </c>
      <c r="C228" s="1914">
        <v>0.15</v>
      </c>
      <c r="D228" s="1914">
        <v>0.15</v>
      </c>
      <c r="E228" s="1914">
        <v>0.15</v>
      </c>
      <c r="F228" s="1915">
        <v>0.15</v>
      </c>
    </row>
    <row r="229" spans="1:6" ht="14.25" thickBot="1">
      <c r="A229" s="1342" t="s">
        <v>1463</v>
      </c>
      <c r="B229" s="1336" t="s">
        <v>1354</v>
      </c>
      <c r="C229" s="1914">
        <v>0.15</v>
      </c>
      <c r="D229" s="1914">
        <v>0.15</v>
      </c>
      <c r="E229" s="1914">
        <v>0.15</v>
      </c>
      <c r="F229" s="1919"/>
    </row>
    <row r="230" spans="1:6" ht="14.25" thickBot="1">
      <c r="A230" s="1342" t="s">
        <v>1463</v>
      </c>
      <c r="B230" s="1336" t="s">
        <v>1361</v>
      </c>
      <c r="C230" s="1914">
        <v>0.14499999999999999</v>
      </c>
      <c r="D230" s="1914">
        <v>0.14499999999999999</v>
      </c>
      <c r="E230" s="1914">
        <v>0.14399999999999999</v>
      </c>
      <c r="F230" s="1919"/>
    </row>
    <row r="231" spans="1:6" ht="14.25" thickBot="1">
      <c r="A231" s="1342" t="s">
        <v>1463</v>
      </c>
      <c r="B231" s="1336" t="s">
        <v>2100</v>
      </c>
      <c r="C231" s="1914">
        <v>0.128</v>
      </c>
      <c r="D231" s="1914">
        <v>0.125</v>
      </c>
      <c r="E231" s="1914">
        <v>0.13200000000000001</v>
      </c>
      <c r="F231" s="1919"/>
    </row>
    <row r="232" spans="1:6" ht="14.25" thickBot="1">
      <c r="A232" s="1342" t="s">
        <v>1463</v>
      </c>
      <c r="B232" s="1336" t="s">
        <v>2101</v>
      </c>
      <c r="C232" s="1914">
        <v>0.14499999999999999</v>
      </c>
      <c r="D232" s="1914">
        <v>0.14399999999999999</v>
      </c>
      <c r="E232" s="1914">
        <v>0.14599999999999999</v>
      </c>
      <c r="F232" s="1915">
        <v>0.13800000000000001</v>
      </c>
    </row>
    <row r="233" spans="1:6" ht="14.25" thickBot="1">
      <c r="A233" s="1342" t="s">
        <v>1463</v>
      </c>
      <c r="B233" s="1336" t="s">
        <v>2102</v>
      </c>
      <c r="C233" s="1914">
        <v>0.14499999999999999</v>
      </c>
      <c r="D233" s="1914">
        <v>0.14299999999999999</v>
      </c>
      <c r="E233" s="1914">
        <v>0.14199999999999999</v>
      </c>
      <c r="F233" s="1919"/>
    </row>
    <row r="234" spans="1:6" ht="14.25" thickBot="1">
      <c r="A234" s="1342" t="s">
        <v>1463</v>
      </c>
      <c r="B234" s="1336" t="s">
        <v>2103</v>
      </c>
      <c r="C234" s="1914">
        <v>0.14000000000000001</v>
      </c>
      <c r="D234" s="1914">
        <v>0.14000000000000001</v>
      </c>
      <c r="E234" s="1914">
        <v>0.14399999999999999</v>
      </c>
      <c r="F234" s="1919"/>
    </row>
    <row r="235" spans="1:6" ht="14.25" thickBot="1">
      <c r="A235" s="1342" t="s">
        <v>1463</v>
      </c>
      <c r="B235" s="1336" t="s">
        <v>2104</v>
      </c>
      <c r="C235" s="1914">
        <v>0.14099999999999999</v>
      </c>
      <c r="D235" s="1914">
        <v>0.14199999999999999</v>
      </c>
      <c r="E235" s="1914">
        <v>0.14499999999999999</v>
      </c>
      <c r="F235" s="1915">
        <v>0.15</v>
      </c>
    </row>
    <row r="236" spans="1:6" ht="14.25" thickBot="1">
      <c r="A236" s="1342" t="s">
        <v>1463</v>
      </c>
      <c r="B236" s="1336" t="s">
        <v>1396</v>
      </c>
      <c r="C236" s="1920"/>
      <c r="D236" s="1920"/>
      <c r="E236" s="1920"/>
      <c r="F236" s="1915">
        <v>0.14299999999999999</v>
      </c>
    </row>
    <row r="237" spans="1:6" ht="24.75" thickBot="1">
      <c r="A237" s="1342" t="s">
        <v>1463</v>
      </c>
      <c r="B237" s="1336" t="s">
        <v>2105</v>
      </c>
      <c r="C237" s="1920"/>
      <c r="D237" s="1920"/>
      <c r="E237" s="1920"/>
      <c r="F237" s="1915">
        <v>0.05</v>
      </c>
    </row>
    <row r="238" spans="1:6" ht="24.75" thickBot="1">
      <c r="A238" s="1342" t="s">
        <v>1463</v>
      </c>
      <c r="B238" s="1336" t="s">
        <v>2106</v>
      </c>
      <c r="C238" s="1920"/>
      <c r="D238" s="1920"/>
      <c r="E238" s="1920"/>
      <c r="F238" s="1915">
        <v>0.05</v>
      </c>
    </row>
    <row r="239" spans="1:6" ht="24.75" thickBot="1">
      <c r="A239" s="1342" t="s">
        <v>1463</v>
      </c>
      <c r="B239" s="1336" t="s">
        <v>2107</v>
      </c>
      <c r="C239" s="1920"/>
      <c r="D239" s="1920"/>
      <c r="E239" s="1920"/>
      <c r="F239" s="1915">
        <v>0.05</v>
      </c>
    </row>
    <row r="240" spans="1:6" ht="24.75" thickBot="1">
      <c r="A240" s="1342" t="s">
        <v>1463</v>
      </c>
      <c r="B240" s="1336" t="s">
        <v>2108</v>
      </c>
      <c r="C240" s="1920"/>
      <c r="D240" s="1920"/>
      <c r="E240" s="1920"/>
      <c r="F240" s="1915">
        <v>0.05</v>
      </c>
    </row>
    <row r="241" spans="1:6" ht="24.75" thickBot="1">
      <c r="A241" s="1342" t="s">
        <v>1463</v>
      </c>
      <c r="B241" s="1336" t="s">
        <v>2109</v>
      </c>
      <c r="C241" s="1920"/>
      <c r="D241" s="1920"/>
      <c r="E241" s="1920"/>
      <c r="F241" s="1915">
        <v>0.05</v>
      </c>
    </row>
    <row r="242" spans="1:6" ht="24.75" thickBot="1">
      <c r="A242" s="1342" t="s">
        <v>1463</v>
      </c>
      <c r="B242" s="1336" t="s">
        <v>2110</v>
      </c>
      <c r="C242" s="1920"/>
      <c r="D242" s="1920"/>
      <c r="E242" s="1920"/>
      <c r="F242" s="1915">
        <v>0.05</v>
      </c>
    </row>
    <row r="243" spans="1:6" ht="24.75" thickBot="1">
      <c r="A243" s="1342" t="s">
        <v>1463</v>
      </c>
      <c r="B243" s="1336" t="s">
        <v>2111</v>
      </c>
      <c r="C243" s="1920"/>
      <c r="D243" s="1920"/>
      <c r="E243" s="1920"/>
      <c r="F243" s="1915">
        <v>0.05</v>
      </c>
    </row>
    <row r="244" spans="1:6" ht="24.75" thickBot="1">
      <c r="A244" s="1359" t="s">
        <v>1463</v>
      </c>
      <c r="B244" s="1352" t="s">
        <v>2112</v>
      </c>
      <c r="C244" s="1917"/>
      <c r="D244" s="1917"/>
      <c r="E244" s="1917"/>
      <c r="F244" s="1921">
        <v>0.05</v>
      </c>
    </row>
    <row r="245" spans="1:6" ht="14.25" thickBot="1">
      <c r="A245" s="1342" t="s">
        <v>1465</v>
      </c>
      <c r="B245" s="1343" t="s">
        <v>2113</v>
      </c>
      <c r="C245" s="1912">
        <v>0.15</v>
      </c>
      <c r="D245" s="1912">
        <v>0.15</v>
      </c>
      <c r="E245" s="1912">
        <v>0.15</v>
      </c>
      <c r="F245" s="1913">
        <v>0.14299999999999999</v>
      </c>
    </row>
    <row r="246" spans="1:6" ht="14.25" thickBot="1">
      <c r="A246" s="1342" t="s">
        <v>1465</v>
      </c>
      <c r="B246" s="1336" t="s">
        <v>1122</v>
      </c>
      <c r="C246" s="1914">
        <v>0.15</v>
      </c>
      <c r="D246" s="1914">
        <v>0.15</v>
      </c>
      <c r="E246" s="1914">
        <v>0.15</v>
      </c>
      <c r="F246" s="1915">
        <v>0.114</v>
      </c>
    </row>
    <row r="247" spans="1:6" ht="14.25" thickBot="1">
      <c r="A247" s="1342" t="s">
        <v>1465</v>
      </c>
      <c r="B247" s="1336" t="s">
        <v>2114</v>
      </c>
      <c r="C247" s="1914">
        <v>0.15</v>
      </c>
      <c r="D247" s="1914">
        <v>0.15</v>
      </c>
      <c r="E247" s="1914">
        <v>0.15</v>
      </c>
      <c r="F247" s="1915">
        <v>0.15</v>
      </c>
    </row>
    <row r="248" spans="1:6" ht="14.25" thickBot="1">
      <c r="A248" s="1342" t="s">
        <v>1465</v>
      </c>
      <c r="B248" s="1336" t="s">
        <v>2115</v>
      </c>
      <c r="C248" s="1914">
        <v>0.15</v>
      </c>
      <c r="D248" s="1914">
        <v>0.15</v>
      </c>
      <c r="E248" s="1914">
        <v>0.15</v>
      </c>
      <c r="F248" s="1915">
        <v>0.14000000000000001</v>
      </c>
    </row>
    <row r="249" spans="1:6" ht="14.25" thickBot="1">
      <c r="A249" s="1342" t="s">
        <v>1465</v>
      </c>
      <c r="B249" s="1336" t="s">
        <v>2116</v>
      </c>
      <c r="C249" s="1914">
        <v>0.15</v>
      </c>
      <c r="D249" s="1914">
        <v>0.14899999999999999</v>
      </c>
      <c r="E249" s="1914">
        <v>0.15</v>
      </c>
      <c r="F249" s="1915">
        <v>0.1</v>
      </c>
    </row>
    <row r="250" spans="1:6" ht="14.25" thickBot="1">
      <c r="A250" s="1342" t="s">
        <v>1465</v>
      </c>
      <c r="B250" s="1336" t="s">
        <v>2117</v>
      </c>
      <c r="C250" s="1914">
        <v>0.15</v>
      </c>
      <c r="D250" s="1914">
        <v>0.15</v>
      </c>
      <c r="E250" s="1914">
        <v>0.15</v>
      </c>
      <c r="F250" s="1915">
        <v>0.14399999999999999</v>
      </c>
    </row>
    <row r="251" spans="1:6" ht="14.25" thickBot="1">
      <c r="A251" s="1342" t="s">
        <v>1465</v>
      </c>
      <c r="B251" s="1336" t="s">
        <v>1184</v>
      </c>
      <c r="C251" s="1914">
        <v>0.15</v>
      </c>
      <c r="D251" s="1914">
        <v>0.15</v>
      </c>
      <c r="E251" s="1914">
        <v>0.15</v>
      </c>
      <c r="F251" s="1915">
        <v>0.14299999999999999</v>
      </c>
    </row>
    <row r="252" spans="1:6" ht="14.25" thickBot="1">
      <c r="A252" s="1342" t="s">
        <v>1465</v>
      </c>
      <c r="B252" s="1336" t="s">
        <v>1196</v>
      </c>
      <c r="C252" s="1914">
        <v>0.15</v>
      </c>
      <c r="D252" s="1914">
        <v>0.15</v>
      </c>
      <c r="E252" s="1914">
        <v>0.15</v>
      </c>
      <c r="F252" s="1915">
        <v>0.1</v>
      </c>
    </row>
    <row r="253" spans="1:6" ht="14.25" thickBot="1">
      <c r="A253" s="1342" t="s">
        <v>1465</v>
      </c>
      <c r="B253" s="1336" t="s">
        <v>1209</v>
      </c>
      <c r="C253" s="1914">
        <v>0.15</v>
      </c>
      <c r="D253" s="1914">
        <v>0.15</v>
      </c>
      <c r="E253" s="1914">
        <v>0.15</v>
      </c>
      <c r="F253" s="1915">
        <v>0.1</v>
      </c>
    </row>
    <row r="254" spans="1:6" ht="14.25" thickBot="1">
      <c r="A254" s="1342" t="s">
        <v>1465</v>
      </c>
      <c r="B254" s="1336" t="s">
        <v>1220</v>
      </c>
      <c r="C254" s="1920"/>
      <c r="D254" s="1920"/>
      <c r="E254" s="1920"/>
      <c r="F254" s="1915">
        <v>0.15</v>
      </c>
    </row>
    <row r="255" spans="1:6" ht="14.25" thickBot="1">
      <c r="A255" s="1342" t="s">
        <v>1465</v>
      </c>
      <c r="B255" s="1336" t="s">
        <v>1231</v>
      </c>
      <c r="C255" s="1920"/>
      <c r="D255" s="1920"/>
      <c r="E255" s="1920"/>
      <c r="F255" s="1915">
        <v>0.14299999999999999</v>
      </c>
    </row>
    <row r="256" spans="1:6" ht="14.25" thickBot="1">
      <c r="A256" s="1342" t="s">
        <v>1465</v>
      </c>
      <c r="B256" s="1336" t="s">
        <v>2118</v>
      </c>
      <c r="C256" s="1914">
        <v>0.14599999999999999</v>
      </c>
      <c r="D256" s="1914">
        <v>0.14699999999999999</v>
      </c>
      <c r="E256" s="1914">
        <v>0.15</v>
      </c>
      <c r="F256" s="1915">
        <v>0.13200000000000001</v>
      </c>
    </row>
    <row r="257" spans="1:6" ht="14.25" thickBot="1">
      <c r="A257" s="1342" t="s">
        <v>1465</v>
      </c>
      <c r="B257" s="1336" t="s">
        <v>1253</v>
      </c>
      <c r="C257" s="1914">
        <v>0.15</v>
      </c>
      <c r="D257" s="1914">
        <v>0.15</v>
      </c>
      <c r="E257" s="1914">
        <v>0.15</v>
      </c>
      <c r="F257" s="1915">
        <v>0.13900000000000001</v>
      </c>
    </row>
    <row r="258" spans="1:6" ht="14.25" thickBot="1">
      <c r="A258" s="1342" t="s">
        <v>1465</v>
      </c>
      <c r="B258" s="1336" t="s">
        <v>1264</v>
      </c>
      <c r="C258" s="1914">
        <v>0.15</v>
      </c>
      <c r="D258" s="1914">
        <v>0.15</v>
      </c>
      <c r="E258" s="1914">
        <v>0.15</v>
      </c>
      <c r="F258" s="1915">
        <v>0.13</v>
      </c>
    </row>
    <row r="259" spans="1:6" ht="14.25" thickBot="1">
      <c r="A259" s="1342" t="s">
        <v>1465</v>
      </c>
      <c r="B259" s="1336" t="s">
        <v>2119</v>
      </c>
      <c r="C259" s="1914">
        <v>0.14799999999999999</v>
      </c>
      <c r="D259" s="1914">
        <v>0.14899999999999999</v>
      </c>
      <c r="E259" s="1914">
        <v>0.15</v>
      </c>
      <c r="F259" s="1915">
        <v>0.13700000000000001</v>
      </c>
    </row>
    <row r="260" spans="1:6" ht="14.25" thickBot="1">
      <c r="A260" s="1342" t="s">
        <v>1465</v>
      </c>
      <c r="B260" s="1336" t="s">
        <v>1285</v>
      </c>
      <c r="C260" s="1914">
        <v>0.15</v>
      </c>
      <c r="D260" s="1914">
        <v>0.15</v>
      </c>
      <c r="E260" s="1914">
        <v>0.15</v>
      </c>
      <c r="F260" s="1915">
        <v>0.14199999999999999</v>
      </c>
    </row>
    <row r="261" spans="1:6" ht="14.25" thickBot="1">
      <c r="A261" s="1342" t="s">
        <v>1465</v>
      </c>
      <c r="B261" s="1336" t="s">
        <v>1295</v>
      </c>
      <c r="C261" s="1914">
        <v>0.15</v>
      </c>
      <c r="D261" s="1914">
        <v>0.15</v>
      </c>
      <c r="E261" s="1914">
        <v>0.14899999999999999</v>
      </c>
      <c r="F261" s="1915">
        <v>0.14799999999999999</v>
      </c>
    </row>
    <row r="262" spans="1:6" ht="14.25" thickBot="1">
      <c r="A262" s="1342" t="s">
        <v>1465</v>
      </c>
      <c r="B262" s="1336" t="s">
        <v>1305</v>
      </c>
      <c r="C262" s="1914">
        <v>0.15</v>
      </c>
      <c r="D262" s="1914">
        <v>0.15</v>
      </c>
      <c r="E262" s="1914">
        <v>0.15</v>
      </c>
      <c r="F262" s="1919"/>
    </row>
    <row r="263" spans="1:6" ht="14.25" thickBot="1">
      <c r="A263" s="1342" t="s">
        <v>1465</v>
      </c>
      <c r="B263" s="1336" t="s">
        <v>2120</v>
      </c>
      <c r="C263" s="1914">
        <v>0.14899999999999999</v>
      </c>
      <c r="D263" s="1914">
        <v>0.14899999999999999</v>
      </c>
      <c r="E263" s="1914">
        <v>0.15</v>
      </c>
      <c r="F263" s="1915">
        <v>0.13</v>
      </c>
    </row>
    <row r="264" spans="1:6" ht="14.25" thickBot="1">
      <c r="A264" s="1342" t="s">
        <v>1465</v>
      </c>
      <c r="B264" s="1336" t="s">
        <v>1324</v>
      </c>
      <c r="C264" s="1914">
        <v>0.14799999999999999</v>
      </c>
      <c r="D264" s="1914">
        <v>0.14699999999999999</v>
      </c>
      <c r="E264" s="1914">
        <v>0.15</v>
      </c>
      <c r="F264" s="1915">
        <v>7.8E-2</v>
      </c>
    </row>
    <row r="265" spans="1:6" ht="14.25" thickBot="1">
      <c r="A265" s="1342" t="s">
        <v>1465</v>
      </c>
      <c r="B265" s="1336" t="s">
        <v>1333</v>
      </c>
      <c r="C265" s="1914">
        <v>0.15</v>
      </c>
      <c r="D265" s="1914">
        <v>0.15</v>
      </c>
      <c r="E265" s="1914">
        <v>0.15</v>
      </c>
      <c r="F265" s="1915">
        <v>7.3999999999999996E-2</v>
      </c>
    </row>
    <row r="266" spans="1:6" ht="14.25" thickBot="1">
      <c r="A266" s="1342" t="s">
        <v>1465</v>
      </c>
      <c r="B266" s="1336" t="s">
        <v>1341</v>
      </c>
      <c r="C266" s="1914">
        <v>0.14699999999999999</v>
      </c>
      <c r="D266" s="1914">
        <v>0.14699999999999999</v>
      </c>
      <c r="E266" s="1914">
        <v>0.15</v>
      </c>
      <c r="F266" s="1915">
        <v>0.14299999999999999</v>
      </c>
    </row>
    <row r="267" spans="1:6" ht="14.25" thickBot="1">
      <c r="A267" s="1342" t="s">
        <v>1465</v>
      </c>
      <c r="B267" s="1336" t="s">
        <v>1348</v>
      </c>
      <c r="C267" s="1914">
        <v>0.14199999999999999</v>
      </c>
      <c r="D267" s="1914">
        <v>0.14299999999999999</v>
      </c>
      <c r="E267" s="1914">
        <v>0.15</v>
      </c>
      <c r="F267" s="1919"/>
    </row>
    <row r="268" spans="1:6" ht="14.25" thickBot="1">
      <c r="A268" s="1342" t="s">
        <v>1465</v>
      </c>
      <c r="B268" s="1336" t="s">
        <v>2121</v>
      </c>
      <c r="C268" s="1914">
        <v>0.15</v>
      </c>
      <c r="D268" s="1914">
        <v>0.15</v>
      </c>
      <c r="E268" s="1914">
        <v>0.15</v>
      </c>
      <c r="F268" s="1915">
        <v>0.13</v>
      </c>
    </row>
    <row r="269" spans="1:6" ht="14.25" thickBot="1">
      <c r="A269" s="1342" t="s">
        <v>1465</v>
      </c>
      <c r="B269" s="1336" t="s">
        <v>1362</v>
      </c>
      <c r="C269" s="1914">
        <v>0.15</v>
      </c>
      <c r="D269" s="1914">
        <v>0.15</v>
      </c>
      <c r="E269" s="1914">
        <v>0.15</v>
      </c>
      <c r="F269" s="1915">
        <v>0.14299999999999999</v>
      </c>
    </row>
    <row r="270" spans="1:6" ht="14.25" thickBot="1">
      <c r="A270" s="1342" t="s">
        <v>1465</v>
      </c>
      <c r="B270" s="1336" t="s">
        <v>1369</v>
      </c>
      <c r="C270" s="1914">
        <v>0.14499999999999999</v>
      </c>
      <c r="D270" s="1914">
        <v>0.14499999999999999</v>
      </c>
      <c r="E270" s="1914">
        <v>0.15</v>
      </c>
      <c r="F270" s="1915">
        <v>0.14699999999999999</v>
      </c>
    </row>
    <row r="271" spans="1:6" ht="14.25" thickBot="1">
      <c r="A271" s="1342" t="s">
        <v>1465</v>
      </c>
      <c r="B271" s="1336" t="s">
        <v>1376</v>
      </c>
      <c r="C271" s="1914">
        <v>0.15</v>
      </c>
      <c r="D271" s="1914">
        <v>0.15</v>
      </c>
      <c r="E271" s="1914">
        <v>0.15</v>
      </c>
      <c r="F271" s="1915">
        <v>0.13800000000000001</v>
      </c>
    </row>
    <row r="272" spans="1:6" ht="14.25" thickBot="1">
      <c r="A272" s="1342" t="s">
        <v>1465</v>
      </c>
      <c r="B272" s="1336" t="s">
        <v>1383</v>
      </c>
      <c r="C272" s="1920"/>
      <c r="D272" s="1920"/>
      <c r="E272" s="1920"/>
      <c r="F272" s="1915">
        <v>0.14000000000000001</v>
      </c>
    </row>
    <row r="273" spans="1:6" ht="14.25" thickBot="1">
      <c r="A273" s="1342" t="s">
        <v>1465</v>
      </c>
      <c r="B273" s="1336" t="s">
        <v>2122</v>
      </c>
      <c r="C273" s="1914">
        <v>0.14199999999999999</v>
      </c>
      <c r="D273" s="1914">
        <v>0.14299999999999999</v>
      </c>
      <c r="E273" s="1914">
        <v>0.15</v>
      </c>
      <c r="F273" s="1915">
        <v>0.1</v>
      </c>
    </row>
    <row r="274" spans="1:6" ht="14.25" thickBot="1">
      <c r="A274" s="1342" t="s">
        <v>1465</v>
      </c>
      <c r="B274" s="1336" t="s">
        <v>2123</v>
      </c>
      <c r="C274" s="1914">
        <v>0.14799999999999999</v>
      </c>
      <c r="D274" s="1914">
        <v>0.14799999999999999</v>
      </c>
      <c r="E274" s="1914">
        <v>0.15</v>
      </c>
      <c r="F274" s="1915">
        <v>6.7000000000000004E-2</v>
      </c>
    </row>
    <row r="275" spans="1:6" ht="14.25" thickBot="1">
      <c r="A275" s="1342" t="s">
        <v>1465</v>
      </c>
      <c r="B275" s="1336" t="s">
        <v>2124</v>
      </c>
      <c r="C275" s="1914">
        <v>0.15</v>
      </c>
      <c r="D275" s="1914">
        <v>0.15</v>
      </c>
      <c r="E275" s="1914">
        <v>0.15</v>
      </c>
      <c r="F275" s="1915">
        <v>0.15</v>
      </c>
    </row>
    <row r="276" spans="1:6" ht="14.25" thickBot="1">
      <c r="A276" s="1342" t="s">
        <v>1465</v>
      </c>
      <c r="B276" s="1336" t="s">
        <v>2125</v>
      </c>
      <c r="C276" s="1914">
        <v>0.14499999999999999</v>
      </c>
      <c r="D276" s="1914">
        <v>0.14299999999999999</v>
      </c>
      <c r="E276" s="1914">
        <v>0.15</v>
      </c>
      <c r="F276" s="1915">
        <v>5.8999999999999997E-2</v>
      </c>
    </row>
    <row r="277" spans="1:6" ht="14.25" thickBot="1">
      <c r="A277" s="1342" t="s">
        <v>1465</v>
      </c>
      <c r="B277" s="1336" t="s">
        <v>2126</v>
      </c>
      <c r="C277" s="1914">
        <v>0.15</v>
      </c>
      <c r="D277" s="1914">
        <v>0.15</v>
      </c>
      <c r="E277" s="1914">
        <v>0.15</v>
      </c>
      <c r="F277" s="1915">
        <v>0.121</v>
      </c>
    </row>
    <row r="278" spans="1:6" ht="14.25" thickBot="1">
      <c r="A278" s="1342" t="s">
        <v>1465</v>
      </c>
      <c r="B278" s="1336" t="s">
        <v>2127</v>
      </c>
      <c r="C278" s="1914">
        <v>0.15</v>
      </c>
      <c r="D278" s="1914">
        <v>0.15</v>
      </c>
      <c r="E278" s="1914">
        <v>0.15</v>
      </c>
      <c r="F278" s="1915">
        <v>0.13800000000000001</v>
      </c>
    </row>
    <row r="279" spans="1:6" ht="24.75" thickBot="1">
      <c r="A279" s="1342" t="s">
        <v>1465</v>
      </c>
      <c r="B279" s="1336" t="s">
        <v>2128</v>
      </c>
      <c r="C279" s="1920"/>
      <c r="D279" s="1920"/>
      <c r="E279" s="1920"/>
      <c r="F279" s="1915">
        <v>0.05</v>
      </c>
    </row>
    <row r="280" spans="1:6" ht="24.75" thickBot="1">
      <c r="A280" s="1342" t="s">
        <v>1465</v>
      </c>
      <c r="B280" s="1336" t="s">
        <v>2129</v>
      </c>
      <c r="C280" s="1920"/>
      <c r="D280" s="1920"/>
      <c r="E280" s="1920"/>
      <c r="F280" s="1915">
        <v>0.05</v>
      </c>
    </row>
    <row r="281" spans="1:6" ht="24.75" thickBot="1">
      <c r="A281" s="1342" t="s">
        <v>1465</v>
      </c>
      <c r="B281" s="1336" t="s">
        <v>2130</v>
      </c>
      <c r="C281" s="1920"/>
      <c r="D281" s="1920"/>
      <c r="E281" s="1920"/>
      <c r="F281" s="1915">
        <v>0.05</v>
      </c>
    </row>
    <row r="282" spans="1:6" ht="24.75" thickBot="1">
      <c r="A282" s="1342" t="s">
        <v>1465</v>
      </c>
      <c r="B282" s="1336" t="s">
        <v>2131</v>
      </c>
      <c r="C282" s="1920"/>
      <c r="D282" s="1920"/>
      <c r="E282" s="1920"/>
      <c r="F282" s="1915">
        <v>0.05</v>
      </c>
    </row>
    <row r="283" spans="1:6" ht="24.75" thickBot="1">
      <c r="A283" s="1342" t="s">
        <v>1465</v>
      </c>
      <c r="B283" s="1336" t="s">
        <v>2132</v>
      </c>
      <c r="C283" s="1920"/>
      <c r="D283" s="1920"/>
      <c r="E283" s="1920"/>
      <c r="F283" s="1915">
        <v>0.05</v>
      </c>
    </row>
    <row r="284" spans="1:6" ht="24.75" thickBot="1">
      <c r="A284" s="1342" t="s">
        <v>1465</v>
      </c>
      <c r="B284" s="1336" t="s">
        <v>2133</v>
      </c>
      <c r="C284" s="1920"/>
      <c r="D284" s="1920"/>
      <c r="E284" s="1920"/>
      <c r="F284" s="1915">
        <v>0.05</v>
      </c>
    </row>
    <row r="285" spans="1:6" ht="24.75" thickBot="1">
      <c r="A285" s="1342" t="s">
        <v>1465</v>
      </c>
      <c r="B285" s="1336" t="s">
        <v>2134</v>
      </c>
      <c r="C285" s="1920"/>
      <c r="D285" s="1920"/>
      <c r="E285" s="1920"/>
      <c r="F285" s="1915">
        <v>0.05</v>
      </c>
    </row>
    <row r="286" spans="1:6" ht="24.75" thickBot="1">
      <c r="A286" s="1342" t="s">
        <v>1465</v>
      </c>
      <c r="B286" s="1336" t="s">
        <v>2135</v>
      </c>
      <c r="C286" s="1920"/>
      <c r="D286" s="1920"/>
      <c r="E286" s="1920"/>
      <c r="F286" s="1915">
        <v>0.05</v>
      </c>
    </row>
    <row r="287" spans="1:6" ht="24.75" thickBot="1">
      <c r="A287" s="1342" t="s">
        <v>1465</v>
      </c>
      <c r="B287" s="1336" t="s">
        <v>2136</v>
      </c>
      <c r="C287" s="1920"/>
      <c r="D287" s="1920"/>
      <c r="E287" s="1920"/>
      <c r="F287" s="1915">
        <v>0.05</v>
      </c>
    </row>
    <row r="288" spans="1:6" ht="24.75" thickBot="1">
      <c r="A288" s="1342" t="s">
        <v>1465</v>
      </c>
      <c r="B288" s="1336" t="s">
        <v>2137</v>
      </c>
      <c r="C288" s="1920"/>
      <c r="D288" s="1920"/>
      <c r="E288" s="1920"/>
      <c r="F288" s="1915">
        <v>0.05</v>
      </c>
    </row>
    <row r="289" spans="1:6" ht="24.75" thickBot="1">
      <c r="A289" s="1359" t="s">
        <v>1465</v>
      </c>
      <c r="B289" s="1352" t="s">
        <v>2138</v>
      </c>
      <c r="C289" s="1917"/>
      <c r="D289" s="1917"/>
      <c r="E289" s="1917"/>
      <c r="F289" s="1921">
        <v>0.05</v>
      </c>
    </row>
    <row r="290" spans="1:6" ht="14.25" thickBot="1">
      <c r="A290" s="1342" t="s">
        <v>1469</v>
      </c>
      <c r="B290" s="1343" t="s">
        <v>2139</v>
      </c>
      <c r="C290" s="1912">
        <v>0.15</v>
      </c>
      <c r="D290" s="1912">
        <v>0.15</v>
      </c>
      <c r="E290" s="1912">
        <v>0.15</v>
      </c>
      <c r="F290" s="1929"/>
    </row>
    <row r="291" spans="1:6" ht="14.25" thickBot="1">
      <c r="A291" s="1342" t="s">
        <v>1469</v>
      </c>
      <c r="B291" s="1336" t="s">
        <v>1123</v>
      </c>
      <c r="C291" s="1914">
        <v>0.15</v>
      </c>
      <c r="D291" s="1914">
        <v>0.15</v>
      </c>
      <c r="E291" s="1914">
        <v>0.15</v>
      </c>
      <c r="F291" s="1919"/>
    </row>
    <row r="292" spans="1:6" ht="14.25" thickBot="1">
      <c r="A292" s="1342" t="s">
        <v>1469</v>
      </c>
      <c r="B292" s="1336" t="s">
        <v>2140</v>
      </c>
      <c r="C292" s="1914">
        <v>0.15</v>
      </c>
      <c r="D292" s="1914">
        <v>0.15</v>
      </c>
      <c r="E292" s="1914">
        <v>0.15</v>
      </c>
      <c r="F292" s="1915">
        <v>0.14699999999999999</v>
      </c>
    </row>
    <row r="293" spans="1:6" ht="14.25" thickBot="1">
      <c r="A293" s="1342" t="s">
        <v>1469</v>
      </c>
      <c r="B293" s="1336" t="s">
        <v>2141</v>
      </c>
      <c r="C293" s="1920"/>
      <c r="D293" s="1920"/>
      <c r="E293" s="1920"/>
      <c r="F293" s="1915">
        <v>0.1</v>
      </c>
    </row>
    <row r="294" spans="1:6" ht="14.25" thickBot="1">
      <c r="A294" s="1342" t="s">
        <v>1469</v>
      </c>
      <c r="B294" s="1336" t="s">
        <v>2142</v>
      </c>
      <c r="C294" s="1914">
        <v>0.15</v>
      </c>
      <c r="D294" s="1914">
        <v>0.15</v>
      </c>
      <c r="E294" s="1914">
        <v>0.15</v>
      </c>
      <c r="F294" s="1915">
        <v>0.15</v>
      </c>
    </row>
    <row r="295" spans="1:6" ht="14.25" thickBot="1">
      <c r="A295" s="1342" t="s">
        <v>1469</v>
      </c>
      <c r="B295" s="1336" t="s">
        <v>1161</v>
      </c>
      <c r="C295" s="1914">
        <v>0.15</v>
      </c>
      <c r="D295" s="1914">
        <v>0.15</v>
      </c>
      <c r="E295" s="1914">
        <v>0.15</v>
      </c>
      <c r="F295" s="1915">
        <v>0.15</v>
      </c>
    </row>
    <row r="296" spans="1:6" ht="14.25" thickBot="1">
      <c r="A296" s="1342" t="s">
        <v>1469</v>
      </c>
      <c r="B296" s="1336" t="s">
        <v>2143</v>
      </c>
      <c r="C296" s="1914">
        <v>0.15</v>
      </c>
      <c r="D296" s="1914">
        <v>0.15</v>
      </c>
      <c r="E296" s="1914">
        <v>0.15</v>
      </c>
      <c r="F296" s="1915">
        <v>0.15</v>
      </c>
    </row>
    <row r="297" spans="1:6" ht="14.25" thickBot="1">
      <c r="A297" s="1342" t="s">
        <v>1469</v>
      </c>
      <c r="B297" s="1336" t="s">
        <v>2144</v>
      </c>
      <c r="C297" s="1914">
        <v>0.14799999999999999</v>
      </c>
      <c r="D297" s="1914">
        <v>0.14899999999999999</v>
      </c>
      <c r="E297" s="1914">
        <v>0.15</v>
      </c>
      <c r="F297" s="1915">
        <v>0.13700000000000001</v>
      </c>
    </row>
    <row r="298" spans="1:6" ht="14.25" thickBot="1">
      <c r="A298" s="1342" t="s">
        <v>1469</v>
      </c>
      <c r="B298" s="1336" t="s">
        <v>1197</v>
      </c>
      <c r="C298" s="1914">
        <v>0.13400000000000001</v>
      </c>
      <c r="D298" s="1914">
        <v>0.13400000000000001</v>
      </c>
      <c r="E298" s="1914">
        <v>0.14499999999999999</v>
      </c>
      <c r="F298" s="1915">
        <v>0.14799999999999999</v>
      </c>
    </row>
    <row r="299" spans="1:6" ht="14.25" thickBot="1">
      <c r="A299" s="1342" t="s">
        <v>1469</v>
      </c>
      <c r="B299" s="1336" t="s">
        <v>1210</v>
      </c>
      <c r="C299" s="1914">
        <v>0.15</v>
      </c>
      <c r="D299" s="1914">
        <v>0.15</v>
      </c>
      <c r="E299" s="1914">
        <v>0.15</v>
      </c>
      <c r="F299" s="1919"/>
    </row>
    <row r="300" spans="1:6" ht="14.25" thickBot="1">
      <c r="A300" s="1342" t="s">
        <v>1469</v>
      </c>
      <c r="B300" s="1336" t="s">
        <v>2145</v>
      </c>
      <c r="C300" s="1914">
        <v>0.15</v>
      </c>
      <c r="D300" s="1914">
        <v>0.15</v>
      </c>
      <c r="E300" s="1914">
        <v>0.15</v>
      </c>
      <c r="F300" s="1915">
        <v>0.15</v>
      </c>
    </row>
    <row r="301" spans="1:6" ht="14.25" thickBot="1">
      <c r="A301" s="1342" t="s">
        <v>1469</v>
      </c>
      <c r="B301" s="1336" t="s">
        <v>1232</v>
      </c>
      <c r="C301" s="1914">
        <v>0.15</v>
      </c>
      <c r="D301" s="1914">
        <v>0.15</v>
      </c>
      <c r="E301" s="1914">
        <v>0.15</v>
      </c>
      <c r="F301" s="1919"/>
    </row>
    <row r="302" spans="1:6" ht="14.25" thickBot="1">
      <c r="A302" s="1342" t="s">
        <v>1469</v>
      </c>
      <c r="B302" s="1336" t="s">
        <v>2146</v>
      </c>
      <c r="C302" s="1914">
        <v>0.15</v>
      </c>
      <c r="D302" s="1914">
        <v>0.15</v>
      </c>
      <c r="E302" s="1914">
        <v>0.15</v>
      </c>
      <c r="F302" s="1915">
        <v>0.15</v>
      </c>
    </row>
    <row r="303" spans="1:6" ht="14.25" thickBot="1">
      <c r="A303" s="1342" t="s">
        <v>1469</v>
      </c>
      <c r="B303" s="1336" t="s">
        <v>1254</v>
      </c>
      <c r="C303" s="1914">
        <v>0.15</v>
      </c>
      <c r="D303" s="1914">
        <v>0.15</v>
      </c>
      <c r="E303" s="1914">
        <v>0.15</v>
      </c>
      <c r="F303" s="1915">
        <v>0.15</v>
      </c>
    </row>
    <row r="304" spans="1:6" ht="14.25" thickBot="1">
      <c r="A304" s="1342" t="s">
        <v>1469</v>
      </c>
      <c r="B304" s="1336" t="s">
        <v>1265</v>
      </c>
      <c r="C304" s="1914">
        <v>0.15</v>
      </c>
      <c r="D304" s="1914">
        <v>0.15</v>
      </c>
      <c r="E304" s="1914">
        <v>0.15</v>
      </c>
      <c r="F304" s="1919"/>
    </row>
    <row r="305" spans="1:6" ht="14.25" thickBot="1">
      <c r="A305" s="1342" t="s">
        <v>1469</v>
      </c>
      <c r="B305" s="1336" t="s">
        <v>2147</v>
      </c>
      <c r="C305" s="1914">
        <v>0.15</v>
      </c>
      <c r="D305" s="1914">
        <v>0.15</v>
      </c>
      <c r="E305" s="1914">
        <v>0.15</v>
      </c>
      <c r="F305" s="1915">
        <v>0.14000000000000001</v>
      </c>
    </row>
    <row r="306" spans="1:6" ht="14.25" thickBot="1">
      <c r="A306" s="1342" t="s">
        <v>1469</v>
      </c>
      <c r="B306" s="1336" t="s">
        <v>1286</v>
      </c>
      <c r="C306" s="1914">
        <v>0.15</v>
      </c>
      <c r="D306" s="1914">
        <v>0.15</v>
      </c>
      <c r="E306" s="1914">
        <v>0.15</v>
      </c>
      <c r="F306" s="1919"/>
    </row>
    <row r="307" spans="1:6" ht="14.25" thickBot="1">
      <c r="A307" s="1342" t="s">
        <v>1469</v>
      </c>
      <c r="B307" s="1336" t="s">
        <v>2148</v>
      </c>
      <c r="C307" s="1914">
        <v>0.15</v>
      </c>
      <c r="D307" s="1914">
        <v>0.15</v>
      </c>
      <c r="E307" s="1914">
        <v>0.15</v>
      </c>
      <c r="F307" s="1915">
        <v>0.14299999999999999</v>
      </c>
    </row>
    <row r="308" spans="1:6" ht="14.25" thickBot="1">
      <c r="A308" s="1342" t="s">
        <v>1469</v>
      </c>
      <c r="B308" s="1336" t="s">
        <v>1306</v>
      </c>
      <c r="C308" s="1914">
        <v>0.15</v>
      </c>
      <c r="D308" s="1914">
        <v>0.15</v>
      </c>
      <c r="E308" s="1914">
        <v>0.15</v>
      </c>
      <c r="F308" s="1915">
        <v>0.15</v>
      </c>
    </row>
    <row r="309" spans="1:6" ht="14.25" thickBot="1">
      <c r="A309" s="1342" t="s">
        <v>1469</v>
      </c>
      <c r="B309" s="1336" t="s">
        <v>1316</v>
      </c>
      <c r="C309" s="1914">
        <v>0.15</v>
      </c>
      <c r="D309" s="1914">
        <v>0.15</v>
      </c>
      <c r="E309" s="1914">
        <v>0.15</v>
      </c>
      <c r="F309" s="1919"/>
    </row>
    <row r="310" spans="1:6" ht="14.25" thickBot="1">
      <c r="A310" s="1342" t="s">
        <v>1469</v>
      </c>
      <c r="B310" s="1336" t="s">
        <v>2149</v>
      </c>
      <c r="C310" s="1914">
        <v>0.15</v>
      </c>
      <c r="D310" s="1914">
        <v>0.15</v>
      </c>
      <c r="E310" s="1914">
        <v>0.15</v>
      </c>
      <c r="F310" s="1915">
        <v>0.13700000000000001</v>
      </c>
    </row>
    <row r="311" spans="1:6" ht="14.25" thickBot="1">
      <c r="A311" s="1342" t="s">
        <v>1469</v>
      </c>
      <c r="B311" s="1336" t="s">
        <v>2150</v>
      </c>
      <c r="C311" s="1914">
        <v>0.15</v>
      </c>
      <c r="D311" s="1914">
        <v>0.15</v>
      </c>
      <c r="E311" s="1914">
        <v>0.15</v>
      </c>
      <c r="F311" s="1915">
        <v>0.15</v>
      </c>
    </row>
    <row r="312" spans="1:6" ht="14.25" thickBot="1">
      <c r="A312" s="1342" t="s">
        <v>1469</v>
      </c>
      <c r="B312" s="1336" t="s">
        <v>1342</v>
      </c>
      <c r="C312" s="1914">
        <v>0.15</v>
      </c>
      <c r="D312" s="1914">
        <v>0.15</v>
      </c>
      <c r="E312" s="1914">
        <v>0.15</v>
      </c>
      <c r="F312" s="1915">
        <v>0.1</v>
      </c>
    </row>
    <row r="313" spans="1:6" ht="14.25" thickBot="1">
      <c r="A313" s="1342" t="s">
        <v>1469</v>
      </c>
      <c r="B313" s="1336" t="s">
        <v>2151</v>
      </c>
      <c r="C313" s="1914">
        <v>0.15</v>
      </c>
      <c r="D313" s="1914">
        <v>0.15</v>
      </c>
      <c r="E313" s="1914">
        <v>0.15</v>
      </c>
      <c r="F313" s="1915">
        <v>0.15</v>
      </c>
    </row>
    <row r="314" spans="1:6" ht="24.75" thickBot="1">
      <c r="A314" s="1342" t="s">
        <v>1469</v>
      </c>
      <c r="B314" s="1336" t="s">
        <v>2152</v>
      </c>
      <c r="C314" s="1920"/>
      <c r="D314" s="1920"/>
      <c r="E314" s="1920"/>
      <c r="F314" s="1915">
        <v>0.05</v>
      </c>
    </row>
    <row r="315" spans="1:6" ht="24.75" thickBot="1">
      <c r="A315" s="1342" t="s">
        <v>1469</v>
      </c>
      <c r="B315" s="1336" t="s">
        <v>2153</v>
      </c>
      <c r="C315" s="1920"/>
      <c r="D315" s="1920"/>
      <c r="E315" s="1920"/>
      <c r="F315" s="1915">
        <v>0.05</v>
      </c>
    </row>
    <row r="316" spans="1:6" ht="24.75" thickBot="1">
      <c r="A316" s="1359" t="s">
        <v>1469</v>
      </c>
      <c r="B316" s="1352" t="s">
        <v>2154</v>
      </c>
      <c r="C316" s="1917"/>
      <c r="D316" s="1917"/>
      <c r="E316" s="1917"/>
      <c r="F316" s="1921">
        <v>0.05</v>
      </c>
    </row>
    <row r="317" spans="1:6" ht="14.25" thickBot="1">
      <c r="A317" s="1342" t="s">
        <v>2155</v>
      </c>
      <c r="B317" s="1343" t="s">
        <v>2156</v>
      </c>
      <c r="C317" s="1912">
        <v>0.15</v>
      </c>
      <c r="D317" s="1912">
        <v>0.15</v>
      </c>
      <c r="E317" s="1912">
        <v>0.15</v>
      </c>
      <c r="F317" s="1913">
        <v>0.15</v>
      </c>
    </row>
    <row r="318" spans="1:6" ht="14.25" thickBot="1">
      <c r="A318" s="1342" t="s">
        <v>2155</v>
      </c>
      <c r="B318" s="1336" t="s">
        <v>2157</v>
      </c>
      <c r="C318" s="1914">
        <v>0.107</v>
      </c>
      <c r="D318" s="1914">
        <v>0.11</v>
      </c>
      <c r="E318" s="1914">
        <v>0.112</v>
      </c>
      <c r="F318" s="1919"/>
    </row>
    <row r="319" spans="1:6" ht="14.25" thickBot="1">
      <c r="A319" s="1342" t="s">
        <v>2155</v>
      </c>
      <c r="B319" s="1336" t="s">
        <v>2158</v>
      </c>
      <c r="C319" s="1914">
        <v>0.15</v>
      </c>
      <c r="D319" s="1914">
        <v>0.15</v>
      </c>
      <c r="E319" s="1914">
        <v>0.15</v>
      </c>
      <c r="F319" s="1915">
        <v>0.15</v>
      </c>
    </row>
    <row r="320" spans="1:6" ht="14.25" thickBot="1">
      <c r="A320" s="1342" t="s">
        <v>2155</v>
      </c>
      <c r="B320" s="1336" t="s">
        <v>1150</v>
      </c>
      <c r="C320" s="1914">
        <v>0.15</v>
      </c>
      <c r="D320" s="1914">
        <v>0.15</v>
      </c>
      <c r="E320" s="1914">
        <v>0.15</v>
      </c>
      <c r="F320" s="1919"/>
    </row>
    <row r="321" spans="1:6" ht="14.25" thickBot="1">
      <c r="A321" s="1342" t="s">
        <v>2155</v>
      </c>
      <c r="B321" s="1336" t="s">
        <v>2159</v>
      </c>
      <c r="C321" s="1914">
        <v>0.15</v>
      </c>
      <c r="D321" s="1914">
        <v>0.15</v>
      </c>
      <c r="E321" s="1914">
        <v>0.15</v>
      </c>
      <c r="F321" s="1919"/>
    </row>
    <row r="322" spans="1:6" ht="14.25" thickBot="1">
      <c r="A322" s="1342" t="s">
        <v>2155</v>
      </c>
      <c r="B322" s="1336" t="s">
        <v>2160</v>
      </c>
      <c r="C322" s="1914">
        <v>0.15</v>
      </c>
      <c r="D322" s="1914">
        <v>0.15</v>
      </c>
      <c r="E322" s="1914">
        <v>0.15</v>
      </c>
      <c r="F322" s="1915">
        <v>0.15</v>
      </c>
    </row>
    <row r="323" spans="1:6" ht="14.25" thickBot="1">
      <c r="A323" s="1342" t="s">
        <v>2155</v>
      </c>
      <c r="B323" s="1336" t="s">
        <v>2161</v>
      </c>
      <c r="C323" s="1914">
        <v>0.15</v>
      </c>
      <c r="D323" s="1914">
        <v>0.15</v>
      </c>
      <c r="E323" s="1914">
        <v>0.15</v>
      </c>
      <c r="F323" s="1919"/>
    </row>
    <row r="324" spans="1:6" ht="14.25" thickBot="1">
      <c r="A324" s="1342" t="s">
        <v>2155</v>
      </c>
      <c r="B324" s="1336" t="s">
        <v>2162</v>
      </c>
      <c r="C324" s="1914">
        <v>0.15</v>
      </c>
      <c r="D324" s="1914">
        <v>0.15</v>
      </c>
      <c r="E324" s="1914">
        <v>0.15</v>
      </c>
      <c r="F324" s="1919"/>
    </row>
    <row r="325" spans="1:6" ht="14.25" thickBot="1">
      <c r="A325" s="1342" t="s">
        <v>2155</v>
      </c>
      <c r="B325" s="1336" t="s">
        <v>2163</v>
      </c>
      <c r="C325" s="1914">
        <v>0.15</v>
      </c>
      <c r="D325" s="1914">
        <v>0.15</v>
      </c>
      <c r="E325" s="1914">
        <v>0.15</v>
      </c>
      <c r="F325" s="1915">
        <v>0.14699999999999999</v>
      </c>
    </row>
    <row r="326" spans="1:6" ht="14.25" thickBot="1">
      <c r="A326" s="1342" t="s">
        <v>2155</v>
      </c>
      <c r="B326" s="1336" t="s">
        <v>1222</v>
      </c>
      <c r="C326" s="1914">
        <v>0.15</v>
      </c>
      <c r="D326" s="1914">
        <v>0.15</v>
      </c>
      <c r="E326" s="1914">
        <v>0.15</v>
      </c>
      <c r="F326" s="1919"/>
    </row>
    <row r="327" spans="1:6" ht="14.25" thickBot="1">
      <c r="A327" s="1342" t="s">
        <v>2155</v>
      </c>
      <c r="B327" s="1336" t="s">
        <v>2164</v>
      </c>
      <c r="C327" s="1914">
        <v>0.15</v>
      </c>
      <c r="D327" s="1914">
        <v>0.15</v>
      </c>
      <c r="E327" s="1914">
        <v>0.15</v>
      </c>
      <c r="F327" s="1915">
        <v>0.15</v>
      </c>
    </row>
    <row r="328" spans="1:6" ht="14.25" thickBot="1">
      <c r="A328" s="1342" t="s">
        <v>2155</v>
      </c>
      <c r="B328" s="1336" t="s">
        <v>1244</v>
      </c>
      <c r="C328" s="1914">
        <v>0.15</v>
      </c>
      <c r="D328" s="1914">
        <v>0.15</v>
      </c>
      <c r="E328" s="1914">
        <v>0.15</v>
      </c>
      <c r="F328" s="1915">
        <v>0.14099999999999999</v>
      </c>
    </row>
    <row r="329" spans="1:6" ht="14.25" thickBot="1">
      <c r="A329" s="1342" t="s">
        <v>2155</v>
      </c>
      <c r="B329" s="1336" t="s">
        <v>1255</v>
      </c>
      <c r="C329" s="1914">
        <v>0.15</v>
      </c>
      <c r="D329" s="1914">
        <v>0.15</v>
      </c>
      <c r="E329" s="1914">
        <v>0.15</v>
      </c>
      <c r="F329" s="1915">
        <v>0.15</v>
      </c>
    </row>
    <row r="330" spans="1:6" ht="14.25" thickBot="1">
      <c r="A330" s="1342" t="s">
        <v>2155</v>
      </c>
      <c r="B330" s="1336" t="s">
        <v>1266</v>
      </c>
      <c r="C330" s="1914">
        <v>0.15</v>
      </c>
      <c r="D330" s="1914">
        <v>0.15</v>
      </c>
      <c r="E330" s="1914">
        <v>0.15</v>
      </c>
      <c r="F330" s="1919"/>
    </row>
    <row r="331" spans="1:6" ht="14.25" thickBot="1">
      <c r="A331" s="1342" t="s">
        <v>2155</v>
      </c>
      <c r="B331" s="1336" t="s">
        <v>2165</v>
      </c>
      <c r="C331" s="1914">
        <v>0.15</v>
      </c>
      <c r="D331" s="1914">
        <v>0.15</v>
      </c>
      <c r="E331" s="1914">
        <v>0.15</v>
      </c>
      <c r="F331" s="1915">
        <v>0.15</v>
      </c>
    </row>
    <row r="332" spans="1:6" ht="14.25" thickBot="1">
      <c r="A332" s="1342" t="s">
        <v>2155</v>
      </c>
      <c r="B332" s="1336" t="s">
        <v>1287</v>
      </c>
      <c r="C332" s="1914">
        <v>0.15</v>
      </c>
      <c r="D332" s="1914">
        <v>0.15</v>
      </c>
      <c r="E332" s="1914">
        <v>0.15</v>
      </c>
      <c r="F332" s="1915">
        <v>0.15</v>
      </c>
    </row>
    <row r="333" spans="1:6" ht="14.25" thickBot="1">
      <c r="A333" s="1342" t="s">
        <v>2155</v>
      </c>
      <c r="B333" s="1336" t="s">
        <v>2166</v>
      </c>
      <c r="C333" s="1914">
        <v>0.15</v>
      </c>
      <c r="D333" s="1914">
        <v>0.15</v>
      </c>
      <c r="E333" s="1914">
        <v>0.15</v>
      </c>
      <c r="F333" s="1915">
        <v>0.14099999999999999</v>
      </c>
    </row>
    <row r="334" spans="1:6" ht="14.25" thickBot="1">
      <c r="A334" s="1342" t="s">
        <v>2155</v>
      </c>
      <c r="B334" s="1336" t="s">
        <v>1307</v>
      </c>
      <c r="C334" s="1914">
        <v>0.15</v>
      </c>
      <c r="D334" s="1914">
        <v>0.15</v>
      </c>
      <c r="E334" s="1914">
        <v>0.15</v>
      </c>
      <c r="F334" s="1915">
        <v>0.15</v>
      </c>
    </row>
    <row r="335" spans="1:6" ht="14.25" thickBot="1">
      <c r="A335" s="1342" t="s">
        <v>2155</v>
      </c>
      <c r="B335" s="1336" t="s">
        <v>1317</v>
      </c>
      <c r="C335" s="1914">
        <v>0.15</v>
      </c>
      <c r="D335" s="1914">
        <v>0.15</v>
      </c>
      <c r="E335" s="1914">
        <v>0.15</v>
      </c>
      <c r="F335" s="1919"/>
    </row>
    <row r="336" spans="1:6" ht="14.25" thickBot="1">
      <c r="A336" s="1342" t="s">
        <v>2155</v>
      </c>
      <c r="B336" s="1336" t="s">
        <v>2167</v>
      </c>
      <c r="C336" s="1914">
        <v>0.15</v>
      </c>
      <c r="D336" s="1914">
        <v>0.15</v>
      </c>
      <c r="E336" s="1914">
        <v>0.15</v>
      </c>
      <c r="F336" s="1915">
        <v>0.11799999999999999</v>
      </c>
    </row>
    <row r="337" spans="1:6" ht="14.25" thickBot="1">
      <c r="A337" s="1359" t="s">
        <v>2155</v>
      </c>
      <c r="B337" s="1352" t="s">
        <v>1335</v>
      </c>
      <c r="C337" s="1917"/>
      <c r="D337" s="1917"/>
      <c r="E337" s="1917"/>
      <c r="F337" s="1921">
        <v>0.14299999999999999</v>
      </c>
    </row>
    <row r="338" spans="1:6" ht="14.25" thickBot="1">
      <c r="A338" s="1342" t="s">
        <v>2168</v>
      </c>
      <c r="B338" s="1343" t="s">
        <v>2169</v>
      </c>
      <c r="C338" s="1912">
        <v>0.15</v>
      </c>
      <c r="D338" s="1912">
        <v>0.15</v>
      </c>
      <c r="E338" s="1912">
        <v>0.15</v>
      </c>
      <c r="F338" s="1929"/>
    </row>
    <row r="339" spans="1:6" ht="14.25" thickBot="1">
      <c r="A339" s="1342" t="s">
        <v>2168</v>
      </c>
      <c r="B339" s="1336" t="s">
        <v>2170</v>
      </c>
      <c r="C339" s="1914">
        <v>0.15</v>
      </c>
      <c r="D339" s="1914">
        <v>0.15</v>
      </c>
      <c r="E339" s="1914">
        <v>0.15</v>
      </c>
      <c r="F339" s="1919"/>
    </row>
    <row r="340" spans="1:6" ht="14.25" thickBot="1">
      <c r="A340" s="1342" t="s">
        <v>2168</v>
      </c>
      <c r="B340" s="1336" t="s">
        <v>2171</v>
      </c>
      <c r="C340" s="1914">
        <v>0.15</v>
      </c>
      <c r="D340" s="1914">
        <v>0.15</v>
      </c>
      <c r="E340" s="1914">
        <v>0.15</v>
      </c>
      <c r="F340" s="1919"/>
    </row>
    <row r="341" spans="1:6" ht="14.25" thickBot="1">
      <c r="A341" s="1342" t="s">
        <v>2168</v>
      </c>
      <c r="B341" s="1336" t="s">
        <v>2172</v>
      </c>
      <c r="C341" s="1914">
        <v>0.15</v>
      </c>
      <c r="D341" s="1914">
        <v>0.15</v>
      </c>
      <c r="E341" s="1914">
        <v>0.15</v>
      </c>
      <c r="F341" s="1915">
        <v>0.15</v>
      </c>
    </row>
    <row r="342" spans="1:6" ht="14.25" thickBot="1">
      <c r="A342" s="1342" t="s">
        <v>2168</v>
      </c>
      <c r="B342" s="1336" t="s">
        <v>2173</v>
      </c>
      <c r="C342" s="1914">
        <v>0.15</v>
      </c>
      <c r="D342" s="1914">
        <v>0.15</v>
      </c>
      <c r="E342" s="1914">
        <v>0.15</v>
      </c>
      <c r="F342" s="1915">
        <v>0.15</v>
      </c>
    </row>
    <row r="343" spans="1:6" ht="14.25" thickBot="1">
      <c r="A343" s="1342" t="s">
        <v>2168</v>
      </c>
      <c r="B343" s="1336" t="s">
        <v>2174</v>
      </c>
      <c r="C343" s="1914">
        <v>0.15</v>
      </c>
      <c r="D343" s="1914">
        <v>0.15</v>
      </c>
      <c r="E343" s="1914">
        <v>0.15</v>
      </c>
      <c r="F343" s="1915">
        <v>0.15</v>
      </c>
    </row>
    <row r="344" spans="1:6" ht="14.25" thickBot="1">
      <c r="A344" s="1359" t="s">
        <v>2168</v>
      </c>
      <c r="B344" s="1352" t="s">
        <v>2175</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1686</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1110</v>
      </c>
      <c r="B2" s="1301">
        <f>1+F4</f>
        <v>1.0128999999999999</v>
      </c>
      <c r="C2" s="1302"/>
      <c r="D2" s="1303"/>
      <c r="E2" s="1303"/>
      <c r="F2" s="1304"/>
      <c r="G2" s="2254"/>
      <c r="H2" s="2250"/>
      <c r="I2" s="2251"/>
      <c r="J2" s="2251"/>
      <c r="K2" s="2251"/>
      <c r="L2" s="2251"/>
      <c r="M2" s="2251"/>
    </row>
    <row r="3" spans="1:20" ht="13.5">
      <c r="A3" s="1306" t="s">
        <v>1687</v>
      </c>
      <c r="B3" s="1307" t="s">
        <v>1688</v>
      </c>
      <c r="C3" s="1308" t="s">
        <v>1689</v>
      </c>
      <c r="D3" s="1309" t="s">
        <v>1772</v>
      </c>
      <c r="E3" s="1309" t="s">
        <v>1773</v>
      </c>
      <c r="F3" s="1310" t="s">
        <v>1774</v>
      </c>
      <c r="G3" s="1311" t="s">
        <v>2176</v>
      </c>
      <c r="H3" s="1309" t="s">
        <v>1767</v>
      </c>
      <c r="I3" s="805" t="s">
        <v>439</v>
      </c>
      <c r="J3" s="805" t="s">
        <v>440</v>
      </c>
      <c r="K3" s="805" t="s">
        <v>441</v>
      </c>
      <c r="L3" s="805" t="s">
        <v>442</v>
      </c>
      <c r="M3" s="805" t="s">
        <v>443</v>
      </c>
    </row>
    <row r="4" spans="1:20" ht="24">
      <c r="A4" s="1306" t="s">
        <v>1690</v>
      </c>
      <c r="B4" s="1312" t="str">
        <f>估价对象房地状况!C4</f>
        <v>估价对象位于XX商圈，周边商业氛围成熟，人流量大，商业繁华度好</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1692</v>
      </c>
      <c r="B5" s="1317" t="str">
        <f>估价对象房地状况!C6</f>
        <v>以估价对象为圆心，半径1公里内有75、95、112、115、411路等10余条公共线路及地铁6号线（青年路站）、八通线（四惠东站）、小区内有地下车库，综合评价交通便捷度较好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1695</v>
      </c>
      <c r="B8" s="1307" t="str">
        <f>估价对象房地状况!C10</f>
        <v>城市主干道——朝阳路</v>
      </c>
      <c r="C8" s="1293" t="s">
        <v>1691</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1697</v>
      </c>
      <c r="B10" s="2074" t="str">
        <f>估价对象房地状况!C7</f>
        <v>较好——有餐饮、医院、超市、学校等</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1698</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1699</v>
      </c>
      <c r="B12" s="1322" t="str">
        <f>估价对象房地状况!C9</f>
        <v>区域自然环境：兴隆公园、通惠河；人文环境：中国紫檀博物馆；综合评价环境状况较好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6"/>
      <c r="D13" s="1303"/>
      <c r="E13" s="1303"/>
      <c r="F13" s="1304"/>
      <c r="G13" s="2254"/>
      <c r="H13" s="2250"/>
      <c r="I13" s="1299"/>
      <c r="J13" s="1299"/>
      <c r="K13" s="1299"/>
      <c r="L13" s="1299"/>
      <c r="M13" s="1299"/>
    </row>
    <row r="14" spans="1:20" ht="18" customHeight="1">
      <c r="A14" s="1306" t="s">
        <v>1687</v>
      </c>
      <c r="B14" s="1307"/>
      <c r="C14" s="1308" t="s">
        <v>1689</v>
      </c>
      <c r="D14" s="1309" t="s">
        <v>1769</v>
      </c>
      <c r="E14" s="1309" t="s">
        <v>1770</v>
      </c>
      <c r="F14" s="1310" t="s">
        <v>1771</v>
      </c>
      <c r="G14" s="1311" t="s">
        <v>2176</v>
      </c>
      <c r="H14" s="1309" t="s">
        <v>1767</v>
      </c>
      <c r="I14" s="805" t="s">
        <v>439</v>
      </c>
      <c r="J14" s="805" t="s">
        <v>440</v>
      </c>
      <c r="K14" s="805" t="s">
        <v>441</v>
      </c>
      <c r="L14" s="805" t="s">
        <v>442</v>
      </c>
      <c r="M14" s="805" t="s">
        <v>443</v>
      </c>
    </row>
    <row r="15" spans="1:20" ht="24">
      <c r="A15" s="1306" t="s">
        <v>1700</v>
      </c>
      <c r="B15" s="1312" t="str">
        <f>估价对象房地状况!C5</f>
        <v>估价对象位于XX商圈，周边办公楼项目较多，入驻率高，办公集聚程度较好</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1692</v>
      </c>
      <c r="B16" s="1307" t="str">
        <f>估价对象房地状况!C6</f>
        <v>以估价对象为圆心，半径1公里内有75、95、112、115、411路等10余条公共线路及地铁6号线（青年路站）、八通线（四惠东站）、小区内有地下车库，综合评价交通便捷度较好</v>
      </c>
      <c r="C16" s="1293" t="s">
        <v>1691</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1695</v>
      </c>
      <c r="B19" s="1307" t="str">
        <f>估价对象房地状况!C10</f>
        <v>城市主干道——朝阳路</v>
      </c>
      <c r="C19" s="1293" t="s">
        <v>1691</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1697</v>
      </c>
      <c r="B21" s="2074" t="str">
        <f>估价对象房地状况!C7</f>
        <v>较好——有餐饮、医院、超市、学校等</v>
      </c>
      <c r="C21" s="1293" t="s">
        <v>1691</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1698</v>
      </c>
      <c r="B22" s="2075"/>
      <c r="C22" s="1293" t="s">
        <v>1691</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1699</v>
      </c>
      <c r="B23" s="1325" t="str">
        <f>估价对象房地状况!C9</f>
        <v>区域自然环境：兴隆公园、通惠河；人文环境：中国紫檀博物馆；综合评价环境状况较好</v>
      </c>
      <c r="C23" s="1293" t="s">
        <v>1691</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6"/>
      <c r="D24" s="1303"/>
      <c r="E24" s="1303"/>
      <c r="F24" s="1304"/>
      <c r="G24" s="2254"/>
      <c r="H24" s="2250"/>
      <c r="I24" s="1299"/>
      <c r="J24" s="1299"/>
      <c r="K24" s="1299"/>
      <c r="L24" s="1299"/>
      <c r="M24" s="1299"/>
    </row>
    <row r="25" spans="1:20" ht="13.5">
      <c r="A25" s="1306" t="s">
        <v>1687</v>
      </c>
      <c r="B25" s="1307"/>
      <c r="C25" s="1308" t="s">
        <v>1689</v>
      </c>
      <c r="D25" s="1309" t="s">
        <v>1769</v>
      </c>
      <c r="E25" s="1309" t="s">
        <v>1770</v>
      </c>
      <c r="F25" s="1310" t="s">
        <v>1771</v>
      </c>
      <c r="G25" s="1311" t="s">
        <v>2176</v>
      </c>
      <c r="H25" s="1309" t="s">
        <v>1767</v>
      </c>
      <c r="I25" s="805" t="s">
        <v>439</v>
      </c>
      <c r="J25" s="805" t="s">
        <v>440</v>
      </c>
      <c r="K25" s="805" t="s">
        <v>441</v>
      </c>
      <c r="L25" s="805" t="s">
        <v>442</v>
      </c>
      <c r="M25" s="805" t="s">
        <v>443</v>
      </c>
    </row>
    <row r="26" spans="1:20" ht="36">
      <c r="A26" s="1306" t="s">
        <v>1701</v>
      </c>
      <c r="B26" s="1312" t="str">
        <f>估价对象房地状况!C3</f>
        <v>估价对象周边有朝阳园、丽景馨居、青年汇佳园、爱这城等居住小区，社区发展完善程度较好，综合评价居住社区成熟度较好</v>
      </c>
      <c r="C26" s="1293" t="s">
        <v>1691</v>
      </c>
      <c r="D26" s="1313">
        <f t="shared" ref="D26:D34" si="8">SUMIF($I$3:$M$3,C26,I26:M26)</f>
        <v>0.08</v>
      </c>
      <c r="E26" s="1314">
        <v>0.14000000000000001</v>
      </c>
      <c r="F26" s="1315">
        <f>D26*E26+D27*E27+D28*E28+D29*E29+D30*E30+D32*E32+D31*E31+D33*E33+D34*E34</f>
        <v>5.9700000000000003E-2</v>
      </c>
      <c r="G26" s="1316">
        <f>IF(基准地价修正!E2="住宅",SUMIF(基准地价修正!L1:L12,基准地价修正!G2,基准地价修正!N1:N12),"——")</f>
        <v>8.6999999999999994E-2</v>
      </c>
      <c r="H26" s="1594">
        <v>0.08</v>
      </c>
      <c r="I26" s="1291">
        <f>J26+$H26</f>
        <v>0.16</v>
      </c>
      <c r="J26" s="1291">
        <f>$K26+$H26</f>
        <v>0.08</v>
      </c>
      <c r="K26" s="1290">
        <v>0</v>
      </c>
      <c r="L26" s="1291">
        <f t="shared" ref="L26:M34" si="9">K26-$H26</f>
        <v>-0.08</v>
      </c>
      <c r="M26" s="1291">
        <f t="shared" si="9"/>
        <v>-0.16</v>
      </c>
    </row>
    <row r="27" spans="1:20" ht="48">
      <c r="A27" s="1306" t="s">
        <v>1692</v>
      </c>
      <c r="B27" s="1307" t="str">
        <f>估价对象房地状况!C6</f>
        <v>以估价对象为圆心，半径1公里内有75、95、112、115、411路等10余条公共线路及地铁6号线（青年路站）、八通线（四惠东站）、小区内有地下车库，综合评价交通便捷度较好</v>
      </c>
      <c r="C27" s="1293" t="s">
        <v>1691</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1702</v>
      </c>
      <c r="B29" s="1307" t="str">
        <f>估价对象房地状况!C10</f>
        <v>城市主干道——朝阳路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1697</v>
      </c>
      <c r="B30" s="2074" t="str">
        <f>估价对象房地状况!C7</f>
        <v>较好——有餐饮、医院、超市、学校等</v>
      </c>
      <c r="C30" s="1293" t="s">
        <v>1691</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1698</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1699</v>
      </c>
      <c r="B33" s="1312" t="str">
        <f>估价对象房地状况!C9</f>
        <v>区域自然环境：兴隆公园、通惠河；人文环境：中国紫檀博物馆；综合评价环境状况较好</v>
      </c>
      <c r="C33" s="1293" t="s">
        <v>1691</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1113</v>
      </c>
      <c r="B35" s="1301">
        <f>1+F37</f>
        <v>1.0127999999999999</v>
      </c>
      <c r="C35" s="2256"/>
      <c r="D35" s="1303"/>
      <c r="E35" s="1303"/>
      <c r="F35" s="1304"/>
      <c r="G35" s="2254"/>
      <c r="H35" s="2250"/>
      <c r="I35" s="1299"/>
      <c r="J35" s="1299"/>
      <c r="K35" s="1299"/>
      <c r="L35" s="1299"/>
      <c r="M35" s="1299"/>
    </row>
    <row r="36" spans="1:13" ht="13.5">
      <c r="A36" s="1306" t="s">
        <v>1687</v>
      </c>
      <c r="B36" s="1307"/>
      <c r="C36" s="1308" t="s">
        <v>1689</v>
      </c>
      <c r="D36" s="1309" t="s">
        <v>1769</v>
      </c>
      <c r="E36" s="1309" t="s">
        <v>1770</v>
      </c>
      <c r="F36" s="1310" t="s">
        <v>1771</v>
      </c>
      <c r="G36" s="1311" t="s">
        <v>2177</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1697</v>
      </c>
      <c r="B41" s="2074" t="str">
        <f>估价对象房地状况!G19</f>
        <v>估价对象所在区域公共配套设施齐备情况</v>
      </c>
      <c r="C41" s="1293" t="s">
        <v>1691</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1698</v>
      </c>
      <c r="B42" s="2075"/>
      <c r="C42" s="1293" t="s">
        <v>1691</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1083</v>
      </c>
      <c r="B1" s="3530"/>
      <c r="C1" s="3530"/>
      <c r="D1" s="3530"/>
      <c r="E1" s="3530"/>
      <c r="F1" s="3530"/>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31" t="s">
        <v>1096</v>
      </c>
      <c r="B2" s="3531"/>
      <c r="C2" s="3531"/>
      <c r="D2" s="3531"/>
      <c r="E2" s="3531"/>
      <c r="F2" s="3531"/>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32"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33"/>
      <c r="B4" s="1340" t="s">
        <v>1126</v>
      </c>
      <c r="C4" s="1340" t="s">
        <v>1127</v>
      </c>
      <c r="D4" s="1340" t="s">
        <v>1127</v>
      </c>
      <c r="E4" s="1340" t="s">
        <v>1127</v>
      </c>
      <c r="F4" s="1341" t="s">
        <v>1127</v>
      </c>
      <c r="G4" s="1339"/>
      <c r="I4" s="1335" t="s">
        <v>1128</v>
      </c>
      <c r="J4" s="1336" t="s">
        <v>1050</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21350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1050</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2420</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1049</v>
      </c>
      <c r="B49" s="1343" t="s">
        <v>1455</v>
      </c>
      <c r="C49" s="1343">
        <v>17090</v>
      </c>
      <c r="D49" s="1343">
        <v>16950</v>
      </c>
      <c r="E49" s="1343">
        <v>16310</v>
      </c>
      <c r="F49" s="1344">
        <v>4540</v>
      </c>
      <c r="H49" s="1361"/>
      <c r="N49" s="1336" t="s">
        <v>1456</v>
      </c>
      <c r="O49" s="1336" t="s">
        <v>1457</v>
      </c>
    </row>
    <row r="50" spans="1:15" ht="14.25" customHeight="1" thickBot="1">
      <c r="A50" s="1342" t="s">
        <v>1049</v>
      </c>
      <c r="B50" s="1336" t="s">
        <v>1117</v>
      </c>
      <c r="C50" s="1336">
        <v>19040</v>
      </c>
      <c r="D50" s="1336">
        <v>16960</v>
      </c>
      <c r="E50" s="1336">
        <v>14800</v>
      </c>
      <c r="F50" s="1354">
        <v>3940</v>
      </c>
      <c r="H50" s="1361"/>
    </row>
    <row r="51" spans="1:15" ht="14.25" customHeight="1" thickBot="1">
      <c r="A51" s="1342" t="s">
        <v>1049</v>
      </c>
      <c r="B51" s="1336" t="s">
        <v>1130</v>
      </c>
      <c r="C51" s="1336">
        <v>17040</v>
      </c>
      <c r="D51" s="1336">
        <v>16930</v>
      </c>
      <c r="E51" s="1336">
        <v>15030</v>
      </c>
      <c r="F51" s="1354">
        <v>4120</v>
      </c>
      <c r="H51" s="1361"/>
    </row>
    <row r="52" spans="1:15" ht="14.25" customHeight="1" thickBot="1">
      <c r="A52" s="1342" t="s">
        <v>1049</v>
      </c>
      <c r="B52" s="1336" t="s">
        <v>1143</v>
      </c>
      <c r="C52" s="1336">
        <v>17110</v>
      </c>
      <c r="D52" s="1336">
        <v>17750</v>
      </c>
      <c r="E52" s="1336">
        <v>17310</v>
      </c>
      <c r="F52" s="1354">
        <v>3220</v>
      </c>
      <c r="H52" s="1361"/>
    </row>
    <row r="53" spans="1:15" ht="14.25" customHeight="1" thickBot="1">
      <c r="A53" s="1342" t="s">
        <v>1049</v>
      </c>
      <c r="B53" s="1336" t="s">
        <v>1155</v>
      </c>
      <c r="C53" s="1336">
        <v>17810</v>
      </c>
      <c r="D53" s="1336">
        <v>17260</v>
      </c>
      <c r="E53" s="1336">
        <v>17090</v>
      </c>
      <c r="F53" s="1354">
        <v>3520</v>
      </c>
      <c r="H53" s="1361"/>
    </row>
    <row r="54" spans="1:15" ht="14.25" customHeight="1" thickBot="1">
      <c r="A54" s="1342" t="s">
        <v>1049</v>
      </c>
      <c r="B54" s="1336" t="s">
        <v>1167</v>
      </c>
      <c r="C54" s="1336">
        <v>17410</v>
      </c>
      <c r="D54" s="1336">
        <v>16780</v>
      </c>
      <c r="E54" s="1336">
        <v>16370</v>
      </c>
      <c r="F54" s="1354">
        <v>3410</v>
      </c>
      <c r="H54" s="1361"/>
    </row>
    <row r="55" spans="1:15" ht="14.25" customHeight="1" thickBot="1">
      <c r="A55" s="1342" t="s">
        <v>1049</v>
      </c>
      <c r="B55" s="1336" t="s">
        <v>1179</v>
      </c>
      <c r="C55" s="1336">
        <v>16930</v>
      </c>
      <c r="D55" s="1336">
        <v>14720</v>
      </c>
      <c r="E55" s="1336">
        <v>15000</v>
      </c>
      <c r="F55" s="1354">
        <v>3710</v>
      </c>
      <c r="H55" s="1361"/>
    </row>
    <row r="56" spans="1:15" ht="14.25" customHeight="1" thickBot="1">
      <c r="A56" s="1342" t="s">
        <v>1049</v>
      </c>
      <c r="B56" s="1336" t="s">
        <v>1191</v>
      </c>
      <c r="C56" s="1336">
        <v>14930</v>
      </c>
      <c r="D56" s="1336">
        <v>15850</v>
      </c>
      <c r="E56" s="1336">
        <v>14320</v>
      </c>
      <c r="F56" s="1354">
        <v>3960</v>
      </c>
      <c r="H56" s="1361"/>
    </row>
    <row r="57" spans="1:15" ht="14.25" customHeight="1" thickBot="1">
      <c r="A57" s="1342" t="s">
        <v>1049</v>
      </c>
      <c r="B57" s="1336" t="s">
        <v>1204</v>
      </c>
      <c r="C57" s="1336">
        <v>16160</v>
      </c>
      <c r="D57" s="1336">
        <v>16190</v>
      </c>
      <c r="E57" s="1336">
        <v>15650</v>
      </c>
      <c r="F57" s="1354">
        <v>4200</v>
      </c>
      <c r="H57" s="1361"/>
    </row>
    <row r="58" spans="1:15" ht="14.25" customHeight="1" thickBot="1">
      <c r="A58" s="1342" t="s">
        <v>1049</v>
      </c>
      <c r="B58" s="1336" t="s">
        <v>1215</v>
      </c>
      <c r="C58" s="1336">
        <v>16360</v>
      </c>
      <c r="D58" s="1336">
        <v>14050</v>
      </c>
      <c r="E58" s="1336">
        <v>16070</v>
      </c>
      <c r="F58" s="1354">
        <v>3990</v>
      </c>
      <c r="H58" s="1361"/>
    </row>
    <row r="59" spans="1:15" ht="14.25" customHeight="1" thickBot="1">
      <c r="A59" s="1342" t="s">
        <v>1049</v>
      </c>
      <c r="B59" s="1336" t="s">
        <v>1226</v>
      </c>
      <c r="C59" s="1336">
        <v>14160</v>
      </c>
      <c r="D59" s="1336">
        <v>16620</v>
      </c>
      <c r="E59" s="1336">
        <v>13940</v>
      </c>
      <c r="F59" s="1354">
        <v>4260</v>
      </c>
      <c r="H59" s="1361"/>
    </row>
    <row r="60" spans="1:15" ht="14.25" customHeight="1" thickBot="1">
      <c r="A60" s="1342" t="s">
        <v>1049</v>
      </c>
      <c r="B60" s="1336" t="s">
        <v>1237</v>
      </c>
      <c r="C60" s="1336">
        <v>16750</v>
      </c>
      <c r="D60" s="1336">
        <v>13910</v>
      </c>
      <c r="E60" s="1336">
        <v>16550</v>
      </c>
      <c r="F60" s="1354">
        <v>4550</v>
      </c>
      <c r="H60" s="1361"/>
    </row>
    <row r="61" spans="1:15" ht="14.25" customHeight="1" thickBot="1">
      <c r="A61" s="1342" t="s">
        <v>1049</v>
      </c>
      <c r="B61" s="1336" t="s">
        <v>1248</v>
      </c>
      <c r="C61" s="1336">
        <v>14000</v>
      </c>
      <c r="D61" s="1336">
        <v>14550</v>
      </c>
      <c r="E61" s="1336">
        <v>13860</v>
      </c>
      <c r="F61" s="1363"/>
      <c r="H61" s="1361"/>
    </row>
    <row r="62" spans="1:15" ht="14.25" customHeight="1" thickBot="1">
      <c r="A62" s="1342" t="s">
        <v>1049</v>
      </c>
      <c r="B62" s="1336" t="s">
        <v>1259</v>
      </c>
      <c r="C62" s="1336">
        <v>14660</v>
      </c>
      <c r="D62" s="1336">
        <v>17450</v>
      </c>
      <c r="E62" s="1336">
        <v>14470</v>
      </c>
      <c r="F62" s="1363"/>
      <c r="H62" s="1361"/>
    </row>
    <row r="63" spans="1:15" ht="14.25" customHeight="1" thickBot="1">
      <c r="A63" s="1342" t="s">
        <v>1049</v>
      </c>
      <c r="B63" s="1336" t="s">
        <v>1270</v>
      </c>
      <c r="C63" s="1336">
        <v>17610</v>
      </c>
      <c r="D63" s="1336">
        <v>16500</v>
      </c>
      <c r="E63" s="1336">
        <v>17330</v>
      </c>
      <c r="F63" s="1363"/>
      <c r="H63" s="1361"/>
    </row>
    <row r="64" spans="1:15" ht="14.25" customHeight="1" thickBot="1">
      <c r="A64" s="1342" t="s">
        <v>1049</v>
      </c>
      <c r="B64" s="1336" t="s">
        <v>1280</v>
      </c>
      <c r="C64" s="1336">
        <v>16590</v>
      </c>
      <c r="D64" s="1336">
        <v>15130</v>
      </c>
      <c r="E64" s="1336">
        <v>16420</v>
      </c>
      <c r="F64" s="1363"/>
      <c r="H64" s="1361"/>
    </row>
    <row r="65" spans="1:8" s="1330" customFormat="1" ht="14.25" customHeight="1" thickBot="1">
      <c r="A65" s="1342" t="s">
        <v>1049</v>
      </c>
      <c r="B65" s="1336" t="s">
        <v>1290</v>
      </c>
      <c r="C65" s="1336">
        <v>15220</v>
      </c>
      <c r="D65" s="1336">
        <v>14660</v>
      </c>
      <c r="E65" s="1336">
        <v>15060</v>
      </c>
      <c r="F65" s="1354"/>
      <c r="H65" s="1361"/>
    </row>
    <row r="66" spans="1:8" s="1330" customFormat="1" ht="14.25" customHeight="1" thickBot="1">
      <c r="A66" s="1342" t="s">
        <v>1049</v>
      </c>
      <c r="B66" s="1336" t="s">
        <v>1300</v>
      </c>
      <c r="C66" s="1336">
        <v>14720</v>
      </c>
      <c r="D66" s="1336">
        <v>15970</v>
      </c>
      <c r="E66" s="1336">
        <v>14610</v>
      </c>
      <c r="F66" s="1354"/>
      <c r="H66" s="1361"/>
    </row>
    <row r="67" spans="1:8" s="1330" customFormat="1" ht="14.25" customHeight="1" thickBot="1">
      <c r="A67" s="1342" t="s">
        <v>1049</v>
      </c>
      <c r="B67" s="1336" t="s">
        <v>1310</v>
      </c>
      <c r="C67" s="1336">
        <v>16080</v>
      </c>
      <c r="D67" s="1336">
        <v>14840</v>
      </c>
      <c r="E67" s="1336">
        <v>15630</v>
      </c>
      <c r="F67" s="1354"/>
      <c r="H67" s="1361"/>
    </row>
    <row r="68" spans="1:8" s="1330" customFormat="1" ht="14.25" customHeight="1" thickBot="1">
      <c r="A68" s="1342" t="s">
        <v>1049</v>
      </c>
      <c r="B68" s="1336" t="s">
        <v>1319</v>
      </c>
      <c r="C68" s="1336">
        <v>14940</v>
      </c>
      <c r="D68" s="1336">
        <v>18000</v>
      </c>
      <c r="E68" s="1336">
        <v>14040</v>
      </c>
      <c r="F68" s="1354"/>
      <c r="H68" s="1361"/>
    </row>
    <row r="69" spans="1:8" s="1330" customFormat="1" ht="14.25" customHeight="1" thickBot="1">
      <c r="A69" s="1342" t="s">
        <v>1049</v>
      </c>
      <c r="B69" s="1336" t="s">
        <v>1328</v>
      </c>
      <c r="C69" s="1336">
        <v>18810</v>
      </c>
      <c r="D69" s="1336">
        <v>15100</v>
      </c>
      <c r="E69" s="1336">
        <v>14710</v>
      </c>
      <c r="F69" s="1354"/>
      <c r="H69" s="1361"/>
    </row>
    <row r="70" spans="1:8" s="1330" customFormat="1" ht="14.25" customHeight="1" thickBot="1">
      <c r="A70" s="1342" t="s">
        <v>1049</v>
      </c>
      <c r="B70" s="1336" t="s">
        <v>1336</v>
      </c>
      <c r="C70" s="1336">
        <v>18270</v>
      </c>
      <c r="D70" s="1336"/>
      <c r="E70" s="1336"/>
      <c r="F70" s="1354"/>
      <c r="H70" s="1361"/>
    </row>
    <row r="71" spans="1:8" s="1330" customFormat="1" ht="14.25" customHeight="1" thickBot="1">
      <c r="A71" s="1342" t="s">
        <v>1049</v>
      </c>
      <c r="B71" s="1336" t="s">
        <v>1343</v>
      </c>
      <c r="C71" s="1336">
        <v>15230</v>
      </c>
      <c r="D71" s="1336"/>
      <c r="E71" s="1336"/>
      <c r="F71" s="1354"/>
      <c r="H71" s="1361"/>
    </row>
    <row r="72" spans="1:8" s="1330" customFormat="1" ht="14.25" customHeight="1" thickBot="1">
      <c r="A72" s="1342" t="s">
        <v>1049</v>
      </c>
      <c r="B72" s="1336" t="s">
        <v>1350</v>
      </c>
      <c r="C72" s="1336"/>
      <c r="D72" s="1336"/>
      <c r="E72" s="1336"/>
      <c r="F72" s="1354">
        <v>4120</v>
      </c>
      <c r="H72" s="1361"/>
    </row>
    <row r="73" spans="1:8" s="1330" customFormat="1" ht="14.25" customHeight="1" thickBot="1">
      <c r="A73" s="1342" t="s">
        <v>1049</v>
      </c>
      <c r="B73" s="1336" t="s">
        <v>1357</v>
      </c>
      <c r="C73" s="1336"/>
      <c r="D73" s="1336"/>
      <c r="E73" s="1336"/>
      <c r="F73" s="1354">
        <v>3930</v>
      </c>
      <c r="H73" s="1361"/>
    </row>
    <row r="74" spans="1:8" s="1330" customFormat="1" ht="14.25" customHeight="1" thickBot="1">
      <c r="A74" s="1342" t="s">
        <v>1049</v>
      </c>
      <c r="B74" s="1336" t="s">
        <v>1364</v>
      </c>
      <c r="C74" s="1336"/>
      <c r="D74" s="1336"/>
      <c r="E74" s="1336"/>
      <c r="F74" s="1354">
        <v>4060</v>
      </c>
      <c r="H74" s="1361"/>
    </row>
    <row r="75" spans="1:8" s="1330" customFormat="1" ht="14.25" customHeight="1" thickBot="1">
      <c r="A75" s="1342" t="s">
        <v>1049</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2419</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6" t="s">
        <v>1792</v>
      </c>
      <c r="D17" s="1391"/>
      <c r="E17" s="1307" t="s">
        <v>1494</v>
      </c>
      <c r="F17" s="1392"/>
      <c r="G17" s="1392"/>
    </row>
    <row r="18" spans="1:9" s="1398" customFormat="1" ht="19.5" customHeight="1">
      <c r="A18" s="3515" t="s">
        <v>1110</v>
      </c>
      <c r="B18" s="1393" t="s">
        <v>1495</v>
      </c>
      <c r="C18" s="1394" t="s">
        <v>1496</v>
      </c>
      <c r="D18" s="1395"/>
      <c r="E18" s="1393">
        <v>1</v>
      </c>
      <c r="F18" s="1396" t="s">
        <v>1497</v>
      </c>
      <c r="G18" s="1397"/>
      <c r="H18" s="1389"/>
      <c r="I18" s="1389"/>
    </row>
    <row r="19" spans="1:9" s="1398" customFormat="1" ht="19.5" customHeight="1">
      <c r="A19" s="3515"/>
      <c r="B19" s="3515" t="s">
        <v>1498</v>
      </c>
      <c r="C19" s="1394" t="s">
        <v>1499</v>
      </c>
      <c r="D19" s="1395"/>
      <c r="E19" s="1393">
        <v>0.9</v>
      </c>
      <c r="F19" s="1396" t="s">
        <v>1500</v>
      </c>
      <c r="G19" s="1397"/>
      <c r="H19" s="1389"/>
      <c r="I19" s="1389"/>
    </row>
    <row r="20" spans="1:9" s="1398" customFormat="1" ht="19.5" customHeight="1">
      <c r="A20" s="3515"/>
      <c r="B20" s="3515"/>
      <c r="C20" s="1394" t="s">
        <v>1501</v>
      </c>
      <c r="D20" s="1395"/>
      <c r="E20" s="1393">
        <v>1.1000000000000001</v>
      </c>
      <c r="F20" s="1396" t="s">
        <v>1502</v>
      </c>
      <c r="G20" s="1397"/>
      <c r="H20" s="1389"/>
      <c r="I20" s="1389"/>
    </row>
    <row r="21" spans="1:9" s="1398" customFormat="1" ht="19.5" customHeight="1">
      <c r="A21" s="3515"/>
      <c r="B21" s="3515"/>
      <c r="C21" s="1394" t="s">
        <v>1503</v>
      </c>
      <c r="D21" s="1395"/>
      <c r="E21" s="1393">
        <v>0.8</v>
      </c>
      <c r="F21" s="1396" t="s">
        <v>1504</v>
      </c>
      <c r="G21" s="1397"/>
      <c r="H21" s="1389"/>
      <c r="I21" s="1389"/>
    </row>
    <row r="22" spans="1:9" s="1398" customFormat="1" ht="19.5" customHeight="1">
      <c r="A22" s="3515"/>
      <c r="B22" s="3515"/>
      <c r="C22" s="1394" t="s">
        <v>1505</v>
      </c>
      <c r="D22" s="1395"/>
      <c r="E22" s="1393">
        <v>0.5</v>
      </c>
      <c r="F22" s="1396"/>
      <c r="G22" s="1397"/>
      <c r="H22" s="1389"/>
      <c r="I22" s="1389"/>
    </row>
    <row r="23" spans="1:9" s="1398" customFormat="1" ht="19.5" customHeight="1">
      <c r="A23" s="3515" t="s">
        <v>1111</v>
      </c>
      <c r="B23" s="1393" t="s">
        <v>1495</v>
      </c>
      <c r="C23" s="1394" t="s">
        <v>1506</v>
      </c>
      <c r="D23" s="1395"/>
      <c r="E23" s="1393">
        <v>1</v>
      </c>
      <c r="F23" s="1396" t="s">
        <v>1507</v>
      </c>
      <c r="G23" s="1397"/>
      <c r="H23" s="1389"/>
      <c r="I23" s="1389"/>
    </row>
    <row r="24" spans="1:9" s="1398" customFormat="1" ht="19.5" customHeight="1">
      <c r="A24" s="3515"/>
      <c r="B24" s="3515" t="s">
        <v>1498</v>
      </c>
      <c r="C24" s="1394" t="s">
        <v>1508</v>
      </c>
      <c r="D24" s="1395"/>
      <c r="E24" s="1393">
        <v>0.5</v>
      </c>
      <c r="F24" s="1396"/>
      <c r="G24" s="1397"/>
      <c r="H24" s="1389"/>
      <c r="I24" s="1389"/>
    </row>
    <row r="25" spans="1:9" s="1398" customFormat="1" ht="19.5" customHeight="1">
      <c r="A25" s="3515"/>
      <c r="B25" s="3515"/>
      <c r="C25" s="1394" t="s">
        <v>1509</v>
      </c>
      <c r="D25" s="1395"/>
      <c r="E25" s="1393">
        <v>1.1000000000000001</v>
      </c>
      <c r="F25" s="1396"/>
      <c r="G25" s="1397"/>
      <c r="H25" s="1389"/>
      <c r="I25" s="1389"/>
    </row>
    <row r="26" spans="1:9" s="1398" customFormat="1" ht="19.5" customHeight="1">
      <c r="A26" s="3515"/>
      <c r="B26" s="3515"/>
      <c r="C26" s="1394" t="s">
        <v>1510</v>
      </c>
      <c r="D26" s="1395"/>
      <c r="E26" s="1393">
        <v>1.1000000000000001</v>
      </c>
      <c r="F26" s="1396"/>
      <c r="G26" s="1397"/>
      <c r="H26" s="1389"/>
      <c r="I26" s="1389"/>
    </row>
    <row r="27" spans="1:9" s="1398" customFormat="1" ht="19.5" customHeight="1">
      <c r="A27" s="3515"/>
      <c r="B27" s="3515"/>
      <c r="C27" s="1394" t="s">
        <v>1511</v>
      </c>
      <c r="D27" s="1395"/>
      <c r="E27" s="1393">
        <v>0.9</v>
      </c>
      <c r="F27" s="1396" t="s">
        <v>1512</v>
      </c>
      <c r="G27" s="1397"/>
      <c r="H27" s="1389"/>
      <c r="I27" s="1389"/>
    </row>
    <row r="28" spans="1:9" s="1398" customFormat="1" ht="19.5" customHeight="1">
      <c r="A28" s="3515"/>
      <c r="B28" s="3515"/>
      <c r="C28" s="1394" t="s">
        <v>1513</v>
      </c>
      <c r="D28" s="1395"/>
      <c r="E28" s="1393">
        <v>0.9</v>
      </c>
      <c r="F28" s="1396" t="s">
        <v>1514</v>
      </c>
      <c r="G28" s="1397"/>
      <c r="H28" s="1389"/>
      <c r="I28" s="1389"/>
    </row>
    <row r="29" spans="1:9" s="1398" customFormat="1" ht="19.5" customHeight="1">
      <c r="A29" s="3515"/>
      <c r="B29" s="3515"/>
      <c r="C29" s="1394" t="s">
        <v>1515</v>
      </c>
      <c r="D29" s="1395"/>
      <c r="E29" s="1393">
        <v>0.9</v>
      </c>
      <c r="F29" s="1396" t="s">
        <v>1516</v>
      </c>
      <c r="G29" s="1397"/>
      <c r="H29" s="1389"/>
      <c r="I29" s="1389"/>
    </row>
    <row r="30" spans="1:9" s="1398" customFormat="1" ht="19.5" customHeight="1">
      <c r="A30" s="3515"/>
      <c r="B30" s="3515"/>
      <c r="C30" s="1394" t="s">
        <v>1517</v>
      </c>
      <c r="D30" s="1395"/>
      <c r="E30" s="1393">
        <v>0.9</v>
      </c>
      <c r="F30" s="1396" t="s">
        <v>1518</v>
      </c>
      <c r="G30" s="1397"/>
      <c r="H30" s="1389"/>
      <c r="I30" s="1389"/>
    </row>
    <row r="31" spans="1:9" s="1398" customFormat="1" ht="19.5" customHeight="1">
      <c r="A31" s="3515"/>
      <c r="B31" s="3515"/>
      <c r="C31" s="1394" t="s">
        <v>1519</v>
      </c>
      <c r="D31" s="1395"/>
      <c r="E31" s="1393">
        <v>0.8</v>
      </c>
      <c r="F31" s="1396" t="s">
        <v>1520</v>
      </c>
      <c r="G31" s="1397"/>
      <c r="H31" s="1389"/>
      <c r="I31" s="1389"/>
    </row>
    <row r="32" spans="1:9" s="1398" customFormat="1" ht="19.5" customHeight="1">
      <c r="A32" s="3515"/>
      <c r="B32" s="3515"/>
      <c r="C32" s="1394" t="s">
        <v>1521</v>
      </c>
      <c r="D32" s="1395"/>
      <c r="E32" s="1393">
        <v>0.8</v>
      </c>
      <c r="F32" s="1396" t="s">
        <v>1522</v>
      </c>
      <c r="G32" s="1397"/>
      <c r="H32" s="1389"/>
      <c r="I32" s="1389"/>
    </row>
    <row r="33" spans="1:9" s="1398" customFormat="1" ht="19.5" customHeight="1">
      <c r="A33" s="3515" t="s">
        <v>1112</v>
      </c>
      <c r="B33" s="1393" t="s">
        <v>1495</v>
      </c>
      <c r="C33" s="1394" t="s">
        <v>1523</v>
      </c>
      <c r="D33" s="1395"/>
      <c r="E33" s="1393">
        <v>1</v>
      </c>
      <c r="F33" s="1396" t="s">
        <v>1524</v>
      </c>
      <c r="G33" s="1397"/>
      <c r="H33" s="1389"/>
      <c r="I33" s="1389"/>
    </row>
    <row r="34" spans="1:9" s="1398" customFormat="1" ht="19.5" customHeight="1">
      <c r="A34" s="3515"/>
      <c r="B34" s="1393" t="s">
        <v>1498</v>
      </c>
      <c r="C34" s="1394" t="s">
        <v>1525</v>
      </c>
      <c r="D34" s="1395"/>
      <c r="E34" s="1393">
        <v>1.5</v>
      </c>
      <c r="F34" s="1396" t="s">
        <v>1526</v>
      </c>
      <c r="G34" s="1397"/>
      <c r="H34" s="1389"/>
      <c r="I34" s="1389"/>
    </row>
    <row r="35" spans="1:9" s="1398" customFormat="1" ht="19.5" customHeight="1">
      <c r="A35" s="3515" t="s">
        <v>1113</v>
      </c>
      <c r="B35" s="1393" t="s">
        <v>1495</v>
      </c>
      <c r="C35" s="1394" t="s">
        <v>1527</v>
      </c>
      <c r="D35" s="1395"/>
      <c r="E35" s="1393">
        <v>1</v>
      </c>
      <c r="F35" s="1396" t="s">
        <v>1528</v>
      </c>
      <c r="G35" s="1397"/>
      <c r="H35" s="1389"/>
      <c r="I35" s="1389"/>
    </row>
    <row r="36" spans="1:9" s="1398" customFormat="1" ht="19.5" customHeight="1">
      <c r="A36" s="3515"/>
      <c r="B36" s="3515" t="s">
        <v>1498</v>
      </c>
      <c r="C36" s="1394" t="s">
        <v>1529</v>
      </c>
      <c r="D36" s="1395"/>
      <c r="E36" s="1393">
        <v>1</v>
      </c>
      <c r="F36" s="1396" t="s">
        <v>1530</v>
      </c>
      <c r="G36" s="1397"/>
      <c r="H36" s="1389"/>
      <c r="I36" s="1389"/>
    </row>
    <row r="37" spans="1:9" s="1398" customFormat="1" ht="19.5" customHeight="1">
      <c r="A37" s="3515"/>
      <c r="B37" s="3515"/>
      <c r="C37" s="1394" t="s">
        <v>1531</v>
      </c>
      <c r="D37" s="1395"/>
      <c r="E37" s="1393">
        <v>1.5</v>
      </c>
      <c r="F37" s="1396" t="s">
        <v>1532</v>
      </c>
      <c r="G37" s="1397"/>
      <c r="H37" s="1389"/>
      <c r="I37" s="1389"/>
    </row>
    <row r="38" spans="1:9" s="1398" customFormat="1" ht="19.5" customHeight="1">
      <c r="A38" s="3515"/>
      <c r="B38" s="3515"/>
      <c r="C38" s="1394" t="s">
        <v>1533</v>
      </c>
      <c r="D38" s="1395"/>
      <c r="E38" s="1393">
        <v>1</v>
      </c>
      <c r="F38" s="1396" t="s">
        <v>1534</v>
      </c>
      <c r="G38" s="1397"/>
      <c r="H38" s="1389"/>
      <c r="I38" s="1389"/>
    </row>
    <row r="39" spans="1:9" s="1398" customFormat="1" ht="19.5" customHeight="1">
      <c r="A39" s="3515"/>
      <c r="B39" s="3515"/>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1"/>
      <c r="B60" s="1601"/>
      <c r="C60" s="1601" t="s">
        <v>1680</v>
      </c>
      <c r="D60" s="1601"/>
      <c r="E60" s="1406" t="s">
        <v>20</v>
      </c>
      <c r="F60" s="1601" t="s">
        <v>20</v>
      </c>
    </row>
    <row r="61" spans="1:8" s="1389" customFormat="1" ht="24">
      <c r="A61" s="1393">
        <v>1</v>
      </c>
      <c r="B61" s="3515" t="s">
        <v>1549</v>
      </c>
      <c r="C61" s="1307" t="s">
        <v>1550</v>
      </c>
      <c r="D61" s="1307" t="s">
        <v>1551</v>
      </c>
      <c r="E61" s="1406">
        <v>0.5</v>
      </c>
      <c r="F61" s="1393">
        <v>80</v>
      </c>
    </row>
    <row r="62" spans="1:8" s="1389" customFormat="1" ht="24">
      <c r="A62" s="1393">
        <v>2</v>
      </c>
      <c r="B62" s="3515"/>
      <c r="C62" s="1307" t="s">
        <v>1552</v>
      </c>
      <c r="D62" s="1307" t="s">
        <v>1553</v>
      </c>
      <c r="E62" s="1406">
        <v>0.5</v>
      </c>
      <c r="F62" s="1393">
        <v>80</v>
      </c>
    </row>
    <row r="63" spans="1:8" s="1389" customFormat="1" ht="36">
      <c r="A63" s="1393">
        <v>3</v>
      </c>
      <c r="B63" s="3515"/>
      <c r="C63" s="1307" t="s">
        <v>1554</v>
      </c>
      <c r="D63" s="1307" t="s">
        <v>1555</v>
      </c>
      <c r="E63" s="1406">
        <v>0.5</v>
      </c>
      <c r="F63" s="1393">
        <v>80</v>
      </c>
    </row>
    <row r="64" spans="1:8" s="1389" customFormat="1" ht="36">
      <c r="A64" s="1393">
        <v>4</v>
      </c>
      <c r="B64" s="3515"/>
      <c r="C64" s="1307" t="s">
        <v>1556</v>
      </c>
      <c r="D64" s="1307" t="s">
        <v>1557</v>
      </c>
      <c r="E64" s="1406">
        <v>0.4</v>
      </c>
      <c r="F64" s="1393">
        <v>60</v>
      </c>
    </row>
    <row r="65" spans="1:6" s="1389" customFormat="1" ht="36">
      <c r="A65" s="1393">
        <v>5</v>
      </c>
      <c r="B65" s="3515"/>
      <c r="C65" s="1307" t="s">
        <v>1558</v>
      </c>
      <c r="D65" s="1307" t="s">
        <v>1559</v>
      </c>
      <c r="E65" s="1406">
        <v>0.2</v>
      </c>
      <c r="F65" s="1393">
        <v>30</v>
      </c>
    </row>
    <row r="66" spans="1:6" s="1389" customFormat="1" ht="36">
      <c r="A66" s="1393">
        <v>6</v>
      </c>
      <c r="B66" s="3515"/>
      <c r="C66" s="1307" t="s">
        <v>1560</v>
      </c>
      <c r="D66" s="1307" t="s">
        <v>1561</v>
      </c>
      <c r="E66" s="1406">
        <v>0.3</v>
      </c>
      <c r="F66" s="1393">
        <v>50</v>
      </c>
    </row>
    <row r="67" spans="1:6" s="1389" customFormat="1" ht="36">
      <c r="A67" s="1393">
        <v>7</v>
      </c>
      <c r="B67" s="3515"/>
      <c r="C67" s="1307" t="s">
        <v>1562</v>
      </c>
      <c r="D67" s="1307" t="s">
        <v>1563</v>
      </c>
      <c r="E67" s="1406">
        <v>0.2</v>
      </c>
      <c r="F67" s="1393">
        <v>30</v>
      </c>
    </row>
    <row r="68" spans="1:6" s="1389" customFormat="1" ht="36">
      <c r="A68" s="1393">
        <v>8</v>
      </c>
      <c r="B68" s="3515"/>
      <c r="C68" s="1307" t="s">
        <v>1564</v>
      </c>
      <c r="D68" s="1307" t="s">
        <v>1565</v>
      </c>
      <c r="E68" s="1406">
        <v>0.2</v>
      </c>
      <c r="F68" s="1393">
        <v>30</v>
      </c>
    </row>
    <row r="69" spans="1:6" s="1389" customFormat="1" ht="36">
      <c r="A69" s="1393">
        <v>9</v>
      </c>
      <c r="B69" s="3515"/>
      <c r="C69" s="1307" t="s">
        <v>1566</v>
      </c>
      <c r="D69" s="1307" t="s">
        <v>1567</v>
      </c>
      <c r="E69" s="1406">
        <v>0.2</v>
      </c>
      <c r="F69" s="1393">
        <v>30</v>
      </c>
    </row>
    <row r="70" spans="1:6" s="1389" customFormat="1" ht="48">
      <c r="A70" s="1393">
        <v>10</v>
      </c>
      <c r="B70" s="3515"/>
      <c r="C70" s="1307" t="s">
        <v>1568</v>
      </c>
      <c r="D70" s="1307" t="s">
        <v>1569</v>
      </c>
      <c r="E70" s="1406">
        <v>0.2</v>
      </c>
      <c r="F70" s="1393">
        <v>30</v>
      </c>
    </row>
    <row r="71" spans="1:6" s="1389" customFormat="1" ht="48">
      <c r="A71" s="1393">
        <v>11</v>
      </c>
      <c r="B71" s="3515"/>
      <c r="C71" s="1307" t="s">
        <v>1570</v>
      </c>
      <c r="D71" s="1307" t="s">
        <v>1571</v>
      </c>
      <c r="E71" s="1406">
        <v>0.2</v>
      </c>
      <c r="F71" s="1393">
        <v>30</v>
      </c>
    </row>
    <row r="72" spans="1:6" s="1389" customFormat="1" ht="36">
      <c r="A72" s="1393">
        <v>12</v>
      </c>
      <c r="B72" s="3515"/>
      <c r="C72" s="1307" t="s">
        <v>1572</v>
      </c>
      <c r="D72" s="1307" t="s">
        <v>1573</v>
      </c>
      <c r="E72" s="1406">
        <v>0.5</v>
      </c>
      <c r="F72" s="1393">
        <v>80</v>
      </c>
    </row>
    <row r="73" spans="1:6" s="1389" customFormat="1" ht="24">
      <c r="A73" s="1393">
        <v>13</v>
      </c>
      <c r="B73" s="3515"/>
      <c r="C73" s="1307" t="s">
        <v>1574</v>
      </c>
      <c r="D73" s="1307" t="s">
        <v>1575</v>
      </c>
      <c r="E73" s="1406">
        <v>0.4</v>
      </c>
      <c r="F73" s="1393">
        <v>60</v>
      </c>
    </row>
    <row r="74" spans="1:6" s="1389" customFormat="1" ht="24">
      <c r="A74" s="1393">
        <v>14</v>
      </c>
      <c r="B74" s="3515"/>
      <c r="C74" s="1307" t="s">
        <v>1576</v>
      </c>
      <c r="D74" s="1307" t="s">
        <v>1577</v>
      </c>
      <c r="E74" s="1406">
        <v>0.2</v>
      </c>
      <c r="F74" s="1393">
        <v>30</v>
      </c>
    </row>
    <row r="75" spans="1:6" s="1389" customFormat="1" ht="24">
      <c r="A75" s="1393">
        <v>15</v>
      </c>
      <c r="B75" s="3515"/>
      <c r="C75" s="1307" t="s">
        <v>1578</v>
      </c>
      <c r="D75" s="1307" t="s">
        <v>1579</v>
      </c>
      <c r="E75" s="1406">
        <v>0.2</v>
      </c>
      <c r="F75" s="1393">
        <v>30</v>
      </c>
    </row>
    <row r="76" spans="1:6" s="1389" customFormat="1" ht="24">
      <c r="A76" s="1393">
        <v>16</v>
      </c>
      <c r="B76" s="3515" t="s">
        <v>1580</v>
      </c>
      <c r="C76" s="1307" t="s">
        <v>1581</v>
      </c>
      <c r="D76" s="1307" t="s">
        <v>1582</v>
      </c>
      <c r="E76" s="1406">
        <v>0.5</v>
      </c>
      <c r="F76" s="1393">
        <v>80</v>
      </c>
    </row>
    <row r="77" spans="1:6" s="1389" customFormat="1" ht="24">
      <c r="A77" s="1393">
        <v>17</v>
      </c>
      <c r="B77" s="3515"/>
      <c r="C77" s="1307" t="s">
        <v>1583</v>
      </c>
      <c r="D77" s="1307" t="s">
        <v>1584</v>
      </c>
      <c r="E77" s="1406">
        <v>0.5</v>
      </c>
      <c r="F77" s="1393">
        <v>80</v>
      </c>
    </row>
    <row r="78" spans="1:6" s="1389" customFormat="1" ht="24">
      <c r="A78" s="1393">
        <v>18</v>
      </c>
      <c r="B78" s="3515"/>
      <c r="C78" s="1307" t="s">
        <v>1585</v>
      </c>
      <c r="D78" s="1307" t="s">
        <v>1586</v>
      </c>
      <c r="E78" s="1406">
        <v>0.2</v>
      </c>
      <c r="F78" s="1393">
        <v>30</v>
      </c>
    </row>
    <row r="79" spans="1:6" s="1389" customFormat="1" ht="24">
      <c r="A79" s="1393">
        <v>19</v>
      </c>
      <c r="B79" s="3515"/>
      <c r="C79" s="1307" t="s">
        <v>1587</v>
      </c>
      <c r="D79" s="1307" t="s">
        <v>1588</v>
      </c>
      <c r="E79" s="1406">
        <v>0.5</v>
      </c>
      <c r="F79" s="1393">
        <v>80</v>
      </c>
    </row>
    <row r="80" spans="1:6" s="1389" customFormat="1" ht="36">
      <c r="A80" s="1393">
        <v>20</v>
      </c>
      <c r="B80" s="3515"/>
      <c r="C80" s="1307" t="s">
        <v>1589</v>
      </c>
      <c r="D80" s="1307" t="s">
        <v>1590</v>
      </c>
      <c r="E80" s="1406">
        <v>0.2</v>
      </c>
      <c r="F80" s="1393">
        <v>30</v>
      </c>
    </row>
    <row r="81" spans="1:6" s="1389" customFormat="1" ht="36">
      <c r="A81" s="1393">
        <v>21</v>
      </c>
      <c r="B81" s="3515"/>
      <c r="C81" s="1307" t="s">
        <v>1591</v>
      </c>
      <c r="D81" s="1307" t="s">
        <v>1592</v>
      </c>
      <c r="E81" s="1406">
        <v>0.2</v>
      </c>
      <c r="F81" s="1393">
        <v>30</v>
      </c>
    </row>
    <row r="82" spans="1:6" s="1389" customFormat="1" ht="48">
      <c r="A82" s="1393">
        <v>22</v>
      </c>
      <c r="B82" s="3515"/>
      <c r="C82" s="1307" t="s">
        <v>1593</v>
      </c>
      <c r="D82" s="1307" t="s">
        <v>1594</v>
      </c>
      <c r="E82" s="1406">
        <v>0.2</v>
      </c>
      <c r="F82" s="1393">
        <v>30</v>
      </c>
    </row>
    <row r="83" spans="1:6" s="1389" customFormat="1" ht="48">
      <c r="A83" s="1393">
        <v>23</v>
      </c>
      <c r="B83" s="3515"/>
      <c r="C83" s="1307" t="s">
        <v>1595</v>
      </c>
      <c r="D83" s="1307" t="s">
        <v>1596</v>
      </c>
      <c r="E83" s="1406">
        <v>0.2</v>
      </c>
      <c r="F83" s="1393">
        <v>30</v>
      </c>
    </row>
    <row r="84" spans="1:6" s="1389" customFormat="1" ht="36">
      <c r="A84" s="1393">
        <v>24</v>
      </c>
      <c r="B84" s="3515"/>
      <c r="C84" s="1307" t="s">
        <v>1597</v>
      </c>
      <c r="D84" s="1307" t="s">
        <v>1598</v>
      </c>
      <c r="E84" s="1406">
        <v>0.2</v>
      </c>
      <c r="F84" s="1393">
        <v>30</v>
      </c>
    </row>
    <row r="85" spans="1:6" s="1389" customFormat="1" ht="36">
      <c r="A85" s="1393">
        <v>25</v>
      </c>
      <c r="B85" s="3515"/>
      <c r="C85" s="1307" t="s">
        <v>1599</v>
      </c>
      <c r="D85" s="1307" t="s">
        <v>1600</v>
      </c>
      <c r="E85" s="1406">
        <v>0.5</v>
      </c>
      <c r="F85" s="1393">
        <v>80</v>
      </c>
    </row>
    <row r="86" spans="1:6" s="1389" customFormat="1" ht="36">
      <c r="A86" s="1393">
        <v>26</v>
      </c>
      <c r="B86" s="3515"/>
      <c r="C86" s="1307" t="s">
        <v>1601</v>
      </c>
      <c r="D86" s="1307" t="s">
        <v>1602</v>
      </c>
      <c r="E86" s="1406">
        <v>0.2</v>
      </c>
      <c r="F86" s="1393">
        <v>30</v>
      </c>
    </row>
    <row r="87" spans="1:6" s="1389" customFormat="1" ht="36">
      <c r="A87" s="1393">
        <v>27</v>
      </c>
      <c r="B87" s="3515"/>
      <c r="C87" s="1307" t="s">
        <v>1603</v>
      </c>
      <c r="D87" s="1307" t="s">
        <v>1604</v>
      </c>
      <c r="E87" s="1406">
        <v>0.2</v>
      </c>
      <c r="F87" s="1393">
        <v>30</v>
      </c>
    </row>
    <row r="88" spans="1:6" s="1389" customFormat="1" ht="36">
      <c r="A88" s="1393">
        <v>28</v>
      </c>
      <c r="B88" s="3515"/>
      <c r="C88" s="1307" t="s">
        <v>1605</v>
      </c>
      <c r="D88" s="1307" t="s">
        <v>1606</v>
      </c>
      <c r="E88" s="1406">
        <v>0.2</v>
      </c>
      <c r="F88" s="1393">
        <v>30</v>
      </c>
    </row>
    <row r="89" spans="1:6" s="1389" customFormat="1" ht="24">
      <c r="A89" s="1393">
        <v>29</v>
      </c>
      <c r="B89" s="3515"/>
      <c r="C89" s="1307" t="s">
        <v>1607</v>
      </c>
      <c r="D89" s="1307" t="s">
        <v>1608</v>
      </c>
      <c r="E89" s="1406">
        <v>0.2</v>
      </c>
      <c r="F89" s="1393">
        <v>30</v>
      </c>
    </row>
    <row r="90" spans="1:6" s="1389" customFormat="1" ht="24">
      <c r="A90" s="1393">
        <v>30</v>
      </c>
      <c r="B90" s="3515"/>
      <c r="C90" s="1307" t="s">
        <v>1609</v>
      </c>
      <c r="D90" s="1307" t="s">
        <v>1610</v>
      </c>
      <c r="E90" s="1406">
        <v>0.2</v>
      </c>
      <c r="F90" s="1393">
        <v>30</v>
      </c>
    </row>
    <row r="91" spans="1:6" s="1389" customFormat="1" ht="36">
      <c r="A91" s="1393">
        <v>31</v>
      </c>
      <c r="B91" s="3515"/>
      <c r="C91" s="1307" t="s">
        <v>1611</v>
      </c>
      <c r="D91" s="1307" t="s">
        <v>1612</v>
      </c>
      <c r="E91" s="1406">
        <v>0.2</v>
      </c>
      <c r="F91" s="1393">
        <v>30</v>
      </c>
    </row>
    <row r="92" spans="1:6" s="1389" customFormat="1" ht="24">
      <c r="A92" s="1393">
        <v>32</v>
      </c>
      <c r="B92" s="3515" t="s">
        <v>1613</v>
      </c>
      <c r="C92" s="1393" t="s">
        <v>1614</v>
      </c>
      <c r="D92" s="1307" t="s">
        <v>1615</v>
      </c>
      <c r="E92" s="1406">
        <v>0.2</v>
      </c>
      <c r="F92" s="1393">
        <v>30</v>
      </c>
    </row>
    <row r="93" spans="1:6" s="1389" customFormat="1" ht="36">
      <c r="A93" s="1393">
        <v>33</v>
      </c>
      <c r="B93" s="3515"/>
      <c r="C93" s="1393" t="s">
        <v>1616</v>
      </c>
      <c r="D93" s="1307" t="s">
        <v>1617</v>
      </c>
      <c r="E93" s="1406">
        <v>0.2</v>
      </c>
      <c r="F93" s="1393">
        <v>30</v>
      </c>
    </row>
    <row r="94" spans="1:6" s="1389" customFormat="1" ht="48">
      <c r="A94" s="1393">
        <v>34</v>
      </c>
      <c r="B94" s="3515"/>
      <c r="C94" s="1393" t="s">
        <v>1618</v>
      </c>
      <c r="D94" s="1307" t="s">
        <v>1619</v>
      </c>
      <c r="E94" s="1406">
        <v>0.2</v>
      </c>
      <c r="F94" s="1393">
        <v>30</v>
      </c>
    </row>
    <row r="95" spans="1:6" s="1389" customFormat="1" ht="36">
      <c r="A95" s="1393">
        <v>35</v>
      </c>
      <c r="B95" s="3515"/>
      <c r="C95" s="1393" t="s">
        <v>1620</v>
      </c>
      <c r="D95" s="1307" t="s">
        <v>1621</v>
      </c>
      <c r="E95" s="1406">
        <v>0.2</v>
      </c>
      <c r="F95" s="1393">
        <v>30</v>
      </c>
    </row>
    <row r="96" spans="1:6" s="1389" customFormat="1" ht="48">
      <c r="A96" s="1393">
        <v>36</v>
      </c>
      <c r="B96" s="3515"/>
      <c r="C96" s="1307" t="s">
        <v>1622</v>
      </c>
      <c r="D96" s="1307" t="s">
        <v>1623</v>
      </c>
      <c r="E96" s="1406">
        <v>0.2</v>
      </c>
      <c r="F96" s="1393">
        <v>30</v>
      </c>
    </row>
    <row r="97" spans="1:6" s="1389" customFormat="1" ht="36">
      <c r="A97" s="1393">
        <v>37</v>
      </c>
      <c r="B97" s="3515"/>
      <c r="C97" s="1393" t="s">
        <v>1624</v>
      </c>
      <c r="D97" s="1307" t="s">
        <v>1625</v>
      </c>
      <c r="E97" s="1406">
        <v>0.2</v>
      </c>
      <c r="F97" s="1393">
        <v>30</v>
      </c>
    </row>
    <row r="98" spans="1:6" s="1389" customFormat="1" ht="36">
      <c r="A98" s="1393">
        <v>38</v>
      </c>
      <c r="B98" s="3515"/>
      <c r="C98" s="1393" t="s">
        <v>1626</v>
      </c>
      <c r="D98" s="1307" t="s">
        <v>1627</v>
      </c>
      <c r="E98" s="1406">
        <v>0.2</v>
      </c>
      <c r="F98" s="1393">
        <v>30</v>
      </c>
    </row>
    <row r="99" spans="1:6" s="1389" customFormat="1" ht="36">
      <c r="A99" s="1393">
        <v>39</v>
      </c>
      <c r="B99" s="3515" t="s">
        <v>1628</v>
      </c>
      <c r="C99" s="1393" t="s">
        <v>1629</v>
      </c>
      <c r="D99" s="1307" t="s">
        <v>1630</v>
      </c>
      <c r="E99" s="1406">
        <v>0.3</v>
      </c>
      <c r="F99" s="1393">
        <v>50</v>
      </c>
    </row>
    <row r="100" spans="1:6" s="1389" customFormat="1" ht="24">
      <c r="A100" s="1393">
        <v>40</v>
      </c>
      <c r="B100" s="3515"/>
      <c r="C100" s="1393" t="s">
        <v>1631</v>
      </c>
      <c r="D100" s="1307" t="s">
        <v>1632</v>
      </c>
      <c r="E100" s="1406">
        <v>0.2</v>
      </c>
      <c r="F100" s="1393">
        <v>30</v>
      </c>
    </row>
    <row r="101" spans="1:6" s="1389" customFormat="1" ht="36">
      <c r="A101" s="1393">
        <v>41</v>
      </c>
      <c r="B101" s="3515"/>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15" t="s">
        <v>1643</v>
      </c>
      <c r="C105" s="1393" t="s">
        <v>1644</v>
      </c>
      <c r="D105" s="1307" t="s">
        <v>1645</v>
      </c>
      <c r="E105" s="1406">
        <v>0.2</v>
      </c>
      <c r="F105" s="1393">
        <v>30</v>
      </c>
    </row>
    <row r="106" spans="1:6" s="1389" customFormat="1" ht="36">
      <c r="A106" s="1393">
        <v>46</v>
      </c>
      <c r="B106" s="3515"/>
      <c r="C106" s="1393" t="s">
        <v>1646</v>
      </c>
      <c r="D106" s="1307" t="s">
        <v>1647</v>
      </c>
      <c r="E106" s="1406">
        <v>0.2</v>
      </c>
      <c r="F106" s="1393">
        <v>30</v>
      </c>
    </row>
    <row r="107" spans="1:6" s="1389" customFormat="1" ht="36">
      <c r="A107" s="1393">
        <v>47</v>
      </c>
      <c r="B107" s="3515" t="s">
        <v>1648</v>
      </c>
      <c r="C107" s="1393" t="s">
        <v>1649</v>
      </c>
      <c r="D107" s="1307" t="s">
        <v>1650</v>
      </c>
      <c r="E107" s="1406">
        <v>0.3</v>
      </c>
      <c r="F107" s="1393">
        <v>50</v>
      </c>
    </row>
    <row r="108" spans="1:6" s="1389" customFormat="1" ht="36">
      <c r="A108" s="1393">
        <v>48</v>
      </c>
      <c r="B108" s="3515"/>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15" t="s">
        <v>1659</v>
      </c>
      <c r="C111" s="1393" t="s">
        <v>1660</v>
      </c>
      <c r="D111" s="1307" t="s">
        <v>1661</v>
      </c>
      <c r="E111" s="1406">
        <v>0.2</v>
      </c>
      <c r="F111" s="1393">
        <v>30</v>
      </c>
    </row>
    <row r="112" spans="1:6" s="1389" customFormat="1" ht="24">
      <c r="A112" s="1393">
        <v>52</v>
      </c>
      <c r="B112" s="3515"/>
      <c r="C112" s="1393" t="s">
        <v>1662</v>
      </c>
      <c r="D112" s="1307" t="s">
        <v>1663</v>
      </c>
      <c r="E112" s="1406">
        <v>0.2</v>
      </c>
      <c r="F112" s="1393">
        <v>30</v>
      </c>
    </row>
    <row r="113" spans="1:6" s="1389" customFormat="1" ht="24">
      <c r="A113" s="1393">
        <v>53</v>
      </c>
      <c r="B113" s="3515"/>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15" t="s">
        <v>1672</v>
      </c>
      <c r="C116" s="1393" t="s">
        <v>1673</v>
      </c>
      <c r="D116" s="1307" t="s">
        <v>1674</v>
      </c>
      <c r="E116" s="1406">
        <v>0.2</v>
      </c>
      <c r="F116" s="1393">
        <v>30</v>
      </c>
    </row>
    <row r="117" spans="1:6" ht="36">
      <c r="A117" s="1393">
        <v>57</v>
      </c>
      <c r="B117" s="3515"/>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1.1020000000000001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2580</v>
      </c>
      <c r="C1" s="3539"/>
      <c r="D1" s="3539"/>
      <c r="E1" s="3539"/>
      <c r="F1" s="3539"/>
      <c r="G1" s="3538" t="s">
        <v>2581</v>
      </c>
      <c r="H1" s="3538"/>
      <c r="I1" s="3538"/>
      <c r="J1" s="3538"/>
      <c r="K1" s="3538"/>
      <c r="L1" s="3538"/>
      <c r="N1" s="3538" t="s">
        <v>2582</v>
      </c>
      <c r="O1" s="3538"/>
      <c r="P1" s="3538"/>
      <c r="Q1" s="3538"/>
      <c r="R1" s="2663"/>
      <c r="S1" s="3538" t="s">
        <v>2583</v>
      </c>
      <c r="T1" s="3538"/>
      <c r="U1" s="3538"/>
      <c r="V1" s="3538"/>
      <c r="X1" s="3537" t="s">
        <v>2584</v>
      </c>
      <c r="Y1" s="3538"/>
      <c r="Z1" s="3538"/>
      <c r="AA1" s="3538"/>
      <c r="AB1" s="3538"/>
      <c r="AD1" s="3537" t="s">
        <v>2585</v>
      </c>
      <c r="AE1" s="3538"/>
      <c r="AF1" s="3538"/>
      <c r="AG1" s="3538"/>
      <c r="AH1" s="3538"/>
    </row>
    <row r="2" spans="1:34" s="2664" customFormat="1" ht="14.25" thickBot="1">
      <c r="B2" s="2665" t="s">
        <v>2586</v>
      </c>
      <c r="C2" s="2665" t="s">
        <v>2587</v>
      </c>
      <c r="D2" s="2666" t="s">
        <v>2588</v>
      </c>
      <c r="E2" s="2666" t="s">
        <v>2589</v>
      </c>
      <c r="F2" s="2665" t="s">
        <v>2590</v>
      </c>
      <c r="G2" s="2667"/>
      <c r="H2" s="2668"/>
      <c r="I2" s="2668"/>
      <c r="J2" s="2668"/>
      <c r="K2" s="2668"/>
      <c r="L2" s="2668"/>
      <c r="N2" s="2667"/>
      <c r="O2" s="2668"/>
      <c r="P2" s="2668"/>
      <c r="Q2" s="2668"/>
      <c r="R2" s="2669"/>
      <c r="S2" s="2667"/>
      <c r="T2" s="2668"/>
      <c r="U2" s="2668"/>
      <c r="V2" s="2668"/>
      <c r="X2" s="2665" t="s">
        <v>2591</v>
      </c>
      <c r="Y2" s="2665" t="s">
        <v>2592</v>
      </c>
      <c r="Z2" s="2666" t="s">
        <v>2593</v>
      </c>
      <c r="AA2" s="2666" t="s">
        <v>2594</v>
      </c>
      <c r="AB2" s="2665" t="s">
        <v>2595</v>
      </c>
      <c r="AD2" s="2665" t="s">
        <v>2591</v>
      </c>
      <c r="AE2" s="2665" t="s">
        <v>2592</v>
      </c>
      <c r="AF2" s="2666" t="s">
        <v>2593</v>
      </c>
      <c r="AG2" s="2666" t="s">
        <v>2594</v>
      </c>
      <c r="AH2" s="2665" t="s">
        <v>2595</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2596</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2597</v>
      </c>
      <c r="B5" s="2679"/>
      <c r="C5" s="2679"/>
      <c r="D5" s="2679"/>
      <c r="E5" s="2679"/>
      <c r="F5" s="2679"/>
      <c r="G5" s="3535"/>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2598</v>
      </c>
      <c r="B6" s="2685">
        <f>B7*(1+N6)</f>
        <v>415.21602360000003</v>
      </c>
      <c r="C6" s="2685">
        <f t="shared" ref="C6" si="2">C7*(1+O6)</f>
        <v>312.63083488000001</v>
      </c>
      <c r="D6" s="3000">
        <f>C6</f>
        <v>312.63083488000001</v>
      </c>
      <c r="E6" s="2685">
        <f>E7*(1+P6)</f>
        <v>589.96402416000001</v>
      </c>
      <c r="F6" s="2685">
        <f>F7*(1+Q6)</f>
        <v>273.82351752000005</v>
      </c>
      <c r="G6" s="3535"/>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2600</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2599</v>
      </c>
      <c r="B7" s="2699">
        <f>B8*(1+N7)</f>
        <v>405.524</v>
      </c>
      <c r="C7" s="2699">
        <f t="shared" ref="C7" si="7">C8*(1+O7)</f>
        <v>307.79840000000002</v>
      </c>
      <c r="D7" s="2699">
        <f>C7</f>
        <v>307.79840000000002</v>
      </c>
      <c r="E7" s="2699">
        <f>E8*(1+P7)</f>
        <v>574.67759999999998</v>
      </c>
      <c r="F7" s="2699">
        <f>F8*(1+Q7)</f>
        <v>270.20280000000002</v>
      </c>
      <c r="G7" s="3536"/>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2601</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1071</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5"/>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1061</v>
      </c>
      <c r="B10" s="2699">
        <f t="shared" si="10"/>
        <v>360.06949782209392</v>
      </c>
      <c r="C10" s="2699">
        <f t="shared" si="10"/>
        <v>289.84672674747821</v>
      </c>
      <c r="D10" s="2699">
        <f t="shared" si="11"/>
        <v>289.84672674747821</v>
      </c>
      <c r="E10" s="2699">
        <f t="shared" si="12"/>
        <v>501.06543001181495</v>
      </c>
      <c r="F10" s="2699">
        <f t="shared" si="12"/>
        <v>256.82882500744967</v>
      </c>
      <c r="G10" s="3535"/>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1070</v>
      </c>
      <c r="B11" s="2699">
        <f t="shared" si="10"/>
        <v>346.720748986128</v>
      </c>
      <c r="C11" s="2699">
        <f t="shared" si="10"/>
        <v>284.30282172386285</v>
      </c>
      <c r="D11" s="2699">
        <f t="shared" si="11"/>
        <v>284.30282172386285</v>
      </c>
      <c r="E11" s="2699">
        <f t="shared" si="12"/>
        <v>479.58023546306947</v>
      </c>
      <c r="F11" s="2699">
        <f t="shared" si="12"/>
        <v>253.25788877571213</v>
      </c>
      <c r="G11" s="3536"/>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1069</v>
      </c>
      <c r="B12" s="2691">
        <v>333</v>
      </c>
      <c r="C12" s="2691">
        <v>277</v>
      </c>
      <c r="D12" s="2691">
        <f t="shared" si="11"/>
        <v>277</v>
      </c>
      <c r="E12" s="2691">
        <v>459</v>
      </c>
      <c r="F12" s="2692">
        <v>249</v>
      </c>
      <c r="G12" s="3534">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1068</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5"/>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1067</v>
      </c>
      <c r="B14" s="2699">
        <f t="shared" si="14"/>
        <v>322.34053690220776</v>
      </c>
      <c r="C14" s="2699">
        <f t="shared" si="14"/>
        <v>271.46160770422546</v>
      </c>
      <c r="D14" s="2699">
        <f t="shared" si="11"/>
        <v>271.46160770422546</v>
      </c>
      <c r="E14" s="2699">
        <f t="shared" si="15"/>
        <v>442.69434542172456</v>
      </c>
      <c r="F14" s="2699">
        <f t="shared" si="15"/>
        <v>241.34030753190925</v>
      </c>
      <c r="G14" s="3535"/>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1066</v>
      </c>
      <c r="B15" s="2699">
        <f t="shared" si="14"/>
        <v>319.87748030386797</v>
      </c>
      <c r="C15" s="2699">
        <f t="shared" si="14"/>
        <v>269.60135833173649</v>
      </c>
      <c r="D15" s="2699">
        <f t="shared" si="11"/>
        <v>269.60135833173649</v>
      </c>
      <c r="E15" s="2699">
        <f t="shared" si="15"/>
        <v>439.18089823583784</v>
      </c>
      <c r="F15" s="2699">
        <f t="shared" si="15"/>
        <v>239.23503918706311</v>
      </c>
      <c r="G15" s="3536"/>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1065</v>
      </c>
      <c r="B16" s="2712">
        <v>318</v>
      </c>
      <c r="C16" s="2712">
        <v>268</v>
      </c>
      <c r="D16" s="2712">
        <f t="shared" si="11"/>
        <v>268</v>
      </c>
      <c r="E16" s="2712">
        <v>437</v>
      </c>
      <c r="F16" s="2713">
        <v>237</v>
      </c>
      <c r="G16" s="3534">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1064</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5"/>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1063</v>
      </c>
      <c r="B18" s="2699">
        <f t="shared" si="16"/>
        <v>314.72141172386546</v>
      </c>
      <c r="C18" s="2699">
        <f t="shared" si="16"/>
        <v>263.03901319069001</v>
      </c>
      <c r="D18" s="2699">
        <f t="shared" si="11"/>
        <v>263.03901319069001</v>
      </c>
      <c r="E18" s="2699">
        <f t="shared" si="17"/>
        <v>433.65745506782821</v>
      </c>
      <c r="F18" s="2699">
        <f t="shared" si="17"/>
        <v>233.23005080045735</v>
      </c>
      <c r="G18" s="3535"/>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1062</v>
      </c>
      <c r="B19" s="2717">
        <f t="shared" si="16"/>
        <v>307.34512863658733</v>
      </c>
      <c r="C19" s="2717">
        <f t="shared" si="16"/>
        <v>257.80556031626975</v>
      </c>
      <c r="D19" s="2717">
        <f t="shared" si="11"/>
        <v>257.80556031626975</v>
      </c>
      <c r="E19" s="2717">
        <f t="shared" si="17"/>
        <v>422.70928459677179</v>
      </c>
      <c r="F19" s="2717">
        <f t="shared" si="17"/>
        <v>229.73803270336617</v>
      </c>
      <c r="G19" s="3536"/>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2806</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2602</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2603</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2604</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2605</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2606</v>
      </c>
      <c r="B24" s="2733">
        <v>278</v>
      </c>
      <c r="C24" s="2733">
        <v>234</v>
      </c>
      <c r="D24" s="2733">
        <f t="shared" si="11"/>
        <v>234</v>
      </c>
      <c r="E24" s="2733">
        <v>379</v>
      </c>
      <c r="F24" s="2734">
        <v>220</v>
      </c>
      <c r="G24" s="3534">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2607</v>
      </c>
      <c r="B25" s="2699">
        <f>B24/(1+N24)</f>
        <v>275.49301357645425</v>
      </c>
      <c r="C25" s="2699">
        <f>C24/(1+O24)</f>
        <v>232.41954707985698</v>
      </c>
      <c r="D25" s="2699">
        <f t="shared" si="11"/>
        <v>232.41954707985698</v>
      </c>
      <c r="E25" s="2699">
        <f t="shared" ref="E25:F27" si="22">E24/(1+P24)</f>
        <v>375.32184591008121</v>
      </c>
      <c r="F25" s="2699">
        <f t="shared" si="22"/>
        <v>218.03766105054513</v>
      </c>
      <c r="G25" s="3535"/>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2608</v>
      </c>
      <c r="B26" s="2699">
        <f>B25/(1+N25)</f>
        <v>275.24529281292263</v>
      </c>
      <c r="C26" s="2699">
        <f>C25/(1+O25)</f>
        <v>231.74747938962707</v>
      </c>
      <c r="D26" s="2699">
        <f t="shared" si="11"/>
        <v>231.74747938962707</v>
      </c>
      <c r="E26" s="2699">
        <f t="shared" si="22"/>
        <v>375.35938184826603</v>
      </c>
      <c r="F26" s="2699">
        <f t="shared" si="22"/>
        <v>216.78033510692495</v>
      </c>
      <c r="G26" s="3535"/>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2609</v>
      </c>
      <c r="B27" s="2699">
        <f>B26/(1+N26)</f>
        <v>275.19025476197027</v>
      </c>
      <c r="C27" s="2735">
        <v>232</v>
      </c>
      <c r="D27" s="2735">
        <f t="shared" si="11"/>
        <v>232</v>
      </c>
      <c r="E27" s="2699">
        <f t="shared" si="22"/>
        <v>375.65990977608692</v>
      </c>
      <c r="F27" s="2699">
        <f t="shared" si="22"/>
        <v>214.12518283971252</v>
      </c>
      <c r="G27" s="3536"/>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2610</v>
      </c>
      <c r="B28" s="2691">
        <v>275</v>
      </c>
      <c r="C28" s="2691">
        <v>232</v>
      </c>
      <c r="D28" s="2691">
        <f t="shared" si="11"/>
        <v>232</v>
      </c>
      <c r="E28" s="2691">
        <v>376</v>
      </c>
      <c r="F28" s="2692">
        <v>213</v>
      </c>
      <c r="G28" s="3534">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2611</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5">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2612</v>
      </c>
      <c r="B30" s="2699">
        <f t="shared" si="23"/>
        <v>275.19335084830601</v>
      </c>
      <c r="C30" s="2699">
        <f t="shared" si="23"/>
        <v>230.18088050139744</v>
      </c>
      <c r="D30" s="2699">
        <f t="shared" si="11"/>
        <v>230.18088050139744</v>
      </c>
      <c r="E30" s="2699">
        <f t="shared" si="24"/>
        <v>377.58482925212331</v>
      </c>
      <c r="F30" s="2699">
        <f t="shared" si="24"/>
        <v>210.90687997847917</v>
      </c>
      <c r="G30" s="3535">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2613</v>
      </c>
      <c r="B31" s="2699">
        <f t="shared" si="23"/>
        <v>276.29854502841971</v>
      </c>
      <c r="C31" s="2699">
        <f t="shared" si="23"/>
        <v>229.79023709833027</v>
      </c>
      <c r="D31" s="2699">
        <f t="shared" si="11"/>
        <v>229.79023709833027</v>
      </c>
      <c r="E31" s="2699">
        <f t="shared" si="24"/>
        <v>379.78759731655936</v>
      </c>
      <c r="F31" s="2699">
        <f t="shared" si="24"/>
        <v>211.32953905659235</v>
      </c>
      <c r="G31" s="3536">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2614</v>
      </c>
      <c r="B32" s="2691">
        <v>269</v>
      </c>
      <c r="C32" s="2691">
        <v>221</v>
      </c>
      <c r="D32" s="2691">
        <f t="shared" si="11"/>
        <v>221</v>
      </c>
      <c r="E32" s="2691">
        <v>373</v>
      </c>
      <c r="F32" s="2692">
        <v>196</v>
      </c>
      <c r="G32" s="3534">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2615</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5">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2616</v>
      </c>
      <c r="B34" s="2699">
        <f t="shared" si="25"/>
        <v>242.95398227588385</v>
      </c>
      <c r="C34" s="2699">
        <f t="shared" si="25"/>
        <v>199.59137053614126</v>
      </c>
      <c r="D34" s="2699">
        <f t="shared" si="11"/>
        <v>199.59137053614126</v>
      </c>
      <c r="E34" s="2699">
        <f t="shared" si="26"/>
        <v>335.92189522342125</v>
      </c>
      <c r="F34" s="2699">
        <f t="shared" si="26"/>
        <v>183.10139991109489</v>
      </c>
      <c r="G34" s="3535">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2617</v>
      </c>
      <c r="B35" s="2699">
        <f t="shared" si="25"/>
        <v>232.06990378821649</v>
      </c>
      <c r="C35" s="2699">
        <f t="shared" si="25"/>
        <v>192.74878854286936</v>
      </c>
      <c r="D35" s="2699">
        <f t="shared" si="11"/>
        <v>192.74878854286936</v>
      </c>
      <c r="E35" s="2699">
        <f t="shared" si="26"/>
        <v>319.71247284992984</v>
      </c>
      <c r="F35" s="2699">
        <f t="shared" si="26"/>
        <v>175.67053622862409</v>
      </c>
      <c r="G35" s="3536">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2618</v>
      </c>
      <c r="B36" s="2691">
        <v>220</v>
      </c>
      <c r="C36" s="2691">
        <v>187</v>
      </c>
      <c r="D36" s="2691">
        <f t="shared" si="11"/>
        <v>187</v>
      </c>
      <c r="E36" s="2691">
        <v>301</v>
      </c>
      <c r="F36" s="2692">
        <v>168</v>
      </c>
      <c r="G36" s="3534">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2619</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5">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2620</v>
      </c>
      <c r="B38" s="2699">
        <f t="shared" si="27"/>
        <v>210.630522469011</v>
      </c>
      <c r="C38" s="2699">
        <f t="shared" si="27"/>
        <v>181.69567812247232</v>
      </c>
      <c r="D38" s="2699">
        <f t="shared" si="11"/>
        <v>181.69567812247232</v>
      </c>
      <c r="E38" s="2699">
        <f t="shared" si="28"/>
        <v>286.13517466736738</v>
      </c>
      <c r="F38" s="2699">
        <f t="shared" si="28"/>
        <v>165.47535084591149</v>
      </c>
      <c r="G38" s="3535">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2621</v>
      </c>
      <c r="B39" s="2699">
        <f t="shared" si="27"/>
        <v>208.83454537875372</v>
      </c>
      <c r="C39" s="2699">
        <f t="shared" si="27"/>
        <v>183.77230517090351</v>
      </c>
      <c r="D39" s="2699">
        <f t="shared" si="11"/>
        <v>183.77230517090351</v>
      </c>
      <c r="E39" s="2699">
        <f t="shared" si="28"/>
        <v>281.10342338870947</v>
      </c>
      <c r="F39" s="2699">
        <f t="shared" si="28"/>
        <v>168.97309388942256</v>
      </c>
      <c r="G39" s="3536">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2622</v>
      </c>
      <c r="B40" s="2733">
        <v>214</v>
      </c>
      <c r="C40" s="2733">
        <v>188</v>
      </c>
      <c r="D40" s="2733">
        <f t="shared" si="11"/>
        <v>188</v>
      </c>
      <c r="E40" s="2733">
        <v>289</v>
      </c>
      <c r="F40" s="2734">
        <v>166</v>
      </c>
      <c r="G40" s="3534">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2623</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5">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2624</v>
      </c>
      <c r="B42" s="2699">
        <f t="shared" si="29"/>
        <v>206.31694671589116</v>
      </c>
      <c r="C42" s="2699">
        <f t="shared" si="29"/>
        <v>183.61041121036101</v>
      </c>
      <c r="D42" s="2699">
        <f t="shared" si="11"/>
        <v>183.61041121036101</v>
      </c>
      <c r="E42" s="2699">
        <f t="shared" si="30"/>
        <v>276.66850301795557</v>
      </c>
      <c r="F42" s="2699">
        <f t="shared" si="30"/>
        <v>165.1360938278614</v>
      </c>
      <c r="G42" s="3535">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2625</v>
      </c>
      <c r="B43" s="2736">
        <f t="shared" si="29"/>
        <v>196.62341248059772</v>
      </c>
      <c r="C43" s="2736">
        <f t="shared" si="29"/>
        <v>170.99125648199012</v>
      </c>
      <c r="D43" s="2736">
        <f t="shared" si="11"/>
        <v>170.99125648199012</v>
      </c>
      <c r="E43" s="2736">
        <f t="shared" si="30"/>
        <v>266.07857570490052</v>
      </c>
      <c r="F43" s="2736">
        <f t="shared" si="30"/>
        <v>154.53499328828505</v>
      </c>
      <c r="G43" s="3536">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2626</v>
      </c>
      <c r="B44" s="2691">
        <v>188</v>
      </c>
      <c r="C44" s="2691">
        <v>165</v>
      </c>
      <c r="D44" s="2691">
        <f t="shared" si="11"/>
        <v>165</v>
      </c>
      <c r="E44" s="2691">
        <v>254</v>
      </c>
      <c r="F44" s="2692">
        <v>148</v>
      </c>
      <c r="G44" s="3534">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2627</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5">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2628</v>
      </c>
      <c r="B46" s="2699">
        <f t="shared" si="33"/>
        <v>168.82017748715555</v>
      </c>
      <c r="C46" s="2699">
        <f t="shared" si="33"/>
        <v>148.06267029972753</v>
      </c>
      <c r="D46" s="2699">
        <f t="shared" si="11"/>
        <v>148.06267029972753</v>
      </c>
      <c r="E46" s="2699">
        <f t="shared" si="34"/>
        <v>216.46288379323747</v>
      </c>
      <c r="F46" s="2699">
        <f t="shared" si="34"/>
        <v>134.23529411764704</v>
      </c>
      <c r="G46" s="3535">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2629</v>
      </c>
      <c r="B47" s="2699">
        <f t="shared" si="33"/>
        <v>163.84913591779542</v>
      </c>
      <c r="C47" s="2699">
        <f t="shared" si="33"/>
        <v>145.0283378746594</v>
      </c>
      <c r="D47" s="2699">
        <f t="shared" si="11"/>
        <v>145.0283378746594</v>
      </c>
      <c r="E47" s="2699">
        <f t="shared" si="34"/>
        <v>204.95180722891567</v>
      </c>
      <c r="F47" s="2699">
        <f t="shared" si="34"/>
        <v>125.95920303605313</v>
      </c>
      <c r="G47" s="3536">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2630</v>
      </c>
      <c r="B48" s="2712">
        <v>159</v>
      </c>
      <c r="C48" s="2712">
        <v>141</v>
      </c>
      <c r="D48" s="2712">
        <f t="shared" si="11"/>
        <v>141</v>
      </c>
      <c r="E48" s="2712">
        <v>195</v>
      </c>
      <c r="F48" s="2713">
        <v>122</v>
      </c>
      <c r="G48" s="3534">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2631</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5">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2632</v>
      </c>
      <c r="B50" s="2699">
        <f t="shared" si="37"/>
        <v>146.57412060301507</v>
      </c>
      <c r="C50" s="2699">
        <f t="shared" si="37"/>
        <v>136.46831955922866</v>
      </c>
      <c r="D50" s="2699">
        <f t="shared" si="11"/>
        <v>136.46831955922866</v>
      </c>
      <c r="E50" s="2699">
        <f t="shared" si="38"/>
        <v>166.73864894795128</v>
      </c>
      <c r="F50" s="2699">
        <f t="shared" si="38"/>
        <v>115.05882352941177</v>
      </c>
      <c r="G50" s="3535">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2633</v>
      </c>
      <c r="B51" s="2699">
        <f t="shared" si="37"/>
        <v>144.04145728643215</v>
      </c>
      <c r="C51" s="2699">
        <f t="shared" si="37"/>
        <v>136.12396694214877</v>
      </c>
      <c r="D51" s="2699">
        <f t="shared" si="11"/>
        <v>136.12396694214877</v>
      </c>
      <c r="E51" s="2699">
        <f t="shared" si="38"/>
        <v>158.32225913621264</v>
      </c>
      <c r="F51" s="2699">
        <f t="shared" si="38"/>
        <v>114.04278074866311</v>
      </c>
      <c r="G51" s="3536">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2634</v>
      </c>
      <c r="B52" s="2712">
        <v>138</v>
      </c>
      <c r="C52" s="2712">
        <v>131</v>
      </c>
      <c r="D52" s="2712">
        <f t="shared" si="11"/>
        <v>131</v>
      </c>
      <c r="E52" s="2712">
        <v>155</v>
      </c>
      <c r="F52" s="2713">
        <v>114</v>
      </c>
      <c r="G52" s="3534">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2635</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5">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2636</v>
      </c>
      <c r="B54" s="2699">
        <f t="shared" si="41"/>
        <v>124.29032258064517</v>
      </c>
      <c r="C54" s="2699">
        <f t="shared" si="41"/>
        <v>123.8968609865471</v>
      </c>
      <c r="D54" s="2699">
        <f t="shared" si="11"/>
        <v>123.8968609865471</v>
      </c>
      <c r="E54" s="2699">
        <f t="shared" si="42"/>
        <v>138.00507614213197</v>
      </c>
      <c r="F54" s="2699">
        <f t="shared" si="42"/>
        <v>107.96106557377048</v>
      </c>
      <c r="G54" s="3535">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2637</v>
      </c>
      <c r="B55" s="2699">
        <f t="shared" si="41"/>
        <v>122.57204301075269</v>
      </c>
      <c r="C55" s="2699">
        <f t="shared" si="41"/>
        <v>123.4932735426009</v>
      </c>
      <c r="D55" s="2699">
        <f t="shared" si="11"/>
        <v>123.4932735426009</v>
      </c>
      <c r="E55" s="2699">
        <f t="shared" si="42"/>
        <v>129.82233502538071</v>
      </c>
      <c r="F55" s="2699">
        <f t="shared" si="42"/>
        <v>107.39446721311475</v>
      </c>
      <c r="G55" s="3536">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2638</v>
      </c>
      <c r="B56" s="2733">
        <v>121</v>
      </c>
      <c r="C56" s="2733">
        <v>122</v>
      </c>
      <c r="D56" s="2733">
        <f t="shared" si="11"/>
        <v>122</v>
      </c>
      <c r="E56" s="2733">
        <v>124</v>
      </c>
      <c r="F56" s="2734">
        <v>107</v>
      </c>
      <c r="G56" s="3534">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2639</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5">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2640</v>
      </c>
      <c r="B58" s="2699">
        <f t="shared" si="45"/>
        <v>116.99099099099099</v>
      </c>
      <c r="C58" s="2699">
        <f t="shared" si="45"/>
        <v>118.84848484848486</v>
      </c>
      <c r="D58" s="2699">
        <f t="shared" si="11"/>
        <v>118.84848484848486</v>
      </c>
      <c r="E58" s="2699">
        <f t="shared" si="46"/>
        <v>117.60960960960961</v>
      </c>
      <c r="F58" s="2699">
        <f t="shared" si="46"/>
        <v>104</v>
      </c>
      <c r="G58" s="3535">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2641</v>
      </c>
      <c r="B59" s="2736">
        <f t="shared" si="45"/>
        <v>112.48648648648648</v>
      </c>
      <c r="C59" s="2736">
        <f t="shared" si="45"/>
        <v>115.21212121212122</v>
      </c>
      <c r="D59" s="2736">
        <f t="shared" si="11"/>
        <v>115.21212121212122</v>
      </c>
      <c r="E59" s="2736">
        <f t="shared" si="46"/>
        <v>110.4024024024024</v>
      </c>
      <c r="F59" s="2736">
        <f t="shared" si="46"/>
        <v>104</v>
      </c>
      <c r="G59" s="3536">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2642</v>
      </c>
      <c r="B60" s="2754">
        <v>111</v>
      </c>
      <c r="C60" s="2754">
        <v>114</v>
      </c>
      <c r="D60" s="2754">
        <f t="shared" si="11"/>
        <v>114</v>
      </c>
      <c r="E60" s="2754">
        <v>108</v>
      </c>
      <c r="F60" s="2755">
        <v>104</v>
      </c>
      <c r="G60" s="3534">
        <v>2003</v>
      </c>
      <c r="H60" s="2744">
        <v>4</v>
      </c>
      <c r="I60" s="2756"/>
      <c r="J60" s="2756"/>
      <c r="K60" s="2756"/>
      <c r="L60" s="2756"/>
      <c r="N60" s="2757"/>
      <c r="O60" s="2756"/>
      <c r="P60" s="2756"/>
      <c r="Q60" s="2756"/>
      <c r="S60" s="2757"/>
      <c r="T60" s="2756"/>
      <c r="U60" s="2756"/>
      <c r="V60" s="2756"/>
      <c r="X60" s="2748"/>
      <c r="Y60" s="2748"/>
      <c r="Z60" s="2748"/>
    </row>
    <row r="61" spans="1:26">
      <c r="A61" s="2678" t="s">
        <v>2643</v>
      </c>
      <c r="B61" s="2758">
        <f t="shared" ref="B61:C63" si="47">B62+(B$60-B$64)/4</f>
        <v>109.75</v>
      </c>
      <c r="C61" s="2758">
        <f t="shared" si="47"/>
        <v>112.25</v>
      </c>
      <c r="D61" s="2758">
        <f t="shared" si="11"/>
        <v>112.25</v>
      </c>
      <c r="E61" s="2758">
        <f t="shared" ref="E61:F63" si="48">E62+(E$60-E$64)/4</f>
        <v>107.25</v>
      </c>
      <c r="F61" s="2758">
        <f t="shared" si="48"/>
        <v>103.5</v>
      </c>
      <c r="G61" s="3535">
        <v>2003</v>
      </c>
      <c r="H61" s="2709">
        <v>3</v>
      </c>
      <c r="I61" s="2756"/>
      <c r="J61" s="2756"/>
      <c r="K61" s="2756"/>
      <c r="L61" s="2756"/>
      <c r="X61" s="2748"/>
      <c r="Y61" s="2748"/>
      <c r="Z61" s="2748"/>
    </row>
    <row r="62" spans="1:26">
      <c r="A62" s="2678" t="s">
        <v>2644</v>
      </c>
      <c r="B62" s="2758">
        <f t="shared" si="47"/>
        <v>108.5</v>
      </c>
      <c r="C62" s="2758">
        <f t="shared" si="47"/>
        <v>110.5</v>
      </c>
      <c r="D62" s="2758">
        <f t="shared" si="11"/>
        <v>110.5</v>
      </c>
      <c r="E62" s="2758">
        <f t="shared" si="48"/>
        <v>106.5</v>
      </c>
      <c r="F62" s="2758">
        <f t="shared" si="48"/>
        <v>103</v>
      </c>
      <c r="G62" s="3535">
        <v>2003</v>
      </c>
      <c r="H62" s="2684">
        <v>2</v>
      </c>
      <c r="I62" s="2756"/>
      <c r="J62" s="2756"/>
      <c r="K62" s="2756"/>
      <c r="L62" s="2756"/>
      <c r="X62" s="2748"/>
      <c r="Y62" s="2748"/>
      <c r="Z62" s="2748"/>
    </row>
    <row r="63" spans="1:26" ht="13.5" thickBot="1">
      <c r="A63" s="2678" t="s">
        <v>2645</v>
      </c>
      <c r="B63" s="2758">
        <f t="shared" si="47"/>
        <v>107.25</v>
      </c>
      <c r="C63" s="2758">
        <f t="shared" si="47"/>
        <v>108.75</v>
      </c>
      <c r="D63" s="2758">
        <f t="shared" si="11"/>
        <v>108.75</v>
      </c>
      <c r="E63" s="2758">
        <f t="shared" si="48"/>
        <v>105.75</v>
      </c>
      <c r="F63" s="2758">
        <f t="shared" si="48"/>
        <v>102.5</v>
      </c>
      <c r="G63" s="3536">
        <v>2003</v>
      </c>
      <c r="H63" s="2759">
        <v>1</v>
      </c>
      <c r="I63" s="2756"/>
      <c r="J63" s="2756"/>
      <c r="K63" s="2756"/>
      <c r="L63" s="2756"/>
      <c r="S63" s="2694"/>
      <c r="T63" s="2695"/>
      <c r="U63" s="2695"/>
      <c r="X63" s="2748"/>
      <c r="Y63" s="2748"/>
      <c r="Z63" s="2748"/>
    </row>
    <row r="64" spans="1:26" ht="13.5" thickBot="1">
      <c r="A64" s="2678" t="s">
        <v>2646</v>
      </c>
      <c r="B64" s="2760">
        <v>106</v>
      </c>
      <c r="C64" s="2760">
        <v>107</v>
      </c>
      <c r="D64" s="2760">
        <f t="shared" si="11"/>
        <v>107</v>
      </c>
      <c r="E64" s="2760">
        <v>105</v>
      </c>
      <c r="F64" s="2761">
        <v>102</v>
      </c>
      <c r="G64" s="3534">
        <v>2002</v>
      </c>
      <c r="H64" s="2704">
        <v>4</v>
      </c>
      <c r="I64" s="2756"/>
      <c r="J64" s="2756"/>
      <c r="K64" s="2756"/>
      <c r="L64" s="2756"/>
      <c r="N64" s="2757"/>
      <c r="O64" s="2756"/>
      <c r="P64" s="2756"/>
      <c r="Q64" s="2756"/>
      <c r="S64" s="2757"/>
      <c r="T64" s="2756"/>
      <c r="U64" s="2756"/>
      <c r="V64" s="2756"/>
      <c r="X64" s="2748"/>
      <c r="Y64" s="2748"/>
      <c r="Z64" s="2748"/>
    </row>
    <row r="65" spans="1:26">
      <c r="A65" s="2678" t="s">
        <v>2647</v>
      </c>
      <c r="B65" s="2758">
        <f t="shared" ref="B65:C67" si="49">B66+(B$64-B$68)/4</f>
        <v>105</v>
      </c>
      <c r="C65" s="2758">
        <f t="shared" si="49"/>
        <v>106</v>
      </c>
      <c r="D65" s="2758">
        <f t="shared" si="11"/>
        <v>106</v>
      </c>
      <c r="E65" s="2758">
        <f t="shared" ref="E65:F67" si="50">E66+(E$64-E$68)/4</f>
        <v>104.5</v>
      </c>
      <c r="F65" s="2758">
        <f t="shared" si="50"/>
        <v>101.5</v>
      </c>
      <c r="G65" s="3535">
        <v>2002</v>
      </c>
      <c r="H65" s="2709">
        <v>3</v>
      </c>
      <c r="I65" s="2756"/>
      <c r="J65" s="2756"/>
      <c r="K65" s="2756"/>
      <c r="L65" s="2756"/>
      <c r="X65" s="2748"/>
      <c r="Y65" s="2748"/>
      <c r="Z65" s="2748"/>
    </row>
    <row r="66" spans="1:26">
      <c r="A66" s="2678" t="s">
        <v>2648</v>
      </c>
      <c r="B66" s="2758">
        <f t="shared" si="49"/>
        <v>104</v>
      </c>
      <c r="C66" s="2758">
        <f t="shared" si="49"/>
        <v>105</v>
      </c>
      <c r="D66" s="2758">
        <f t="shared" si="11"/>
        <v>105</v>
      </c>
      <c r="E66" s="2758">
        <f t="shared" si="50"/>
        <v>104</v>
      </c>
      <c r="F66" s="2758">
        <f t="shared" si="50"/>
        <v>101</v>
      </c>
      <c r="G66" s="3535">
        <v>2002</v>
      </c>
      <c r="H66" s="2684">
        <v>2</v>
      </c>
      <c r="I66" s="2756"/>
      <c r="J66" s="2756"/>
      <c r="K66" s="2756"/>
      <c r="L66" s="2756"/>
      <c r="X66" s="2748"/>
      <c r="Y66" s="2748"/>
      <c r="Z66" s="2748"/>
    </row>
    <row r="67" spans="1:26" s="2720" customFormat="1" ht="13.5" thickBot="1">
      <c r="A67" s="2716" t="s">
        <v>2649</v>
      </c>
      <c r="B67" s="2762">
        <f t="shared" si="49"/>
        <v>103</v>
      </c>
      <c r="C67" s="2762">
        <f t="shared" si="49"/>
        <v>104</v>
      </c>
      <c r="D67" s="2762">
        <f t="shared" si="11"/>
        <v>104</v>
      </c>
      <c r="E67" s="2762">
        <f t="shared" si="50"/>
        <v>103.5</v>
      </c>
      <c r="F67" s="2762">
        <f t="shared" si="50"/>
        <v>100.5</v>
      </c>
      <c r="G67" s="3536">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2650</v>
      </c>
      <c r="G70" s="2772"/>
      <c r="N70" s="2772"/>
      <c r="S70" s="2772"/>
    </row>
    <row r="71" spans="1:26" s="2771" customFormat="1">
      <c r="A71" s="2771" t="s">
        <v>2651</v>
      </c>
      <c r="G71" s="2772"/>
      <c r="N71" s="2772"/>
      <c r="S71" s="2772"/>
    </row>
    <row r="72" spans="1:26" s="2771" customFormat="1">
      <c r="A72" s="2771" t="s">
        <v>2652</v>
      </c>
      <c r="G72" s="2772"/>
      <c r="I72" s="2773"/>
      <c r="J72" s="2773"/>
      <c r="K72" s="2773"/>
      <c r="L72" s="2773"/>
      <c r="N72" s="2774"/>
      <c r="O72" s="2773"/>
      <c r="P72" s="2773"/>
      <c r="Q72" s="2773"/>
      <c r="S72" s="2774"/>
      <c r="T72" s="2773"/>
      <c r="U72" s="2773"/>
      <c r="V72" s="2773"/>
    </row>
    <row r="73" spans="1:26" s="2771" customFormat="1">
      <c r="A73" s="2771" t="s">
        <v>2653</v>
      </c>
      <c r="G73" s="2772"/>
      <c r="N73" s="2772"/>
      <c r="S73" s="2772"/>
    </row>
    <row r="80" spans="1:26" ht="13.5" thickBot="1"/>
    <row r="81" spans="14:22" s="2693" customFormat="1">
      <c r="N81" s="2708"/>
      <c r="S81" s="2775" t="s">
        <v>2654</v>
      </c>
      <c r="T81" s="2776" t="s">
        <v>2655</v>
      </c>
      <c r="U81" s="2776" t="s">
        <v>2656</v>
      </c>
      <c r="V81" s="2776" t="s">
        <v>2657</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2773</v>
      </c>
      <c r="C1" s="2989">
        <f>项目基本情况!D2</f>
        <v>42934</v>
      </c>
      <c r="D1" s="2984" t="s">
        <v>2774</v>
      </c>
      <c r="E1" s="2990">
        <f>'数据-取费表'!B23</f>
        <v>1</v>
      </c>
      <c r="F1" s="2984" t="s">
        <v>2775</v>
      </c>
      <c r="G1" s="2991">
        <f ca="1">INDIRECT("d"&amp;$K$1)/100</f>
        <v>4.3499999999999997E-2</v>
      </c>
      <c r="H1" s="2984" t="s">
        <v>2805</v>
      </c>
      <c r="I1" s="2991">
        <f ca="1">F4/100</f>
        <v>1.4999999999999999E-2</v>
      </c>
      <c r="J1" s="2985">
        <f>IF(C1&gt;C13,0,MATCH(C1,C$13:C$100,-1))+IF(SUMIF(C13:C100,C1,D13:D100)=0,13,12)</f>
        <v>13</v>
      </c>
      <c r="K1" s="2985">
        <f ca="1">MATCH(E1,C3:C7,1)+IF(SUMIF(C3:C7,E1,D3:D7)=0,2,1)</f>
        <v>4</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2776</v>
      </c>
      <c r="E2" s="2926"/>
      <c r="F2" s="2926" t="s">
        <v>2777</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2778</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2779</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2780</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2781</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2782</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2783</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2784</v>
      </c>
      <c r="C10" s="2954"/>
      <c r="D10" s="2954"/>
      <c r="E10" s="2954"/>
      <c r="F10" s="2954"/>
      <c r="G10" s="2954"/>
      <c r="H10" s="2954"/>
      <c r="I10" s="2928"/>
      <c r="J10" s="2928"/>
      <c r="K10" s="2954"/>
      <c r="L10" s="2955" t="s">
        <v>2785</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2786</v>
      </c>
      <c r="C11" s="2959" t="s">
        <v>2787</v>
      </c>
      <c r="D11" s="2960" t="s">
        <v>2788</v>
      </c>
      <c r="E11" s="2961"/>
      <c r="F11" s="2960" t="s">
        <v>2789</v>
      </c>
      <c r="G11" s="2962"/>
      <c r="H11" s="2961"/>
      <c r="I11" s="2960" t="s">
        <v>2790</v>
      </c>
      <c r="J11" s="2961"/>
      <c r="K11" s="2957"/>
      <c r="L11" s="2958" t="s">
        <v>2786</v>
      </c>
      <c r="M11" s="2959" t="s">
        <v>2787</v>
      </c>
      <c r="N11" s="2958" t="s">
        <v>2791</v>
      </c>
      <c r="O11" s="2960" t="s">
        <v>2792</v>
      </c>
      <c r="P11" s="2962"/>
      <c r="Q11" s="2962"/>
      <c r="R11" s="2962"/>
      <c r="S11" s="2962"/>
      <c r="T11" s="2961"/>
      <c r="U11" s="2960" t="s">
        <v>2793</v>
      </c>
      <c r="V11" s="2962"/>
      <c r="W11" s="2961"/>
      <c r="X11" s="2958" t="s">
        <v>2794</v>
      </c>
      <c r="Y11" s="2958" t="s">
        <v>2795</v>
      </c>
      <c r="Z11" s="2958" t="s">
        <v>2796</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2797</v>
      </c>
      <c r="E12" s="2967" t="s">
        <v>2798</v>
      </c>
      <c r="F12" s="2967" t="s">
        <v>2799</v>
      </c>
      <c r="G12" s="2967" t="s">
        <v>2800</v>
      </c>
      <c r="H12" s="2967" t="s">
        <v>2782</v>
      </c>
      <c r="I12" s="2968" t="s">
        <v>2801</v>
      </c>
      <c r="J12" s="2968" t="s">
        <v>2801</v>
      </c>
      <c r="K12" s="2964"/>
      <c r="L12" s="2965"/>
      <c r="M12" s="2966"/>
      <c r="N12" s="2965"/>
      <c r="O12" s="2968" t="s">
        <v>2802</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2803</v>
      </c>
      <c r="C13" s="2972">
        <v>42301</v>
      </c>
      <c r="D13" s="2973">
        <v>4.3499999999999996</v>
      </c>
      <c r="E13" s="2973">
        <v>4.3499999999999996</v>
      </c>
      <c r="F13" s="2973">
        <v>4.75</v>
      </c>
      <c r="G13" s="2973">
        <v>4.75</v>
      </c>
      <c r="H13" s="2973">
        <v>4.9000000000000004</v>
      </c>
      <c r="I13" s="2973">
        <v>2.75</v>
      </c>
      <c r="J13" s="2973">
        <v>3.25</v>
      </c>
      <c r="K13" s="2970"/>
      <c r="L13" s="2971" t="s">
        <v>2803</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2804</v>
      </c>
      <c r="Y42" s="2977" t="s">
        <v>2804</v>
      </c>
      <c r="Z42" s="2977" t="s">
        <v>2804</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2804</v>
      </c>
      <c r="Y43" s="2977" t="s">
        <v>2804</v>
      </c>
      <c r="Z43" s="2977" t="s">
        <v>2804</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2804</v>
      </c>
      <c r="Y44" s="2977" t="s">
        <v>2804</v>
      </c>
      <c r="Z44" s="2977" t="s">
        <v>2804</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2804</v>
      </c>
      <c r="Y45" s="2977" t="s">
        <v>2804</v>
      </c>
      <c r="Z45" s="2977" t="s">
        <v>2804</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2804</v>
      </c>
      <c r="Y46" s="2977" t="s">
        <v>2804</v>
      </c>
      <c r="Z46" s="2977" t="s">
        <v>2804</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2804</v>
      </c>
      <c r="Y47" s="2977" t="s">
        <v>2804</v>
      </c>
      <c r="Z47" s="2977" t="s">
        <v>2804</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2804</v>
      </c>
      <c r="Y48" s="2977" t="s">
        <v>2804</v>
      </c>
      <c r="Z48" s="2977" t="s">
        <v>2804</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2804</v>
      </c>
      <c r="Y49" s="2977" t="s">
        <v>2804</v>
      </c>
      <c r="Z49" s="2977" t="s">
        <v>2804</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2804</v>
      </c>
      <c r="Y50" s="2977" t="s">
        <v>2804</v>
      </c>
      <c r="Z50" s="2977" t="s">
        <v>2804</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2804</v>
      </c>
      <c r="V51" s="2977" t="s">
        <v>2804</v>
      </c>
      <c r="W51" s="2977" t="s">
        <v>2804</v>
      </c>
      <c r="X51" s="2977" t="s">
        <v>2804</v>
      </c>
      <c r="Y51" s="2977" t="s">
        <v>2804</v>
      </c>
      <c r="Z51" s="2977" t="s">
        <v>2804</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2804</v>
      </c>
      <c r="J55" s="2977" t="s">
        <v>2804</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9" sqref="E29"/>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819</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732</v>
      </c>
      <c r="B2" s="1200">
        <f ca="1">IF(C2="元",IF('数据-取费表'!B28="租赁期内按合同租金",C40+L47+J29,C40+L47),ROUND(IF('数据-取费表'!B28="租赁期内按合同租金",(C40+L47+J29)/10000,(C40+L47)/10000),0))</f>
        <v>1906704</v>
      </c>
      <c r="C2" s="1090" t="str">
        <f>'数据-取费表'!B3</f>
        <v>元</v>
      </c>
      <c r="D2" s="2132"/>
      <c r="E2" s="2133"/>
      <c r="F2" s="2133"/>
      <c r="G2" s="2158"/>
      <c r="H2" s="1087"/>
      <c r="I2" s="2134"/>
      <c r="J2" s="2134"/>
      <c r="K2" s="2135"/>
      <c r="L2" s="2134"/>
      <c r="M2" s="2134"/>
    </row>
    <row r="3" spans="1:37" ht="18" customHeight="1" thickBot="1">
      <c r="A3" s="528" t="s">
        <v>733</v>
      </c>
      <c r="B3" s="1201">
        <f ca="1">ROUND(IF('数据-取费表'!B28="租赁期内按合同租金",(C40+L47+J29)/F43,(C40+L47)/F43),0)</f>
        <v>33557</v>
      </c>
      <c r="C3" s="1090" t="s">
        <v>1013</v>
      </c>
      <c r="D3" s="2132"/>
      <c r="E3" s="2133"/>
      <c r="F3" s="2133"/>
      <c r="G3" s="2158"/>
      <c r="H3" s="529" t="s">
        <v>820</v>
      </c>
      <c r="I3" s="2134"/>
      <c r="J3" s="2134"/>
      <c r="K3" s="2135"/>
      <c r="L3" s="2134"/>
      <c r="M3" s="2134"/>
    </row>
    <row r="4" spans="1:37" ht="18" customHeight="1">
      <c r="A4" s="530" t="s">
        <v>821</v>
      </c>
      <c r="B4" s="531" t="s">
        <v>822</v>
      </c>
      <c r="C4" s="531" t="s">
        <v>823</v>
      </c>
      <c r="D4" s="531" t="s">
        <v>824</v>
      </c>
      <c r="E4" s="532" t="s">
        <v>825</v>
      </c>
      <c r="F4" s="533"/>
      <c r="G4" s="2156"/>
      <c r="H4" s="530" t="s">
        <v>821</v>
      </c>
      <c r="I4" s="531" t="s">
        <v>822</v>
      </c>
      <c r="J4" s="531" t="s">
        <v>823</v>
      </c>
      <c r="K4" s="531" t="s">
        <v>824</v>
      </c>
      <c r="L4" s="532" t="s">
        <v>825</v>
      </c>
      <c r="M4" s="533"/>
    </row>
    <row r="5" spans="1:37" ht="18" customHeight="1">
      <c r="A5" s="534">
        <v>1</v>
      </c>
      <c r="B5" s="535" t="s">
        <v>826</v>
      </c>
      <c r="C5" s="536">
        <f ca="1">C6+C10+C12</f>
        <v>51368</v>
      </c>
      <c r="D5" s="2455" t="s">
        <v>2454</v>
      </c>
      <c r="E5" s="2132"/>
      <c r="F5" s="2446"/>
      <c r="G5" s="2156"/>
      <c r="H5" s="534">
        <v>1</v>
      </c>
      <c r="I5" s="535" t="s">
        <v>826</v>
      </c>
      <c r="J5" s="536">
        <f ca="1">J6+J10+J12</f>
        <v>0</v>
      </c>
      <c r="K5" s="2455" t="s">
        <v>2454</v>
      </c>
      <c r="L5" s="2132"/>
      <c r="M5" s="2446"/>
    </row>
    <row r="6" spans="1:37" ht="18" customHeight="1">
      <c r="A6" s="2447" t="s">
        <v>2232</v>
      </c>
      <c r="B6" s="1815" t="s">
        <v>2512</v>
      </c>
      <c r="C6" s="536">
        <f>ROUND(F6*F8*F7*(1-F9),0)</f>
        <v>51300</v>
      </c>
      <c r="D6" s="2453" t="s">
        <v>2452</v>
      </c>
      <c r="E6" s="537" t="s">
        <v>828</v>
      </c>
      <c r="F6" s="538">
        <f>'数据-取费表'!B29</f>
        <v>4500</v>
      </c>
      <c r="G6" s="2156"/>
      <c r="H6" s="2447" t="s">
        <v>2516</v>
      </c>
      <c r="I6" s="1815" t="s">
        <v>2513</v>
      </c>
      <c r="J6" s="536">
        <f>ROUND(M6*M8*M7*(1-M9),0)</f>
        <v>0</v>
      </c>
      <c r="K6" s="297" t="s">
        <v>827</v>
      </c>
      <c r="L6" s="537" t="s">
        <v>828</v>
      </c>
      <c r="M6" s="538">
        <f>'数据-取费表'!B36</f>
        <v>0</v>
      </c>
    </row>
    <row r="7" spans="1:37" ht="18" customHeight="1">
      <c r="A7" s="2519"/>
      <c r="B7" s="2445"/>
      <c r="C7" s="541"/>
      <c r="D7" s="2444"/>
      <c r="E7" s="537" t="s">
        <v>829</v>
      </c>
      <c r="F7" s="538">
        <f>IF('数据-取费表'!B41="",IF(D1="仅计算典型户型",'数据-取费表'!E5,'数据-取费表'!B5),'数据-取费表'!B41)</f>
        <v>1</v>
      </c>
      <c r="G7" s="2156"/>
      <c r="H7" s="539"/>
      <c r="I7" s="2445"/>
      <c r="J7" s="541"/>
      <c r="K7" s="542"/>
      <c r="L7" s="537" t="s">
        <v>829</v>
      </c>
      <c r="M7" s="538">
        <f>IF('数据-取费表'!B41="",IF(D1="仅计算典型户型",'数据-取费表'!E5,'数据-取费表'!B5),'数据-取费表'!B41)</f>
        <v>1</v>
      </c>
    </row>
    <row r="8" spans="1:37" ht="18" customHeight="1">
      <c r="A8" s="2519"/>
      <c r="B8" s="2445"/>
      <c r="C8" s="541"/>
      <c r="D8" s="2444"/>
      <c r="E8" s="1667" t="s">
        <v>2293</v>
      </c>
      <c r="F8" s="538">
        <f>'数据-取费表'!B42</f>
        <v>12</v>
      </c>
      <c r="G8" s="2156"/>
      <c r="H8" s="539"/>
      <c r="I8" s="2445"/>
      <c r="J8" s="541"/>
      <c r="K8" s="542"/>
      <c r="L8" s="537" t="s">
        <v>830</v>
      </c>
      <c r="M8" s="538">
        <f>'数据-取费表'!B42</f>
        <v>12</v>
      </c>
    </row>
    <row r="9" spans="1:37" ht="18" customHeight="1">
      <c r="A9" s="2519"/>
      <c r="B9" s="2445"/>
      <c r="C9" s="541"/>
      <c r="D9" s="2454"/>
      <c r="E9" s="537" t="s">
        <v>831</v>
      </c>
      <c r="F9" s="547">
        <f>'数据-取费表'!B32</f>
        <v>0.05</v>
      </c>
      <c r="G9" s="2156"/>
      <c r="H9" s="539"/>
      <c r="I9" s="2445"/>
      <c r="J9" s="2452"/>
      <c r="K9" s="312"/>
      <c r="L9" s="548" t="s">
        <v>831</v>
      </c>
      <c r="M9" s="547">
        <f>'数据-取费表'!B38</f>
        <v>0</v>
      </c>
    </row>
    <row r="10" spans="1:37" ht="18" customHeight="1">
      <c r="A10" s="2447" t="s">
        <v>2514</v>
      </c>
      <c r="B10" s="2450" t="s">
        <v>2447</v>
      </c>
      <c r="C10" s="2449">
        <f ca="1">ROUND(IF(F10="押一",F6*F7*F8/12*F11,IF(F10="押二",F6*F7*F8/12*2*F11,IF(F10="押三",F6*F7*F8/12*3*F11,C11*F11))),0)</f>
        <v>68</v>
      </c>
      <c r="D10" s="2448" t="s">
        <v>2450</v>
      </c>
      <c r="E10" s="2443" t="s">
        <v>2451</v>
      </c>
      <c r="F10" s="2451" t="s">
        <v>2903</v>
      </c>
      <c r="G10" s="2156"/>
      <c r="H10" s="2447" t="s">
        <v>2517</v>
      </c>
      <c r="I10" s="2450" t="s">
        <v>2447</v>
      </c>
      <c r="J10" s="2449">
        <f ca="1">ROUND(IF(M10="押一",M6*M8*M7/12*M11,IF(M10="押二",M6*M8*M7/12*2*M11,IF(M10="押三",M6*M8*M7/12*3*M11,J11*M11))),0)</f>
        <v>0</v>
      </c>
      <c r="K10" s="2453" t="s">
        <v>2450</v>
      </c>
      <c r="L10" s="2443" t="s">
        <v>2451</v>
      </c>
      <c r="M10" s="2451"/>
    </row>
    <row r="11" spans="1:37" s="559" customFormat="1" ht="18" customHeight="1">
      <c r="A11" s="566"/>
      <c r="B11" s="2456" t="s">
        <v>2511</v>
      </c>
      <c r="C11" s="2488"/>
      <c r="D11" s="2444"/>
      <c r="E11" s="2443" t="s">
        <v>2449</v>
      </c>
      <c r="F11" s="549">
        <f ca="1">'数据-取费表'!B30</f>
        <v>1.4999999999999999E-2</v>
      </c>
      <c r="G11" s="2157"/>
      <c r="H11" s="543"/>
      <c r="I11" s="2456" t="s">
        <v>2576</v>
      </c>
      <c r="J11" s="2488"/>
      <c r="K11" s="2444"/>
      <c r="L11" s="2443" t="s">
        <v>2449</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2515</v>
      </c>
      <c r="B12" s="2495" t="s">
        <v>2453</v>
      </c>
      <c r="C12" s="2496"/>
      <c r="D12" s="2497"/>
      <c r="E12" s="1831"/>
      <c r="F12" s="2498"/>
      <c r="G12" s="2156"/>
      <c r="H12" s="2494" t="s">
        <v>2518</v>
      </c>
      <c r="I12" s="2495" t="s">
        <v>2453</v>
      </c>
      <c r="J12" s="2496"/>
      <c r="K12" s="2513"/>
      <c r="L12" s="1831"/>
      <c r="M12" s="2514"/>
    </row>
    <row r="13" spans="1:37" s="559" customFormat="1" ht="18" customHeight="1" thickTop="1">
      <c r="A13" s="2490">
        <v>2</v>
      </c>
      <c r="B13" s="2491" t="s">
        <v>832</v>
      </c>
      <c r="C13" s="545">
        <f ca="1">ROUND(C29*F13,0)</f>
        <v>121832</v>
      </c>
      <c r="D13" s="2492" t="s">
        <v>833</v>
      </c>
      <c r="E13" s="2492" t="s">
        <v>834</v>
      </c>
      <c r="F13" s="2493">
        <f>'数据-取费表'!E20</f>
        <v>0.6</v>
      </c>
      <c r="G13" s="2157"/>
      <c r="H13" s="2490">
        <v>2</v>
      </c>
      <c r="I13" s="2491" t="s">
        <v>832</v>
      </c>
      <c r="J13" s="2452">
        <f ca="1">ROUND(J14*J15,0)</f>
        <v>0</v>
      </c>
      <c r="K13" s="2499" t="s">
        <v>833</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2240</v>
      </c>
      <c r="B14" s="537" t="s">
        <v>373</v>
      </c>
      <c r="C14" s="556">
        <f>IF(D1="仅计算典型户型",'数据-取费表'!F18,'数据-取费表'!E18)</f>
        <v>117049</v>
      </c>
      <c r="D14" s="2439" t="s">
        <v>835</v>
      </c>
      <c r="E14" s="2440"/>
      <c r="F14" s="1635"/>
      <c r="G14" s="2157"/>
      <c r="H14" s="555" t="s">
        <v>2232</v>
      </c>
      <c r="I14" s="537" t="s">
        <v>836</v>
      </c>
      <c r="J14" s="197">
        <f ca="1">C29</f>
        <v>203054</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2241</v>
      </c>
      <c r="B15" s="537" t="s">
        <v>374</v>
      </c>
      <c r="C15" s="197">
        <f>ROUND(C14*F15,0)</f>
        <v>4682</v>
      </c>
      <c r="D15" s="557" t="s">
        <v>837</v>
      </c>
      <c r="E15" s="557" t="s">
        <v>838</v>
      </c>
      <c r="F15" s="558">
        <f>'数据-取费表'!E21</f>
        <v>0.04</v>
      </c>
      <c r="G15" s="2156"/>
      <c r="H15" s="2502" t="s">
        <v>2246</v>
      </c>
      <c r="I15" s="2503" t="s">
        <v>834</v>
      </c>
      <c r="J15" s="2515">
        <f>'数据-取费表'!B39</f>
        <v>0</v>
      </c>
      <c r="K15" s="2516"/>
      <c r="L15" s="2517"/>
      <c r="M15" s="2518"/>
    </row>
    <row r="16" spans="1:37" s="559" customFormat="1" ht="18" customHeight="1" thickTop="1">
      <c r="A16" s="555" t="s">
        <v>2242</v>
      </c>
      <c r="B16" s="537" t="s">
        <v>375</v>
      </c>
      <c r="C16" s="197">
        <f>ROUND(C14*F16,0)</f>
        <v>9364</v>
      </c>
      <c r="D16" s="537" t="s">
        <v>837</v>
      </c>
      <c r="E16" s="537" t="s">
        <v>838</v>
      </c>
      <c r="F16" s="560">
        <f>IF('数据-取费表'!B10="住宅",'数据-取费表'!E22,0)</f>
        <v>0.08</v>
      </c>
      <c r="G16" s="2157"/>
      <c r="H16" s="2490" t="s">
        <v>38</v>
      </c>
      <c r="I16" s="2491" t="s">
        <v>839</v>
      </c>
      <c r="J16" s="545">
        <f ca="1">ROUND(J17+J22+J23+J24,0)</f>
        <v>3046</v>
      </c>
      <c r="K16" s="2499" t="s">
        <v>840</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2243</v>
      </c>
      <c r="B17" s="537" t="s">
        <v>376</v>
      </c>
      <c r="C17" s="197">
        <f>ROUND(F17*IF(D1="仅计算典型户型",'数据-取费表'!E5,'数据-取费表'!B5),0)</f>
        <v>11364</v>
      </c>
      <c r="D17" s="537" t="s">
        <v>841</v>
      </c>
      <c r="E17" s="537" t="s">
        <v>842</v>
      </c>
      <c r="F17" s="199">
        <f>'数据-取费表'!E23</f>
        <v>200</v>
      </c>
      <c r="G17" s="2157"/>
      <c r="H17" s="555" t="s">
        <v>2238</v>
      </c>
      <c r="I17" s="537" t="s">
        <v>377</v>
      </c>
      <c r="J17" s="197">
        <f ca="1">ROUND(IF(项目基本情况!B7="自然人",J5*M17,J18+J19+J20),0)</f>
        <v>0</v>
      </c>
      <c r="K17" s="2069" t="s">
        <v>843</v>
      </c>
      <c r="L17" s="2070" t="s">
        <v>844</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2244</v>
      </c>
      <c r="B18" s="537" t="s">
        <v>378</v>
      </c>
      <c r="C18" s="197">
        <f>ROUND(C14*F18,0)</f>
        <v>1756</v>
      </c>
      <c r="D18" s="537" t="s">
        <v>837</v>
      </c>
      <c r="E18" s="537" t="s">
        <v>838</v>
      </c>
      <c r="F18" s="560">
        <f>'数据-取费表'!E24</f>
        <v>1.4999999999999999E-2</v>
      </c>
      <c r="G18" s="2156"/>
      <c r="H18" s="555" t="s">
        <v>2240</v>
      </c>
      <c r="I18" s="537" t="s">
        <v>845</v>
      </c>
      <c r="J18" s="197" t="str">
        <f>IF(项目基本情况!B7="自然人","——",ROUND(J5*M18/(1+'数据-取费表'!F30),0))</f>
        <v>——</v>
      </c>
      <c r="K18" s="2070" t="s">
        <v>846</v>
      </c>
      <c r="L18" s="537" t="s">
        <v>838</v>
      </c>
      <c r="M18" s="560">
        <f>'数据-取费表'!E29</f>
        <v>5.6000000000000001E-2</v>
      </c>
    </row>
    <row r="19" spans="1:37" s="559" customFormat="1" ht="18" customHeight="1">
      <c r="A19" s="555" t="s">
        <v>2443</v>
      </c>
      <c r="B19" s="537" t="s">
        <v>380</v>
      </c>
      <c r="C19" s="197">
        <f>SUM(C14:C18)</f>
        <v>144215</v>
      </c>
      <c r="D19" s="272" t="s">
        <v>847</v>
      </c>
      <c r="E19" s="2442"/>
      <c r="F19" s="199"/>
      <c r="G19" s="2157"/>
      <c r="H19" s="555" t="s">
        <v>2241</v>
      </c>
      <c r="I19" s="537" t="s">
        <v>848</v>
      </c>
      <c r="J19" s="197" t="str">
        <f>IF(项目基本情况!B7="自然人","——",IF(K19="按租金收入计税",ROUND(J5*M19,1),ROUND(C29*M19*0.7,1)))</f>
        <v>——</v>
      </c>
      <c r="K19" s="1091" t="s">
        <v>2223</v>
      </c>
      <c r="L19" s="537" t="s">
        <v>838</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2444</v>
      </c>
      <c r="B20" s="537" t="s">
        <v>381</v>
      </c>
      <c r="C20" s="197">
        <f>ROUND(C19*F20,0)</f>
        <v>2884</v>
      </c>
      <c r="D20" s="562" t="s">
        <v>849</v>
      </c>
      <c r="E20" s="537" t="s">
        <v>838</v>
      </c>
      <c r="F20" s="560">
        <f>'数据-取费表'!E25</f>
        <v>0.02</v>
      </c>
      <c r="G20" s="2157"/>
      <c r="H20" s="555" t="s">
        <v>2242</v>
      </c>
      <c r="I20" s="297" t="s">
        <v>850</v>
      </c>
      <c r="J20" s="198" t="str">
        <f>IF(项目基本情况!B7="自然人","——",ROUND(M20*M21,0))</f>
        <v>——</v>
      </c>
      <c r="K20" s="564" t="s">
        <v>851</v>
      </c>
      <c r="L20" s="537" t="s">
        <v>852</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2233</v>
      </c>
      <c r="B21" s="537" t="s">
        <v>853</v>
      </c>
      <c r="C21" s="991">
        <f>F21</f>
        <v>0.02</v>
      </c>
      <c r="D21" s="562" t="s">
        <v>854</v>
      </c>
      <c r="E21" s="537" t="s">
        <v>855</v>
      </c>
      <c r="F21" s="560">
        <f>'数据-取费表'!E26</f>
        <v>0.02</v>
      </c>
      <c r="G21" s="2156"/>
      <c r="H21" s="566"/>
      <c r="I21" s="546"/>
      <c r="J21" s="202"/>
      <c r="K21" s="567"/>
      <c r="L21" s="537" t="s">
        <v>856</v>
      </c>
      <c r="M21" s="538">
        <f>IF(D1="仅计算典型户型",'数据-取费表'!E6,'数据-取费表'!B6)</f>
        <v>0</v>
      </c>
    </row>
    <row r="22" spans="1:37" ht="18" customHeight="1">
      <c r="A22" s="555" t="s">
        <v>2234</v>
      </c>
      <c r="B22" s="537" t="s">
        <v>857</v>
      </c>
      <c r="C22" s="197"/>
      <c r="D22" s="2530" t="str">
        <f>IF(F23&lt;=1,"单利计息。","复利计息。")&amp;"建造成本、管理费用、销售费用产生的利息。"</f>
        <v>单利计息。建造成本、管理费用、销售费用产生的利息。</v>
      </c>
      <c r="E22" s="2442"/>
      <c r="F22" s="199"/>
      <c r="G22" s="2156"/>
      <c r="H22" s="555" t="s">
        <v>2239</v>
      </c>
      <c r="I22" s="537" t="s">
        <v>858</v>
      </c>
      <c r="J22" s="197">
        <f ca="1">ROUND(J14*M22,0)</f>
        <v>3046</v>
      </c>
      <c r="K22" s="2070" t="s">
        <v>859</v>
      </c>
      <c r="L22" s="537" t="s">
        <v>838</v>
      </c>
      <c r="M22" s="568">
        <f>'数据-取费表'!B44</f>
        <v>1.4999999999999999E-2</v>
      </c>
    </row>
    <row r="23" spans="1:37" ht="18" customHeight="1">
      <c r="A23" s="555" t="s">
        <v>2240</v>
      </c>
      <c r="B23" s="537" t="s">
        <v>2445</v>
      </c>
      <c r="C23" s="197">
        <f ca="1">IF('数据-取费表'!B23&lt;=1,ROUND(C19*F24*F23/2,0)+ROUND(C20*F24*F23/2,0),ROUND(C19*(POWER((1+F24),F23/2)-1),0)+ROUND(C20*(POWER((1+F24),F23/2)-1),0))</f>
        <v>3200</v>
      </c>
      <c r="D23" s="1660" t="str">
        <f>IF(F23&lt;=1,"(建造成本+管理费用)×利率×(建设周期÷2)","(建造成本+管理费用)×((1+利率)^(建设周期÷2)-1)")</f>
        <v>(建造成本+管理费用)×利率×(建设周期÷2)</v>
      </c>
      <c r="E23" s="537" t="s">
        <v>860</v>
      </c>
      <c r="F23" s="565">
        <f>'数据-取费表'!B21</f>
        <v>1</v>
      </c>
      <c r="G23" s="2156"/>
      <c r="H23" s="555" t="s">
        <v>2233</v>
      </c>
      <c r="I23" s="537" t="s">
        <v>382</v>
      </c>
      <c r="J23" s="197">
        <f ca="1">ROUND(J13*M23,0)</f>
        <v>0</v>
      </c>
      <c r="K23" s="2070" t="s">
        <v>861</v>
      </c>
      <c r="L23" s="537" t="s">
        <v>838</v>
      </c>
      <c r="M23" s="569">
        <f>'数据-取费表'!B45</f>
        <v>1.5E-3</v>
      </c>
    </row>
    <row r="24" spans="1:37" s="559" customFormat="1" ht="18" customHeight="1" thickBot="1">
      <c r="A24" s="555" t="s">
        <v>2245</v>
      </c>
      <c r="B24" s="537" t="s">
        <v>862</v>
      </c>
      <c r="C24" s="197">
        <f ca="1">ROUND(IF('数据-取费表'!B23&lt;=1,F21*F24*F23/2,F21*(POWER((1+F24),F23/2)-1)),4)</f>
        <v>4.0000000000000002E-4</v>
      </c>
      <c r="D24" s="1660" t="str">
        <f>IF(F23&lt;=1,"销售费用×利率×(建设周期÷2)","销售费用×((1+利率)^(建设周期÷2)-1)")</f>
        <v>销售费用×利率×(建设周期÷2)</v>
      </c>
      <c r="E24" s="537" t="s">
        <v>863</v>
      </c>
      <c r="F24" s="570">
        <f ca="1">'数据-取费表'!E27</f>
        <v>4.3499999999999997E-2</v>
      </c>
      <c r="G24" s="2157"/>
      <c r="H24" s="2502" t="s">
        <v>2234</v>
      </c>
      <c r="I24" s="2503" t="s">
        <v>381</v>
      </c>
      <c r="J24" s="2504">
        <f ca="1">ROUND(J5*M24,0)</f>
        <v>0</v>
      </c>
      <c r="K24" s="2505" t="s">
        <v>864</v>
      </c>
      <c r="L24" s="2503" t="s">
        <v>838</v>
      </c>
      <c r="M24" s="2498">
        <f>'数据-取费表'!B46</f>
        <v>0.01</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2235</v>
      </c>
      <c r="B25" s="537" t="s">
        <v>386</v>
      </c>
      <c r="C25" s="197"/>
      <c r="D25" s="272" t="s">
        <v>865</v>
      </c>
      <c r="E25" s="2442"/>
      <c r="F25" s="199"/>
      <c r="G25" s="2157"/>
      <c r="H25" s="2490" t="s">
        <v>46</v>
      </c>
      <c r="I25" s="2507" t="s">
        <v>866</v>
      </c>
      <c r="J25" s="545">
        <f ca="1">J5-J16</f>
        <v>-3046</v>
      </c>
      <c r="K25" s="2508" t="s">
        <v>867</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2240</v>
      </c>
      <c r="B26" s="537" t="s">
        <v>2446</v>
      </c>
      <c r="C26" s="197">
        <f>ROUND((C19+C20)*F26,0)</f>
        <v>36775</v>
      </c>
      <c r="D26" s="562" t="s">
        <v>868</v>
      </c>
      <c r="E26" s="548" t="s">
        <v>869</v>
      </c>
      <c r="F26" s="547">
        <f>'数据-取费表'!E28</f>
        <v>0.25</v>
      </c>
      <c r="G26" s="1268"/>
      <c r="H26" s="534" t="s">
        <v>47</v>
      </c>
      <c r="I26" s="535" t="s">
        <v>870</v>
      </c>
      <c r="J26" s="536">
        <f ca="1">IF(J5&lt;&gt;0,ROUND(J25*(1-((1+M28)/(1+M26))^M27)/(M26-M28),0),0)</f>
        <v>0</v>
      </c>
      <c r="K26" s="564" t="s">
        <v>871</v>
      </c>
      <c r="L26" s="537" t="s">
        <v>879</v>
      </c>
      <c r="M26" s="547">
        <f>'数据-取费表'!B16</f>
        <v>0.05</v>
      </c>
    </row>
    <row r="27" spans="1:37" ht="18" customHeight="1">
      <c r="A27" s="555" t="s">
        <v>2245</v>
      </c>
      <c r="B27" s="537" t="s">
        <v>389</v>
      </c>
      <c r="C27" s="197">
        <f>ROUND(F21*F26,4)</f>
        <v>5.0000000000000001E-3</v>
      </c>
      <c r="D27" s="562" t="s">
        <v>872</v>
      </c>
      <c r="E27" s="557"/>
      <c r="F27" s="558"/>
      <c r="G27" s="1268"/>
      <c r="H27" s="539"/>
      <c r="I27" s="540"/>
      <c r="J27" s="541"/>
      <c r="K27" s="572" t="s">
        <v>873</v>
      </c>
      <c r="L27" s="537" t="s">
        <v>880</v>
      </c>
      <c r="M27" s="573" t="str">
        <f>'数据-取费表'!B40</f>
        <v>——</v>
      </c>
    </row>
    <row r="28" spans="1:37" ht="18" customHeight="1">
      <c r="A28" s="555" t="s">
        <v>2236</v>
      </c>
      <c r="B28" s="537" t="s">
        <v>390</v>
      </c>
      <c r="C28" s="197">
        <f>ROUND(F28/(1+'数据-取费表'!F30),4)</f>
        <v>5.33E-2</v>
      </c>
      <c r="D28" s="562" t="s">
        <v>881</v>
      </c>
      <c r="E28" s="537" t="s">
        <v>838</v>
      </c>
      <c r="F28" s="560">
        <f>'数据-取费表'!E29</f>
        <v>5.6000000000000001E-2</v>
      </c>
      <c r="G28" s="1268"/>
      <c r="H28" s="543"/>
      <c r="I28" s="544"/>
      <c r="J28" s="545"/>
      <c r="K28" s="567"/>
      <c r="L28" s="537" t="s">
        <v>882</v>
      </c>
      <c r="M28" s="547">
        <f>'数据-取费表'!B37</f>
        <v>0</v>
      </c>
    </row>
    <row r="29" spans="1:37" ht="18" customHeight="1" thickBot="1">
      <c r="A29" s="2502" t="s">
        <v>2237</v>
      </c>
      <c r="B29" s="2503" t="s">
        <v>883</v>
      </c>
      <c r="C29" s="2504">
        <f ca="1">ROUND((C19+C20+C23+C26)/(1-F21-C24-C27-C28),0)</f>
        <v>203054</v>
      </c>
      <c r="D29" s="2505"/>
      <c r="E29" s="2503"/>
      <c r="F29" s="2506"/>
      <c r="G29" s="1268"/>
      <c r="H29" s="574" t="s">
        <v>48</v>
      </c>
      <c r="I29" s="575" t="s">
        <v>874</v>
      </c>
      <c r="J29" s="576">
        <f ca="1">ROUND(J26/(1+F40)^F41,0)</f>
        <v>0</v>
      </c>
      <c r="K29" s="577" t="s">
        <v>875</v>
      </c>
      <c r="L29" s="578"/>
      <c r="M29" s="579">
        <f>IF(D1="仅计算典型户型",'数据-取费表'!E5,'数据-取费表'!B5)</f>
        <v>56.82</v>
      </c>
    </row>
    <row r="30" spans="1:37" ht="18" customHeight="1" thickTop="1">
      <c r="A30" s="2490" t="s">
        <v>38</v>
      </c>
      <c r="B30" s="2491" t="s">
        <v>839</v>
      </c>
      <c r="C30" s="545">
        <f ca="1">ROUND(C31+C36+C37+C38,0)</f>
        <v>6311</v>
      </c>
      <c r="D30" s="2499" t="s">
        <v>840</v>
      </c>
      <c r="E30" s="2500"/>
      <c r="F30" s="2501"/>
      <c r="G30" s="1268"/>
      <c r="H30" s="2136"/>
      <c r="I30" s="2137"/>
      <c r="J30" s="2138"/>
      <c r="K30" s="2139"/>
      <c r="L30" s="2140"/>
      <c r="M30" s="2141"/>
    </row>
    <row r="31" spans="1:37" ht="18" customHeight="1">
      <c r="A31" s="555" t="s">
        <v>2238</v>
      </c>
      <c r="B31" s="537" t="s">
        <v>377</v>
      </c>
      <c r="C31" s="197">
        <f ca="1">ROUND(IF(项目基本情况!B7="自然人",C5*F31,C32+C33+C34),1)</f>
        <v>2568.4</v>
      </c>
      <c r="D31" s="2439" t="s">
        <v>843</v>
      </c>
      <c r="E31" s="2441" t="s">
        <v>884</v>
      </c>
      <c r="F31" s="561">
        <f>IF(项目基本情况!B7="企业","",IF('数据-取费表'!B10="住宅",5%,IF(F6*F7*F8/12/(1+'数据-取费表'!F30)&gt;20000,12%,7%)))</f>
        <v>0.05</v>
      </c>
      <c r="G31" s="1268"/>
      <c r="H31" s="2136"/>
      <c r="I31" s="2137"/>
      <c r="J31" s="2138"/>
      <c r="K31" s="2139"/>
      <c r="L31" s="2140"/>
      <c r="M31" s="2141"/>
    </row>
    <row r="32" spans="1:37" ht="18" customHeight="1">
      <c r="A32" s="555" t="s">
        <v>2240</v>
      </c>
      <c r="B32" s="537" t="s">
        <v>845</v>
      </c>
      <c r="C32" s="197" t="str">
        <f>IF(项目基本情况!B7="自然人","——",ROUND(C5*F32/(1+'数据-取费表'!F30),0))</f>
        <v>——</v>
      </c>
      <c r="D32" s="2441" t="s">
        <v>846</v>
      </c>
      <c r="E32" s="537" t="s">
        <v>838</v>
      </c>
      <c r="F32" s="570">
        <f>'数据-取费表'!E29</f>
        <v>5.6000000000000001E-2</v>
      </c>
      <c r="G32" s="1268"/>
      <c r="H32" s="2142"/>
      <c r="I32" s="2143"/>
      <c r="J32" s="2144"/>
      <c r="K32" s="2145"/>
      <c r="L32" s="2146"/>
      <c r="M32" s="2147"/>
    </row>
    <row r="33" spans="1:18" ht="18" customHeight="1">
      <c r="A33" s="555" t="s">
        <v>2241</v>
      </c>
      <c r="B33" s="537" t="s">
        <v>848</v>
      </c>
      <c r="C33" s="197" t="str">
        <f>IF(项目基本情况!B7="自然人","——",IF(D33="按租金收入计税",ROUND(C5*F33,1),IF(D33="按房产原值计税",ROUND(C29*F33*0.7,1),'数据-取费表'!B43)))</f>
        <v>——</v>
      </c>
      <c r="D33" s="1091" t="s">
        <v>2223</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2242</v>
      </c>
      <c r="B34" s="297" t="s">
        <v>885</v>
      </c>
      <c r="C34" s="198" t="str">
        <f>IF(项目基本情况!B7="自然人","——",ROUND(F34*F35,0))</f>
        <v>——</v>
      </c>
      <c r="D34" s="564" t="s">
        <v>886</v>
      </c>
      <c r="E34" s="537" t="s">
        <v>887</v>
      </c>
      <c r="F34" s="565">
        <f>'数据-取费表'!E40</f>
        <v>0</v>
      </c>
      <c r="G34" s="1268"/>
      <c r="H34" s="2136"/>
      <c r="I34" s="583" t="s">
        <v>888</v>
      </c>
      <c r="J34" s="584">
        <f ca="1">ROUND(C13*J35,0)</f>
        <v>9747</v>
      </c>
      <c r="K34" s="2150"/>
      <c r="L34" s="2151"/>
      <c r="M34" s="2151"/>
    </row>
    <row r="35" spans="1:18" ht="24.6" customHeight="1">
      <c r="A35" s="2458"/>
      <c r="B35" s="546"/>
      <c r="C35" s="202"/>
      <c r="D35" s="567"/>
      <c r="E35" s="537" t="s">
        <v>856</v>
      </c>
      <c r="F35" s="538">
        <f>IF(D1="仅计算典型户型",'数据-取费表'!E6,'数据-取费表'!B6)</f>
        <v>0</v>
      </c>
      <c r="G35" s="1268"/>
      <c r="H35" s="2136"/>
      <c r="I35" s="585" t="s">
        <v>889</v>
      </c>
      <c r="J35" s="586">
        <f>'数据-取费表'!B17</f>
        <v>0.08</v>
      </c>
      <c r="K35" s="2149"/>
      <c r="L35" s="2148"/>
      <c r="M35" s="2148"/>
    </row>
    <row r="36" spans="1:18" ht="18" customHeight="1">
      <c r="A36" s="2457" t="s">
        <v>2239</v>
      </c>
      <c r="B36" s="537" t="s">
        <v>858</v>
      </c>
      <c r="C36" s="197">
        <f ca="1">ROUND(C29*F36,0)</f>
        <v>3046</v>
      </c>
      <c r="D36" s="2441" t="s">
        <v>890</v>
      </c>
      <c r="E36" s="537" t="s">
        <v>891</v>
      </c>
      <c r="F36" s="568">
        <f>'数据-取费表'!B44</f>
        <v>1.4999999999999999E-2</v>
      </c>
      <c r="G36" s="1268"/>
      <c r="H36" s="2148"/>
      <c r="I36" s="587" t="s">
        <v>892</v>
      </c>
      <c r="J36" s="588"/>
      <c r="K36" s="2152"/>
      <c r="L36" s="2148"/>
      <c r="M36" s="2148"/>
    </row>
    <row r="37" spans="1:18" ht="18" customHeight="1">
      <c r="A37" s="555" t="s">
        <v>2233</v>
      </c>
      <c r="B37" s="537" t="s">
        <v>382</v>
      </c>
      <c r="C37" s="197">
        <f ca="1">ROUND(C13*F37,0)</f>
        <v>183</v>
      </c>
      <c r="D37" s="2441" t="s">
        <v>383</v>
      </c>
      <c r="E37" s="537" t="s">
        <v>384</v>
      </c>
      <c r="F37" s="569">
        <f>'数据-取费表'!B45</f>
        <v>1.5E-3</v>
      </c>
      <c r="G37" s="1268"/>
      <c r="H37" s="2148"/>
      <c r="I37" s="433" t="s">
        <v>876</v>
      </c>
      <c r="J37" s="589"/>
      <c r="K37" s="2152"/>
      <c r="L37" s="2148"/>
      <c r="M37" s="2148"/>
    </row>
    <row r="38" spans="1:18" ht="18" customHeight="1" thickBot="1">
      <c r="A38" s="2502" t="s">
        <v>2234</v>
      </c>
      <c r="B38" s="2503" t="s">
        <v>381</v>
      </c>
      <c r="C38" s="2504">
        <f ca="1">ROUND(C5*F38,0)</f>
        <v>514</v>
      </c>
      <c r="D38" s="2505" t="s">
        <v>385</v>
      </c>
      <c r="E38" s="2503" t="s">
        <v>384</v>
      </c>
      <c r="F38" s="2498">
        <f>'数据-取费表'!B46</f>
        <v>0.01</v>
      </c>
      <c r="G38" s="1268"/>
      <c r="H38" s="2148"/>
      <c r="I38" s="583" t="s">
        <v>877</v>
      </c>
      <c r="J38" s="437">
        <f ca="1">ROUND(J34/C39,3)</f>
        <v>0.216</v>
      </c>
      <c r="K38" s="2153"/>
      <c r="L38" s="2148"/>
      <c r="M38" s="2148"/>
    </row>
    <row r="39" spans="1:18" ht="18" customHeight="1" thickTop="1">
      <c r="A39" s="2490" t="s">
        <v>46</v>
      </c>
      <c r="B39" s="2507" t="s">
        <v>391</v>
      </c>
      <c r="C39" s="545">
        <f ca="1">C5-C30</f>
        <v>45057</v>
      </c>
      <c r="D39" s="2508" t="s">
        <v>392</v>
      </c>
      <c r="E39" s="2509"/>
      <c r="F39" s="2510"/>
      <c r="G39" s="1268"/>
      <c r="H39" s="2148"/>
      <c r="I39" s="583" t="s">
        <v>878</v>
      </c>
      <c r="J39" s="437">
        <f ca="1">1-J38</f>
        <v>0.78400000000000003</v>
      </c>
      <c r="K39" s="2153"/>
      <c r="L39" s="2148"/>
      <c r="M39" s="2148"/>
    </row>
    <row r="40" spans="1:18" s="1268" customFormat="1" ht="18" customHeight="1">
      <c r="A40" s="534" t="s">
        <v>47</v>
      </c>
      <c r="B40" s="535" t="s">
        <v>393</v>
      </c>
      <c r="C40" s="536">
        <f ca="1">ROUND(C39*(1-((1+F42)/(1+F40))^F41)/(F40-F42),0)</f>
        <v>1906704</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2964</v>
      </c>
      <c r="F41" s="573">
        <f>IF('数据-取费表'!B28="租赁期内按合同租金",'数据-取费表'!B34,IF(E41="收益年期(n)",'数据-取费表'!B33,'数据-取费表'!B13))</f>
        <v>70</v>
      </c>
      <c r="H41" s="2155"/>
      <c r="I41" s="436" t="s">
        <v>371</v>
      </c>
      <c r="J41" s="437">
        <f ca="1">ROUND(C13/C40,3)</f>
        <v>6.4000000000000001E-2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0.93599999999999994</v>
      </c>
      <c r="K42" s="2152"/>
      <c r="L42" s="2155"/>
      <c r="M42" s="2155"/>
      <c r="Q42" s="1272"/>
    </row>
    <row r="43" spans="1:18" s="1268" customFormat="1" ht="18" customHeight="1" thickBot="1">
      <c r="A43" s="574" t="s">
        <v>48</v>
      </c>
      <c r="B43" s="575" t="s">
        <v>397</v>
      </c>
      <c r="C43" s="576">
        <f ca="1">ROUND(C40/F43,0)</f>
        <v>33557</v>
      </c>
      <c r="D43" s="577" t="s">
        <v>398</v>
      </c>
      <c r="E43" s="578" t="s">
        <v>399</v>
      </c>
      <c r="F43" s="579">
        <f>IF(D1="仅计算典型户型",'数据-取费表'!E5,'数据-取费表'!B5)</f>
        <v>56.82</v>
      </c>
      <c r="G43" s="1270"/>
      <c r="H43" s="2155"/>
      <c r="I43" s="2155"/>
      <c r="J43" s="2155"/>
      <c r="K43" s="2152"/>
      <c r="L43" s="2155"/>
      <c r="M43" s="2155"/>
      <c r="O43" s="2392" t="s">
        <v>2343</v>
      </c>
      <c r="P43" s="2393"/>
      <c r="Q43" s="2389"/>
      <c r="R43" s="2393"/>
    </row>
    <row r="44" spans="1:18" s="1268" customFormat="1" ht="18" customHeight="1" thickBot="1">
      <c r="A44" s="1224"/>
      <c r="B44" s="1224"/>
      <c r="C44" s="1267"/>
      <c r="D44" s="1224"/>
      <c r="E44" s="1224"/>
      <c r="F44" s="1224"/>
      <c r="G44" s="1270"/>
      <c r="K44" s="1269"/>
      <c r="O44" s="2394" t="s">
        <v>2344</v>
      </c>
      <c r="P44" s="2395" t="s">
        <v>2345</v>
      </c>
      <c r="Q44" s="2396" t="s">
        <v>2346</v>
      </c>
      <c r="R44" s="2397" t="s">
        <v>2347</v>
      </c>
    </row>
    <row r="45" spans="1:18" s="1268" customFormat="1" ht="18" customHeight="1" thickBot="1">
      <c r="A45" s="1224"/>
      <c r="B45" s="1224"/>
      <c r="C45" s="1267"/>
      <c r="D45" s="1224"/>
      <c r="E45" s="1224"/>
      <c r="F45" s="1224"/>
      <c r="G45" s="1271"/>
      <c r="K45" s="1269"/>
      <c r="O45" s="2398" t="s">
        <v>2348</v>
      </c>
      <c r="P45" s="2407" t="s">
        <v>2374</v>
      </c>
      <c r="Q45" s="2400">
        <f ca="1">C40+J29</f>
        <v>1906704</v>
      </c>
      <c r="R45" s="2401" t="s">
        <v>2349</v>
      </c>
    </row>
    <row r="46" spans="1:18" s="1268" customFormat="1" ht="18" customHeight="1" thickBot="1">
      <c r="A46" s="1224"/>
      <c r="D46" s="1224"/>
      <c r="E46" s="1224"/>
      <c r="F46" s="1224"/>
      <c r="K46" s="1269"/>
      <c r="O46" s="2398" t="s">
        <v>2350</v>
      </c>
      <c r="P46" s="2407" t="s">
        <v>2375</v>
      </c>
      <c r="Q46" s="2400" t="str">
        <f>J61</f>
        <v>0</v>
      </c>
      <c r="R46" s="2401" t="s">
        <v>2351</v>
      </c>
    </row>
    <row r="47" spans="1:18" s="1268" customFormat="1" ht="21" thickBot="1">
      <c r="A47" s="2275" t="s">
        <v>2231</v>
      </c>
      <c r="B47" s="2272"/>
      <c r="C47" s="2284">
        <f ca="1">IF(C2="元",C69-C40,ROUND((C69-C40)/10000,0))</f>
        <v>-1989146</v>
      </c>
      <c r="D47" s="2285" t="str">
        <f>C2</f>
        <v>元</v>
      </c>
      <c r="E47" s="1224"/>
      <c r="F47" s="1224"/>
      <c r="I47" s="2360" t="s">
        <v>2314</v>
      </c>
      <c r="J47" s="2361"/>
      <c r="K47" s="2362"/>
      <c r="L47" s="2388">
        <f>IF(M48="住宅",0,IF(L49&gt;J52,L61,J61))</f>
        <v>0</v>
      </c>
      <c r="O47" s="2402" t="s">
        <v>2352</v>
      </c>
      <c r="P47" s="2407" t="s">
        <v>2376</v>
      </c>
      <c r="Q47" s="2400">
        <f ca="1">C29</f>
        <v>203054</v>
      </c>
      <c r="R47" s="2401" t="s">
        <v>2349</v>
      </c>
    </row>
    <row r="48" spans="1:18" s="1268" customFormat="1" ht="15.75" thickBot="1">
      <c r="A48" s="530" t="s">
        <v>821</v>
      </c>
      <c r="B48" s="531" t="s">
        <v>822</v>
      </c>
      <c r="C48" s="531" t="s">
        <v>823</v>
      </c>
      <c r="D48" s="531" t="s">
        <v>824</v>
      </c>
      <c r="E48" s="2278" t="s">
        <v>825</v>
      </c>
      <c r="F48" s="2279"/>
      <c r="H48" s="2353"/>
      <c r="I48" s="2363" t="s">
        <v>2315</v>
      </c>
      <c r="J48" s="2364"/>
      <c r="K48" s="2365" t="s">
        <v>2316</v>
      </c>
      <c r="L48" s="2366">
        <f>'数据-取费表'!B11</f>
        <v>70</v>
      </c>
      <c r="M48" s="2389" t="str">
        <f>IF('数据-取费表'!B10="住宅","住宅","非住宅")</f>
        <v>住宅</v>
      </c>
      <c r="O48" s="2402" t="s">
        <v>2353</v>
      </c>
      <c r="P48" s="2399" t="s">
        <v>2354</v>
      </c>
      <c r="Q48" s="2403" t="e">
        <f>J59</f>
        <v>#VALUE!</v>
      </c>
      <c r="R48" s="2401"/>
    </row>
    <row r="49" spans="1:18" s="1268" customFormat="1" ht="15.75" thickBot="1">
      <c r="A49" s="2533" t="s">
        <v>2524</v>
      </c>
      <c r="B49" s="535" t="s">
        <v>826</v>
      </c>
      <c r="C49" s="2534">
        <f ca="1">C50+C54+C56</f>
        <v>51</v>
      </c>
      <c r="D49" s="2535"/>
      <c r="E49" s="318"/>
      <c r="F49" s="199"/>
      <c r="H49" s="2353"/>
      <c r="I49" s="2356" t="s">
        <v>2317</v>
      </c>
      <c r="J49" s="2367"/>
      <c r="K49" s="2368" t="s">
        <v>2318</v>
      </c>
      <c r="L49" s="1949">
        <f>'数据-取费表'!B13</f>
        <v>70</v>
      </c>
      <c r="O49" s="2402" t="s">
        <v>2355</v>
      </c>
      <c r="P49" s="2399" t="s">
        <v>2356</v>
      </c>
      <c r="Q49" s="2403">
        <f>J53</f>
        <v>0</v>
      </c>
      <c r="R49" s="2401"/>
    </row>
    <row r="50" spans="1:18" s="1268" customFormat="1" ht="15.75" thickBot="1">
      <c r="A50" s="563" t="s">
        <v>2526</v>
      </c>
      <c r="B50" s="1815" t="s">
        <v>2525</v>
      </c>
      <c r="C50" s="536">
        <f>ROUND(F50*F52*F51*(1-F53),0)</f>
        <v>51</v>
      </c>
      <c r="D50" s="310" t="s">
        <v>827</v>
      </c>
      <c r="E50" s="2277" t="s">
        <v>2230</v>
      </c>
      <c r="F50" s="2280">
        <v>5</v>
      </c>
      <c r="H50" s="2353"/>
      <c r="I50" s="2356" t="s">
        <v>2319</v>
      </c>
      <c r="J50" s="1949">
        <f>'数据-取费表'!B26</f>
        <v>1994</v>
      </c>
      <c r="K50" s="2369" t="s">
        <v>2320</v>
      </c>
      <c r="L50" s="2370"/>
      <c r="O50" s="2402" t="s">
        <v>2357</v>
      </c>
      <c r="P50" s="2399" t="s">
        <v>2358</v>
      </c>
      <c r="Q50" s="2400">
        <f>J54</f>
        <v>-23</v>
      </c>
      <c r="R50" s="2401" t="s">
        <v>2359</v>
      </c>
    </row>
    <row r="51" spans="1:18" s="1268" customFormat="1" ht="15.75" thickBot="1">
      <c r="A51" s="539"/>
      <c r="B51" s="540"/>
      <c r="C51" s="541"/>
      <c r="D51" s="542"/>
      <c r="E51" s="557" t="s">
        <v>829</v>
      </c>
      <c r="F51" s="2276">
        <f>F7</f>
        <v>1</v>
      </c>
      <c r="H51" s="2353"/>
      <c r="I51" s="2356" t="s">
        <v>2321</v>
      </c>
      <c r="J51" s="2371">
        <f>SUMPRODUCT((I64:I66=J48)*(J63:L63=J49)*(J64:L66))</f>
        <v>0</v>
      </c>
      <c r="K51" s="2369" t="s">
        <v>2322</v>
      </c>
      <c r="L51" s="2370"/>
      <c r="O51" s="2398" t="s">
        <v>2360</v>
      </c>
      <c r="P51" s="2399" t="str">
        <f>IF(C2="元","收益价值(元)","收益价值(万元)")</f>
        <v>收益价值(元)</v>
      </c>
      <c r="Q51" s="2400">
        <f ca="1">ROUND(IF(C2="元",Q45+Q46,(Q45+Q46)/10000),0)</f>
        <v>1906704</v>
      </c>
      <c r="R51" s="2401" t="s">
        <v>2361</v>
      </c>
    </row>
    <row r="52" spans="1:18" s="1268" customFormat="1" ht="16.5" thickBot="1">
      <c r="A52" s="539"/>
      <c r="B52" s="540"/>
      <c r="C52" s="541"/>
      <c r="D52" s="542"/>
      <c r="E52" s="537" t="s">
        <v>830</v>
      </c>
      <c r="F52" s="538">
        <f>F8</f>
        <v>12</v>
      </c>
      <c r="H52" s="2353"/>
      <c r="I52" s="2372" t="s">
        <v>2323</v>
      </c>
      <c r="J52" s="2373">
        <f>IF(J50="",J51,J50+J51-YEAR('数据-取费表'!B2))</f>
        <v>-23</v>
      </c>
      <c r="K52" s="2374" t="s">
        <v>2324</v>
      </c>
      <c r="L52" s="2375">
        <f ca="1">ROUND(-PV('数据-取费表'!B15,L49,(C40-C13*J35)),0)</f>
        <v>44378399</v>
      </c>
      <c r="O52" s="2392" t="s">
        <v>2362</v>
      </c>
      <c r="P52" s="2393"/>
      <c r="Q52" s="2389"/>
      <c r="R52" s="2393"/>
    </row>
    <row r="53" spans="1:18" s="1268" customFormat="1" ht="15.75" thickBot="1">
      <c r="A53" s="543"/>
      <c r="B53" s="544"/>
      <c r="C53" s="545"/>
      <c r="D53" s="546"/>
      <c r="E53" s="537" t="s">
        <v>831</v>
      </c>
      <c r="F53" s="2387">
        <v>0.15</v>
      </c>
      <c r="H53" s="2353"/>
      <c r="I53" s="2376" t="s">
        <v>2325</v>
      </c>
      <c r="J53" s="2377"/>
      <c r="K53" s="2376" t="s">
        <v>2326</v>
      </c>
      <c r="L53" s="2377"/>
      <c r="O53" s="2394" t="s">
        <v>2344</v>
      </c>
      <c r="P53" s="2395" t="s">
        <v>2345</v>
      </c>
      <c r="Q53" s="2396" t="s">
        <v>2346</v>
      </c>
      <c r="R53" s="2397" t="s">
        <v>2347</v>
      </c>
    </row>
    <row r="54" spans="1:18" s="1268" customFormat="1" ht="29.25" thickBot="1">
      <c r="A54" s="2447" t="s">
        <v>2239</v>
      </c>
      <c r="B54" s="2450" t="s">
        <v>2447</v>
      </c>
      <c r="C54" s="2449">
        <f ca="1">ROUND(IF(F54="押一",F50*F51*F52/12*F11,IF(F54="押二",F50*F51*F52/12*2*F11,IF(F54="押三",F50*F51*F52/12*3*F11,C55*F11))),0)</f>
        <v>0</v>
      </c>
      <c r="D54" s="2448" t="s">
        <v>2450</v>
      </c>
      <c r="E54" s="2443" t="s">
        <v>2451</v>
      </c>
      <c r="F54" s="2451"/>
      <c r="H54" s="2353"/>
      <c r="I54" s="2378" t="s">
        <v>2327</v>
      </c>
      <c r="J54" s="2379">
        <f>IF(M48="住宅",J52,MIN(J52,L49))</f>
        <v>-23</v>
      </c>
      <c r="K54" s="35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45"/>
      <c r="O54" s="2398" t="s">
        <v>2348</v>
      </c>
      <c r="P54" s="2407" t="s">
        <v>2374</v>
      </c>
      <c r="Q54" s="2400">
        <f ca="1">C40+J29</f>
        <v>1906704</v>
      </c>
      <c r="R54" s="2401" t="s">
        <v>2349</v>
      </c>
    </row>
    <row r="55" spans="1:18" s="1268" customFormat="1" ht="20.25" thickBot="1">
      <c r="A55" s="2447"/>
      <c r="B55" s="2605" t="s">
        <v>2576</v>
      </c>
      <c r="C55" s="2488"/>
      <c r="D55" s="2604"/>
      <c r="E55" s="2536"/>
      <c r="F55" s="2281"/>
      <c r="H55" s="2353"/>
      <c r="I55" s="2154"/>
      <c r="J55" s="2380"/>
      <c r="K55" s="2380"/>
      <c r="L55" s="2380"/>
      <c r="O55" s="2398" t="s">
        <v>2350</v>
      </c>
      <c r="P55" s="2407" t="s">
        <v>2377</v>
      </c>
      <c r="Q55" s="2400">
        <f>L61</f>
        <v>0</v>
      </c>
      <c r="R55" s="2401" t="s">
        <v>2363</v>
      </c>
    </row>
    <row r="56" spans="1:18" s="1268" customFormat="1" ht="20.25" thickBot="1">
      <c r="A56" s="2494" t="s">
        <v>2515</v>
      </c>
      <c r="B56" s="2495" t="s">
        <v>2453</v>
      </c>
      <c r="C56" s="2496"/>
      <c r="D56" s="2607"/>
      <c r="E56" s="2608"/>
      <c r="F56" s="2609"/>
      <c r="H56" s="2353"/>
      <c r="I56" s="3105" t="s">
        <v>2328</v>
      </c>
      <c r="J56" s="3107" t="e">
        <f>ROUND(IF(J48="钢混",J58/J51,1-(1-2%)*(J51-J58)/J51),3)</f>
        <v>#VALUE!</v>
      </c>
      <c r="K56" s="2381" t="s">
        <v>2329</v>
      </c>
      <c r="L56" s="2382"/>
      <c r="O56" s="2402" t="s">
        <v>2352</v>
      </c>
      <c r="P56" s="2399" t="s">
        <v>2378</v>
      </c>
      <c r="Q56" s="2400">
        <f>IF(L56="比较法",L50,IF(L56="基准地价",L51,0))</f>
        <v>0</v>
      </c>
      <c r="R56" s="2401" t="s">
        <v>2349</v>
      </c>
    </row>
    <row r="57" spans="1:18" s="1268" customFormat="1" ht="44.25" thickTop="1" thickBot="1">
      <c r="A57" s="2490">
        <v>2</v>
      </c>
      <c r="B57" s="2491" t="s">
        <v>832</v>
      </c>
      <c r="C57" s="2606">
        <f ca="1">C13</f>
        <v>121832</v>
      </c>
      <c r="D57" s="2273"/>
      <c r="E57" s="2274"/>
      <c r="F57" s="2283"/>
      <c r="H57" s="2353"/>
      <c r="I57" s="2354" t="s">
        <v>2330</v>
      </c>
      <c r="J57" s="2386"/>
      <c r="K57" s="2356" t="s">
        <v>2335</v>
      </c>
      <c r="L57" s="1949">
        <f>IF(L49&lt;J52,"——",L49-J52)</f>
        <v>93</v>
      </c>
      <c r="O57" s="2402" t="s">
        <v>2353</v>
      </c>
      <c r="P57" s="2399" t="s">
        <v>2364</v>
      </c>
      <c r="Q57" s="2403">
        <f>L53</f>
        <v>0</v>
      </c>
      <c r="R57" s="2401"/>
    </row>
    <row r="58" spans="1:18" s="1268" customFormat="1" ht="29.25" thickBot="1">
      <c r="A58" s="2282"/>
      <c r="B58" s="537" t="s">
        <v>883</v>
      </c>
      <c r="C58" s="405">
        <f ca="1">C29</f>
        <v>203054</v>
      </c>
      <c r="D58" s="2273"/>
      <c r="E58" s="2274"/>
      <c r="F58" s="2283"/>
      <c r="H58" s="2353"/>
      <c r="I58" s="2355" t="s">
        <v>2331</v>
      </c>
      <c r="J58" s="2385" t="str">
        <f>IF(OR(M48="住宅",J52&lt;L49,J57="是"),"——",J52-L49)</f>
        <v>——</v>
      </c>
      <c r="K58" s="2356" t="s">
        <v>2336</v>
      </c>
      <c r="L58" s="1949">
        <f ca="1">IF(L49&lt;J52,"——",IF(L56="比较法",L50,IF(L56="基准地价",L51,L52)))</f>
        <v>44378399</v>
      </c>
      <c r="O58" s="2402" t="s">
        <v>2355</v>
      </c>
      <c r="P58" s="2399" t="s">
        <v>2365</v>
      </c>
      <c r="Q58" s="2400">
        <f>L59</f>
        <v>0</v>
      </c>
      <c r="R58" s="2401" t="s">
        <v>2366</v>
      </c>
    </row>
    <row r="59" spans="1:18" s="1268" customFormat="1" ht="29.25" thickBot="1">
      <c r="A59" s="550" t="s">
        <v>38</v>
      </c>
      <c r="B59" s="551" t="s">
        <v>839</v>
      </c>
      <c r="C59" s="552">
        <f ca="1">ROUND(C60+C65+C66+C67,0)</f>
        <v>3233</v>
      </c>
      <c r="D59" s="195" t="s">
        <v>840</v>
      </c>
      <c r="E59" s="2271"/>
      <c r="F59" s="199"/>
      <c r="H59" s="2353"/>
      <c r="I59" s="2355" t="s">
        <v>2332</v>
      </c>
      <c r="J59" s="3106" t="e">
        <f>IF(J56&lt;0.4,0.4,J56)</f>
        <v>#VALUE!</v>
      </c>
      <c r="K59" s="2374" t="s">
        <v>2337</v>
      </c>
      <c r="L59" s="1949">
        <f>IF(ISERROR(POWER(1+L53,L48-L49)*(POWER(1+L53,L49)-1)/(POWER(1+L53,L48)-1)),0,POWER(1+L53,L48-L49)*(POWER(1+L53,L49)-1)/(POWER(1+L53,L48)-1))</f>
        <v>0</v>
      </c>
      <c r="O59" s="2402" t="s">
        <v>2357</v>
      </c>
      <c r="P59" s="2399" t="s">
        <v>2367</v>
      </c>
      <c r="Q59" s="2400">
        <f>L60</f>
        <v>0</v>
      </c>
      <c r="R59" s="2401" t="s">
        <v>2368</v>
      </c>
    </row>
    <row r="60" spans="1:18" s="1268" customFormat="1" ht="29.25" thickBot="1">
      <c r="A60" s="555" t="s">
        <v>39</v>
      </c>
      <c r="B60" s="537" t="s">
        <v>377</v>
      </c>
      <c r="C60" s="197">
        <f ca="1">ROUND(IF(项目基本情况!B7="自然人",C49*F60,C61+C62+C63),1)</f>
        <v>2.6</v>
      </c>
      <c r="D60" s="2268" t="s">
        <v>843</v>
      </c>
      <c r="E60" s="2269" t="s">
        <v>884</v>
      </c>
      <c r="F60" s="561">
        <f>IF(项目基本情况!B7="企业","",IF('数据-取费表'!B10="住宅",5%,IF(F50*F51*F52/12/(1+'数据-取费表'!F30)&gt;20000,12%,7%)))</f>
        <v>0.05</v>
      </c>
      <c r="I60" s="2355" t="s">
        <v>2333</v>
      </c>
      <c r="J60" s="2385" t="str">
        <f>IF(OR(M48="住宅",J52&lt;L49,J57="是"),"——",ROUND(C29*J59,0))</f>
        <v>——</v>
      </c>
      <c r="K60" s="2374" t="s">
        <v>2338</v>
      </c>
      <c r="L60" s="1949">
        <f>IF(ISERROR(POWER(1+L53,L48-J52)*(POWER(1+L53,J52)-1)/(POWER(1+L53,L48)-1)),0,POWER(1+L53,L48-J52)*(POWER(1+L53,J52)-1)/(POWER(1+L53,L48)-1))</f>
        <v>0</v>
      </c>
      <c r="O60" s="2398" t="s">
        <v>2360</v>
      </c>
      <c r="P60" s="2399" t="str">
        <f>IF(C2="元","收益价值(元)","收益价值(万元)")</f>
        <v>收益价值(元)</v>
      </c>
      <c r="Q60" s="2400">
        <f ca="1">ROUND(IF(C2="元",Q54+Q55,(Q54+Q55)/10000),0)</f>
        <v>1906704</v>
      </c>
      <c r="R60" s="2401" t="s">
        <v>2361</v>
      </c>
    </row>
    <row r="61" spans="1:18" s="1268" customFormat="1" ht="16.5" thickBot="1">
      <c r="A61" s="555" t="s">
        <v>40</v>
      </c>
      <c r="B61" s="537" t="s">
        <v>845</v>
      </c>
      <c r="C61" s="197" t="str">
        <f>IF(项目基本情况!B7="自然人","——",ROUND(C49*F61/(1+'数据-取费表'!F30),0))</f>
        <v>——</v>
      </c>
      <c r="D61" s="2269" t="s">
        <v>846</v>
      </c>
      <c r="E61" s="537" t="s">
        <v>379</v>
      </c>
      <c r="F61" s="570">
        <f t="shared" ref="F61:F67" si="0">F32</f>
        <v>5.6000000000000001E-2</v>
      </c>
      <c r="I61" s="2357" t="s">
        <v>2334</v>
      </c>
      <c r="J61" s="2384" t="str">
        <f>IF(OR(M48="住宅",J52&lt;L49,J57="是"),"0",ROUND(J60/(1+J53)^J54,0))</f>
        <v>0</v>
      </c>
      <c r="K61" s="2383" t="s">
        <v>2339</v>
      </c>
      <c r="L61" s="2384">
        <f>IF(OR(M48="住宅",L49&lt;J52),0,ROUND(L58*(L59/L60-1),0))</f>
        <v>0</v>
      </c>
      <c r="O61" s="2392" t="s">
        <v>2369</v>
      </c>
      <c r="P61" s="2393"/>
      <c r="Q61" s="2389"/>
      <c r="R61" s="2393"/>
    </row>
    <row r="62" spans="1:18" s="1268" customFormat="1" ht="15.75" thickBot="1">
      <c r="A62" s="555" t="s">
        <v>41</v>
      </c>
      <c r="B62" s="537" t="s">
        <v>848</v>
      </c>
      <c r="C62" s="197" t="str">
        <f>IF(项目基本情况!B7="自然人","——",IF(D62="按租金收入计税",ROUND(C49*F62,1),IF(D62="按房产原值计税",ROUND(C58*F62*0.7,1),'数据-取费表'!B43)))</f>
        <v>——</v>
      </c>
      <c r="D62" s="1091" t="s">
        <v>2223</v>
      </c>
      <c r="E62" s="537" t="s">
        <v>379</v>
      </c>
      <c r="F62" s="560">
        <f t="shared" si="0"/>
        <v>1.2E-2</v>
      </c>
      <c r="O62" s="2394" t="s">
        <v>2344</v>
      </c>
      <c r="P62" s="2395" t="s">
        <v>2345</v>
      </c>
      <c r="Q62" s="2396" t="s">
        <v>2346</v>
      </c>
      <c r="R62" s="2397" t="s">
        <v>2347</v>
      </c>
    </row>
    <row r="63" spans="1:18" s="1268" customFormat="1" ht="15.75" thickBot="1">
      <c r="A63" s="563" t="s">
        <v>42</v>
      </c>
      <c r="B63" s="297" t="s">
        <v>885</v>
      </c>
      <c r="C63" s="198" t="str">
        <f>IF(项目基本情况!B7="自然人","——",ROUND(F63*F64,0))</f>
        <v>——</v>
      </c>
      <c r="D63" s="564" t="s">
        <v>886</v>
      </c>
      <c r="E63" s="537" t="s">
        <v>887</v>
      </c>
      <c r="F63" s="565">
        <f t="shared" si="0"/>
        <v>0</v>
      </c>
      <c r="I63" s="2358" t="s">
        <v>2313</v>
      </c>
      <c r="J63" s="2359" t="s">
        <v>2305</v>
      </c>
      <c r="K63" s="2359" t="s">
        <v>2307</v>
      </c>
      <c r="L63" s="2359" t="s">
        <v>2303</v>
      </c>
      <c r="M63" s="3110" t="s">
        <v>2909</v>
      </c>
      <c r="O63" s="2398" t="s">
        <v>2348</v>
      </c>
      <c r="P63" s="2407" t="s">
        <v>2379</v>
      </c>
      <c r="Q63" s="2400">
        <f ca="1">C40+J29</f>
        <v>1906704</v>
      </c>
      <c r="R63" s="2401" t="s">
        <v>2349</v>
      </c>
    </row>
    <row r="64" spans="1:18" s="1268" customFormat="1" ht="20.25" thickBot="1">
      <c r="A64" s="566"/>
      <c r="B64" s="546"/>
      <c r="C64" s="202"/>
      <c r="D64" s="567"/>
      <c r="E64" s="537" t="s">
        <v>856</v>
      </c>
      <c r="F64" s="538">
        <f t="shared" si="0"/>
        <v>0</v>
      </c>
      <c r="I64" s="2358" t="s">
        <v>2340</v>
      </c>
      <c r="J64" s="3111">
        <v>70</v>
      </c>
      <c r="K64" s="3111">
        <v>50</v>
      </c>
      <c r="L64" s="3111">
        <v>80</v>
      </c>
      <c r="M64" s="3108">
        <v>0.02</v>
      </c>
      <c r="O64" s="2398" t="s">
        <v>2350</v>
      </c>
      <c r="P64" s="2407" t="s">
        <v>2377</v>
      </c>
      <c r="Q64" s="2400">
        <f>L61</f>
        <v>0</v>
      </c>
      <c r="R64" s="2401" t="s">
        <v>2363</v>
      </c>
    </row>
    <row r="65" spans="1:18" s="1268" customFormat="1" ht="23.25" thickBot="1">
      <c r="A65" s="555" t="s">
        <v>43</v>
      </c>
      <c r="B65" s="537" t="s">
        <v>858</v>
      </c>
      <c r="C65" s="197">
        <f ca="1">ROUND(C58*F65,0)</f>
        <v>3046</v>
      </c>
      <c r="D65" s="2269" t="s">
        <v>890</v>
      </c>
      <c r="E65" s="537" t="s">
        <v>891</v>
      </c>
      <c r="F65" s="568">
        <f t="shared" si="0"/>
        <v>1.4999999999999999E-2</v>
      </c>
      <c r="I65" s="2358" t="s">
        <v>2341</v>
      </c>
      <c r="J65" s="3111">
        <v>50</v>
      </c>
      <c r="K65" s="3111">
        <v>35</v>
      </c>
      <c r="L65" s="3111">
        <v>60</v>
      </c>
      <c r="M65" s="3109">
        <v>0</v>
      </c>
      <c r="O65" s="2402" t="s">
        <v>2352</v>
      </c>
      <c r="P65" s="2399" t="s">
        <v>2378</v>
      </c>
      <c r="Q65" s="2404">
        <f ca="1">L52</f>
        <v>44378399</v>
      </c>
      <c r="R65" s="2405" t="s">
        <v>2383</v>
      </c>
    </row>
    <row r="66" spans="1:18" s="1268" customFormat="1" ht="20.25" thickBot="1">
      <c r="A66" s="555" t="s">
        <v>44</v>
      </c>
      <c r="B66" s="537" t="s">
        <v>382</v>
      </c>
      <c r="C66" s="197">
        <f ca="1">ROUND(C57*F66,0)</f>
        <v>183</v>
      </c>
      <c r="D66" s="2269" t="s">
        <v>383</v>
      </c>
      <c r="E66" s="537" t="s">
        <v>384</v>
      </c>
      <c r="F66" s="569">
        <f t="shared" si="0"/>
        <v>1.5E-3</v>
      </c>
      <c r="I66" s="2358" t="s">
        <v>2342</v>
      </c>
      <c r="J66" s="3111">
        <v>40</v>
      </c>
      <c r="K66" s="3111">
        <v>30</v>
      </c>
      <c r="L66" s="3111">
        <v>50</v>
      </c>
      <c r="M66" s="3108">
        <v>0.02</v>
      </c>
      <c r="O66" s="2402" t="s">
        <v>2353</v>
      </c>
      <c r="P66" s="2406" t="s">
        <v>2380</v>
      </c>
      <c r="Q66" s="2400">
        <f ca="1">ROUND(Q67-Q68*Q69,0)</f>
        <v>35310</v>
      </c>
      <c r="R66" s="2401"/>
    </row>
    <row r="67" spans="1:18" s="1268" customFormat="1" ht="15.75" thickBot="1">
      <c r="A67" s="555" t="s">
        <v>45</v>
      </c>
      <c r="B67" s="537" t="s">
        <v>381</v>
      </c>
      <c r="C67" s="197">
        <f ca="1">ROUND(C49*F67,0)</f>
        <v>1</v>
      </c>
      <c r="D67" s="2269" t="s">
        <v>385</v>
      </c>
      <c r="E67" s="537" t="s">
        <v>384</v>
      </c>
      <c r="F67" s="547">
        <f t="shared" si="0"/>
        <v>0.01</v>
      </c>
      <c r="O67" s="2402" t="s">
        <v>2370</v>
      </c>
      <c r="P67" s="2408" t="s">
        <v>2381</v>
      </c>
      <c r="Q67" s="2400">
        <f ca="1">C39</f>
        <v>45057</v>
      </c>
      <c r="R67" s="2401" t="s">
        <v>2349</v>
      </c>
    </row>
    <row r="68" spans="1:18" ht="24.75" thickBot="1">
      <c r="A68" s="550" t="s">
        <v>46</v>
      </c>
      <c r="B68" s="306" t="s">
        <v>391</v>
      </c>
      <c r="C68" s="552">
        <f ca="1">C49-C59</f>
        <v>-3182</v>
      </c>
      <c r="D68" s="2268" t="s">
        <v>392</v>
      </c>
      <c r="E68" s="2270"/>
      <c r="F68" s="571"/>
      <c r="H68" s="1268"/>
      <c r="I68" s="1268"/>
      <c r="J68" s="1268"/>
      <c r="K68" s="1268"/>
      <c r="L68" s="1268"/>
      <c r="M68" s="1268"/>
      <c r="O68" s="2402" t="s">
        <v>2371</v>
      </c>
      <c r="P68" s="2408" t="s">
        <v>2382</v>
      </c>
      <c r="Q68" s="2400">
        <f ca="1">C13</f>
        <v>121832</v>
      </c>
      <c r="R68" s="2401" t="s">
        <v>2349</v>
      </c>
    </row>
    <row r="69" spans="1:18" ht="15.75" thickBot="1">
      <c r="A69" s="534" t="s">
        <v>47</v>
      </c>
      <c r="B69" s="535" t="s">
        <v>393</v>
      </c>
      <c r="C69" s="536">
        <f ca="1">ROUND(C68*(1-((1+F71)/(1+F69))^F70)/(F69-F71),0)</f>
        <v>-82442</v>
      </c>
      <c r="D69" s="564" t="s">
        <v>387</v>
      </c>
      <c r="E69" s="537" t="s">
        <v>388</v>
      </c>
      <c r="F69" s="547">
        <f>F40</f>
        <v>0.05</v>
      </c>
      <c r="H69" s="1268"/>
      <c r="I69" s="1268"/>
      <c r="J69" s="1268"/>
      <c r="K69" s="1268"/>
      <c r="L69" s="1268"/>
      <c r="M69" s="1268"/>
      <c r="O69" s="2402" t="s">
        <v>2372</v>
      </c>
      <c r="P69" s="2406" t="s">
        <v>2373</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2355</v>
      </c>
      <c r="P70" s="2399" t="s">
        <v>2364</v>
      </c>
      <c r="Q70" s="2403">
        <f>L53</f>
        <v>0</v>
      </c>
      <c r="R70" s="2401"/>
    </row>
    <row r="71" spans="1:18" ht="20.25" thickBot="1">
      <c r="A71" s="543"/>
      <c r="B71" s="544"/>
      <c r="C71" s="545"/>
      <c r="D71" s="567"/>
      <c r="E71" s="537" t="s">
        <v>396</v>
      </c>
      <c r="F71" s="2387">
        <v>1.4999999999999999E-2</v>
      </c>
      <c r="H71" s="1268"/>
      <c r="M71" s="1268"/>
      <c r="O71" s="2402" t="s">
        <v>2357</v>
      </c>
      <c r="P71" s="2399" t="s">
        <v>2365</v>
      </c>
      <c r="Q71" s="2400">
        <f>L59</f>
        <v>0</v>
      </c>
      <c r="R71" s="2401" t="s">
        <v>2366</v>
      </c>
    </row>
    <row r="72" spans="1:18" ht="20.25" thickBot="1">
      <c r="A72" s="574" t="s">
        <v>48</v>
      </c>
      <c r="B72" s="575" t="s">
        <v>397</v>
      </c>
      <c r="C72" s="576">
        <f ca="1">ROUND(C69/F72,0)</f>
        <v>-1451</v>
      </c>
      <c r="D72" s="577" t="s">
        <v>398</v>
      </c>
      <c r="E72" s="578" t="s">
        <v>399</v>
      </c>
      <c r="F72" s="579">
        <f>F43</f>
        <v>56.82</v>
      </c>
      <c r="O72" s="2402" t="s">
        <v>2384</v>
      </c>
      <c r="P72" s="2399" t="s">
        <v>2367</v>
      </c>
      <c r="Q72" s="2400">
        <f>L60</f>
        <v>0</v>
      </c>
      <c r="R72" s="2401" t="s">
        <v>2368</v>
      </c>
    </row>
    <row r="73" spans="1:18" ht="15.75" thickBot="1">
      <c r="A73" s="1268"/>
      <c r="B73" s="1272"/>
      <c r="C73" s="1272"/>
      <c r="D73" s="1268"/>
      <c r="E73" s="1268"/>
      <c r="F73" s="1268"/>
      <c r="O73" s="2398" t="s">
        <v>2360</v>
      </c>
      <c r="P73" s="2399" t="str">
        <f>IF(C2="元","收益价值(元)","收益价值(万元)")</f>
        <v>收益价值(元)</v>
      </c>
      <c r="Q73" s="2400">
        <f ca="1">ROUND(IF(C2="元",Q63+Q64,(Q63+Q64)/10000),0)</f>
        <v>1906704</v>
      </c>
      <c r="R73" s="2401" t="s">
        <v>2361</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9:R198"/>
  <sheetViews>
    <sheetView topLeftCell="B4" workbookViewId="0">
      <selection activeCell="Q14" sqref="Q14"/>
    </sheetView>
  </sheetViews>
  <sheetFormatPr defaultRowHeight="13.5"/>
  <sheetData>
    <row r="19" spans="15:15">
      <c r="O19" s="3136" t="s">
        <v>2946</v>
      </c>
    </row>
    <row r="124" spans="18:18">
      <c r="R124" s="3136" t="s">
        <v>2947</v>
      </c>
    </row>
    <row r="131" spans="12:18">
      <c r="R131" s="3136" t="s">
        <v>2972</v>
      </c>
    </row>
    <row r="140" spans="12:18">
      <c r="L140" s="3136" t="s">
        <v>3001</v>
      </c>
    </row>
    <row r="198" spans="13:13">
      <c r="M198" s="3136" t="s">
        <v>2947</v>
      </c>
    </row>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62" sqref="A62:A63"/>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1961</v>
      </c>
      <c r="B1" s="1305"/>
      <c r="C1" s="1305"/>
      <c r="D1" s="1305"/>
      <c r="E1" s="1305"/>
    </row>
    <row r="2" spans="1:5" ht="78.75" customHeight="1">
      <c r="A2" s="3139" t="s">
        <v>2726</v>
      </c>
      <c r="B2" s="3139"/>
      <c r="C2" s="3139"/>
      <c r="D2" s="3139"/>
      <c r="E2" s="3139"/>
    </row>
    <row r="3" spans="1:5" ht="13.5" customHeight="1">
      <c r="A3" s="1864"/>
      <c r="B3" s="1864"/>
      <c r="C3" s="1864"/>
      <c r="D3" s="1864"/>
      <c r="E3" s="1864"/>
    </row>
    <row r="4" spans="1:5" ht="19.5" thickBot="1">
      <c r="A4" s="3140" t="s">
        <v>1946</v>
      </c>
      <c r="B4" s="3140"/>
      <c r="C4" s="3140"/>
      <c r="D4" s="3140"/>
      <c r="E4" s="3140"/>
    </row>
    <row r="5" spans="1:5" ht="14.25" customHeight="1" thickTop="1">
      <c r="A5" s="1305"/>
      <c r="B5" s="1793" t="s">
        <v>1856</v>
      </c>
      <c r="C5" s="3141" t="s">
        <v>1968</v>
      </c>
      <c r="D5" s="3142"/>
      <c r="E5" s="1305"/>
    </row>
    <row r="6" spans="1:5" ht="15.75">
      <c r="A6" s="1305"/>
      <c r="B6" s="2029" t="str">
        <f>项目基本情况!I1</f>
        <v>北京市房地产</v>
      </c>
      <c r="C6" s="3143">
        <f>项目基本情况!C12</f>
        <v>56.82</v>
      </c>
      <c r="D6" s="3143"/>
      <c r="E6" s="1305"/>
    </row>
    <row r="7" spans="1:5" ht="15.75">
      <c r="A7" s="1305"/>
      <c r="B7" s="3137" t="s">
        <v>1987</v>
      </c>
      <c r="C7" s="1771" t="str">
        <f>IF('数据-取费表'!B3="万元","总价（万元）","总价（元）")</f>
        <v>总价（元）</v>
      </c>
      <c r="D7" s="3067">
        <f ca="1">IF('数据-取费表'!E3="否",结果表!I102,'结果表 (1修多)'!I103)</f>
        <v>3201125</v>
      </c>
      <c r="E7" s="1305"/>
    </row>
    <row r="8" spans="1:5" ht="31.5">
      <c r="A8" s="1305"/>
      <c r="B8" s="3137"/>
      <c r="C8" s="2813" t="s">
        <v>2746</v>
      </c>
      <c r="D8" s="3104" t="str">
        <f ca="1">IF('数据-取费表'!B3="万元",NUMBERSTRING(INT(D7*10000),2)&amp;"元整",NUMBERSTRING(INT(D7),2)&amp;"元整")</f>
        <v>叁佰贰拾万壹仟壹佰贰拾伍元整</v>
      </c>
      <c r="E8" s="1305"/>
    </row>
    <row r="9" spans="1:5" ht="15.75">
      <c r="A9" s="1305"/>
      <c r="B9" s="3137"/>
      <c r="C9" s="1772" t="s">
        <v>1969</v>
      </c>
      <c r="D9" s="3067">
        <f ca="1">IF('数据-取费表'!E3="否",结果表!I103,'结果表 (1修多)'!I104)</f>
        <v>56338</v>
      </c>
      <c r="E9" s="1305"/>
    </row>
    <row r="10" spans="1:5" ht="15.75">
      <c r="A10" s="1305"/>
      <c r="B10" s="3144" t="str">
        <f>IF('数据-取费表'!E3="否",结果表!F105,'结果表 (1修多)'!F106)</f>
        <v>2.估价师所知悉的法定优先受偿款</v>
      </c>
      <c r="C10" s="1773" t="str">
        <f>IF('数据-取费表'!B3="万元","总额（万元）","总额（元）")</f>
        <v>总额（元）</v>
      </c>
      <c r="D10" s="3067">
        <f>IF('数据-取费表'!E3="否",结果表!I105,'结果表 (1修多)'!I106)</f>
        <v>0</v>
      </c>
      <c r="E10" s="1305"/>
    </row>
    <row r="11" spans="1:5" ht="14.25">
      <c r="A11" s="1305"/>
      <c r="B11" s="3144"/>
      <c r="C11" s="2813" t="s">
        <v>2746</v>
      </c>
      <c r="D11" s="3066" t="str">
        <f>IF('数据-取费表'!B3="万元",NUMBERSTRING(INT(D10*10000),2)&amp;"元整",NUMBERSTRING(INT(D10),2)&amp;"元整")</f>
        <v>零元整</v>
      </c>
      <c r="E11" s="1305"/>
    </row>
    <row r="12" spans="1:5" ht="15">
      <c r="A12" s="1305"/>
      <c r="B12" s="3074" t="s">
        <v>1859</v>
      </c>
      <c r="C12" s="1774" t="str">
        <f>C10</f>
        <v>总额（元）</v>
      </c>
      <c r="D12" s="1766">
        <f>IF('数据-取费表'!E3="否",结果表!I106,'结果表 (1修多)'!I107)</f>
        <v>0</v>
      </c>
      <c r="E12" s="1305"/>
    </row>
    <row r="13" spans="1:5" ht="15">
      <c r="A13" s="1305"/>
      <c r="B13" s="3074" t="s">
        <v>1860</v>
      </c>
      <c r="C13" s="1774" t="str">
        <f>C10</f>
        <v>总额（元）</v>
      </c>
      <c r="D13" s="1766">
        <f>IF('数据-取费表'!E3="否",结果表!I107,'结果表 (1修多)'!I108)</f>
        <v>0</v>
      </c>
      <c r="E13" s="1305"/>
    </row>
    <row r="14" spans="1:5" ht="15">
      <c r="A14" s="1305"/>
      <c r="B14" s="3074" t="s">
        <v>1861</v>
      </c>
      <c r="C14" s="1774" t="str">
        <f>C10</f>
        <v>总额（元）</v>
      </c>
      <c r="D14" s="1766">
        <f>IF('数据-取费表'!E3="否",结果表!I108,'结果表 (1修多)'!I109)</f>
        <v>0</v>
      </c>
      <c r="E14" s="1305"/>
    </row>
    <row r="15" spans="1:5" ht="15.75">
      <c r="A15" s="1305"/>
      <c r="B15" s="3144" t="str">
        <f>IF('数据-取费表'!E3="否",结果表!F110,'结果表 (1修多)'!F111)</f>
        <v>3.房地产抵押价值</v>
      </c>
      <c r="C15" s="3075" t="str">
        <f>C7</f>
        <v>总价（元）</v>
      </c>
      <c r="D15" s="3067">
        <f ca="1">IF('数据-取费表'!E3="否",结果表!I110,'结果表 (1修多)'!I111)</f>
        <v>3201125</v>
      </c>
      <c r="E15" s="1305"/>
    </row>
    <row r="16" spans="1:5" ht="31.5">
      <c r="A16" s="1305"/>
      <c r="B16" s="3144"/>
      <c r="C16" s="2813" t="s">
        <v>2746</v>
      </c>
      <c r="D16" s="3073" t="str">
        <f ca="1">IF('数据-取费表'!B3="万元",NUMBERSTRING(INT(D15*10000),2)&amp;"元整",NUMBERSTRING(INT(D15),2)&amp;"元整")</f>
        <v>叁佰贰拾万壹仟壹佰贰拾伍元整</v>
      </c>
      <c r="E16" s="1305"/>
    </row>
    <row r="17" spans="1:5" ht="15.75">
      <c r="A17" s="1305"/>
      <c r="B17" s="3144"/>
      <c r="C17" s="1772" t="s">
        <v>1969</v>
      </c>
      <c r="D17" s="3067">
        <f ca="1">IF('数据-取费表'!E3="否",结果表!I111,'结果表 (1修多)'!I112)</f>
        <v>56338</v>
      </c>
      <c r="E17" s="1305"/>
    </row>
    <row r="18" spans="1:5" ht="15.75">
      <c r="A18" s="1305"/>
      <c r="B18" s="3144" t="str">
        <f>IF('数据-取费表'!E3="否",结果表!F112,'结果表 (1修多)'!F113)</f>
        <v>——</v>
      </c>
      <c r="C18" s="3075" t="str">
        <f>C7</f>
        <v>总价（元）</v>
      </c>
      <c r="D18" s="3067" t="str">
        <f>IF('数据-取费表'!E3="否",结果表!I112,'结果表 (1修多)'!I113)</f>
        <v>——</v>
      </c>
      <c r="E18" s="1305"/>
    </row>
    <row r="19" spans="1:5" ht="14.25">
      <c r="A19" s="1305"/>
      <c r="B19" s="3144"/>
      <c r="C19" s="2813" t="s">
        <v>2746</v>
      </c>
      <c r="D19" s="3068" t="e">
        <f>IF('数据-取费表'!B3="万元",NUMBERSTRING(INT(D18*10000),2)&amp;"元整",NUMBERSTRING(INT(D18),2)&amp;"元整")</f>
        <v>#VALUE!</v>
      </c>
      <c r="E19" s="1305"/>
    </row>
    <row r="20" spans="1:5" ht="15.75">
      <c r="A20" s="1305"/>
      <c r="B20" s="3144"/>
      <c r="C20" s="1772" t="s">
        <v>1969</v>
      </c>
      <c r="D20" s="3067" t="str">
        <f>IF('数据-取费表'!E3="否",结果表!I113,'结果表 (1修多)'!I114)</f>
        <v>——</v>
      </c>
      <c r="E20" s="1305"/>
    </row>
    <row r="21" spans="1:5" ht="15.75">
      <c r="A21" s="1305"/>
      <c r="B21" s="3137" t="str">
        <f>IF('数据-取费表'!E3="否",结果表!F114,'结果表 (1修多)'!F115)</f>
        <v>——</v>
      </c>
      <c r="C21" s="1771" t="str">
        <f>C7</f>
        <v>总价（元）</v>
      </c>
      <c r="D21" s="3067" t="str">
        <f>IF('数据-取费表'!E3="否",结果表!I114,'结果表 (1修多)'!I115)</f>
        <v>——</v>
      </c>
      <c r="E21" s="1305"/>
    </row>
    <row r="22" spans="1:5" ht="14.25">
      <c r="A22" s="1305"/>
      <c r="B22" s="3137"/>
      <c r="C22" s="2813" t="s">
        <v>2746</v>
      </c>
      <c r="D22" s="3066" t="e">
        <f>IF('数据-取费表'!B3="万元",NUMBERSTRING(INT(D21*10000),2)&amp;"元整",NUMBERSTRING(INT(D21),2)&amp;"元整")</f>
        <v>#VALUE!</v>
      </c>
      <c r="E22" s="1305"/>
    </row>
    <row r="23" spans="1:5" ht="15.75" thickBot="1">
      <c r="A23" s="1305"/>
      <c r="B23" s="3138"/>
      <c r="C23" s="1775" t="s">
        <v>1969</v>
      </c>
      <c r="D23" s="3076" t="str">
        <f ca="1">IF('数据-取费表'!E3="否",结果表!I115,'结果表 (1修多)'!I116)</f>
        <v>——</v>
      </c>
      <c r="E23" s="1305"/>
    </row>
    <row r="24" spans="1:5" ht="14.25" thickTop="1">
      <c r="A24" s="1305"/>
      <c r="B24" s="1305"/>
      <c r="C24" s="1305"/>
      <c r="D24" s="1305"/>
      <c r="E24" s="1305"/>
    </row>
    <row r="25" spans="1:5" ht="18.75" customHeight="1" thickBot="1">
      <c r="A25" s="1305"/>
      <c r="B25" s="3152" t="s">
        <v>2721</v>
      </c>
      <c r="C25" s="3152"/>
      <c r="D25" s="3152"/>
      <c r="E25" s="1305"/>
    </row>
    <row r="26" spans="1:5" ht="18.75" customHeight="1" thickTop="1">
      <c r="A26" s="1305"/>
      <c r="B26" s="3155" t="s">
        <v>2745</v>
      </c>
      <c r="C26" s="3156"/>
      <c r="D26" s="3153" t="s">
        <v>2744</v>
      </c>
      <c r="E26" s="1305"/>
    </row>
    <row r="27" spans="1:5" ht="18.75" customHeight="1">
      <c r="A27" s="1305"/>
      <c r="B27" s="3157"/>
      <c r="C27" s="3158"/>
      <c r="D27" s="3154"/>
      <c r="E27" s="1305"/>
    </row>
    <row r="28" spans="1:5" ht="15.75">
      <c r="A28" s="1305"/>
      <c r="B28" s="3145" t="s">
        <v>1987</v>
      </c>
      <c r="C28" s="2831" t="s">
        <v>2747</v>
      </c>
      <c r="D28" s="2832">
        <f ca="1">IF('数据-取费表'!E3="否",结果表!I102,'结果表 (1修多)'!I103)</f>
        <v>3201125</v>
      </c>
      <c r="E28" s="1305"/>
    </row>
    <row r="29" spans="1:5" ht="28.5">
      <c r="A29" s="1305"/>
      <c r="B29" s="3146"/>
      <c r="C29" s="2833" t="s">
        <v>2746</v>
      </c>
      <c r="D29" s="2834" t="str">
        <f ca="1">IF('数据-取费表'!B3="万元",NUMBERSTRING(INT(D28*10000),2)&amp;"元整",NUMBERSTRING(INT(D28),2)&amp;"元整")</f>
        <v>叁佰贰拾万壹仟壹佰贰拾伍元整</v>
      </c>
      <c r="E29" s="1305"/>
    </row>
    <row r="30" spans="1:5" ht="15">
      <c r="A30" s="1305"/>
      <c r="B30" s="3147"/>
      <c r="C30" s="1772" t="s">
        <v>2749</v>
      </c>
      <c r="D30" s="2809">
        <f ca="1">IF('数据-取费表'!E3="否",结果表!I103,'结果表 (1修多)'!I104)</f>
        <v>56338</v>
      </c>
      <c r="E30" s="1305"/>
    </row>
    <row r="31" spans="1:5" ht="15.75">
      <c r="A31" s="1305"/>
      <c r="B31" s="3150" t="str">
        <f>B10</f>
        <v>2.估价师所知悉的法定优先受偿款</v>
      </c>
      <c r="C31" s="2812" t="s">
        <v>2748</v>
      </c>
      <c r="D31" s="2810">
        <f>IF('数据-取费表'!E3="否",结果表!I105,'结果表 (1修多)'!I106)</f>
        <v>0</v>
      </c>
      <c r="E31" s="1305"/>
    </row>
    <row r="32" spans="1:5" ht="14.25">
      <c r="A32" s="1305"/>
      <c r="B32" s="3159"/>
      <c r="C32" s="2833" t="s">
        <v>2746</v>
      </c>
      <c r="D32" s="2835" t="str">
        <f>IF('数据-取费表'!B3="万元",NUMBERSTRING(INT(D31*10000),2)&amp;"元整",NUMBERSTRING(INT(D31),2)&amp;"元整")</f>
        <v>零元整</v>
      </c>
      <c r="E32" s="1305"/>
    </row>
    <row r="33" spans="1:5" ht="15">
      <c r="A33" s="1305"/>
      <c r="B33" s="2813" t="s">
        <v>2718</v>
      </c>
      <c r="C33" s="2813" t="str">
        <f>C31</f>
        <v>总额</v>
      </c>
      <c r="D33" s="2809">
        <f>IF('数据-取费表'!E3="否",结果表!I106,'结果表 (1修多)'!I107)</f>
        <v>0</v>
      </c>
      <c r="E33" s="1305"/>
    </row>
    <row r="34" spans="1:5" ht="15">
      <c r="A34" s="1305"/>
      <c r="B34" s="2813" t="s">
        <v>2719</v>
      </c>
      <c r="C34" s="2813" t="str">
        <f>C31</f>
        <v>总额</v>
      </c>
      <c r="D34" s="2809">
        <f>IF('数据-取费表'!E3="否",结果表!I107,'结果表 (1修多)'!I108)</f>
        <v>0</v>
      </c>
      <c r="E34" s="1305"/>
    </row>
    <row r="35" spans="1:5" ht="15">
      <c r="A35" s="1305"/>
      <c r="B35" s="2813" t="s">
        <v>2720</v>
      </c>
      <c r="C35" s="2813" t="str">
        <f>C31</f>
        <v>总额</v>
      </c>
      <c r="D35" s="2809">
        <f>IF('数据-取费表'!E3="否",结果表!I108,'结果表 (1修多)'!I109)</f>
        <v>0</v>
      </c>
      <c r="E35" s="1305"/>
    </row>
    <row r="36" spans="1:5" ht="15.75">
      <c r="A36" s="1305"/>
      <c r="B36" s="3148" t="str">
        <f>B15</f>
        <v>3.房地产抵押价值</v>
      </c>
      <c r="C36" s="2812" t="str">
        <f>C28</f>
        <v>总价</v>
      </c>
      <c r="D36" s="2810">
        <f ca="1">IF('数据-取费表'!E3="否",结果表!I110,'结果表 (1修多)'!I111)</f>
        <v>3201125</v>
      </c>
      <c r="E36" s="1305"/>
    </row>
    <row r="37" spans="1:5" ht="28.5">
      <c r="A37" s="1305"/>
      <c r="B37" s="3148"/>
      <c r="C37" s="2833" t="s">
        <v>2746</v>
      </c>
      <c r="D37" s="2835" t="str">
        <f ca="1">IF('数据-取费表'!B3="万元",NUMBERSTRING(INT(D36*10000),2)&amp;"元整",NUMBERSTRING(INT(D36),2)&amp;"元整")</f>
        <v>叁佰贰拾万壹仟壹佰贰拾伍元整</v>
      </c>
      <c r="E37" s="1305"/>
    </row>
    <row r="38" spans="1:5" ht="15">
      <c r="A38" s="1305"/>
      <c r="B38" s="3148"/>
      <c r="C38" s="1772" t="s">
        <v>2750</v>
      </c>
      <c r="D38" s="2809">
        <f ca="1">IF('数据-取费表'!E3="否",结果表!D113,'结果表 (1修多)'!D116)</f>
        <v>56338</v>
      </c>
      <c r="E38" s="1305"/>
    </row>
    <row r="39" spans="1:5" ht="15.75">
      <c r="A39" s="1305"/>
      <c r="B39" s="3149" t="str">
        <f>B18</f>
        <v>——</v>
      </c>
      <c r="C39" s="2812" t="str">
        <f>C28</f>
        <v>总价</v>
      </c>
      <c r="D39" s="2810" t="str">
        <f>IF('数据-取费表'!E3="否",结果表!I112,'结果表 (1修多)'!I113)</f>
        <v>——</v>
      </c>
      <c r="E39" s="1305"/>
    </row>
    <row r="40" spans="1:5" ht="14.25">
      <c r="A40" s="1305"/>
      <c r="B40" s="3149"/>
      <c r="C40" s="2833" t="s">
        <v>2746</v>
      </c>
      <c r="D40" s="2835" t="e">
        <f>IF('数据-取费表'!B3="万元",NUMBERSTRING(INT(D39*10000),2)&amp;"元整",NUMBERSTRING(INT(D39),2)&amp;"元整")</f>
        <v>#VALUE!</v>
      </c>
      <c r="E40" s="1305"/>
    </row>
    <row r="41" spans="1:5" ht="15">
      <c r="A41" s="1305"/>
      <c r="B41" s="3149"/>
      <c r="C41" s="1772" t="s">
        <v>2750</v>
      </c>
      <c r="D41" s="2809" t="str">
        <f>IF('数据-取费表'!E3="否",结果表!D115,'结果表 (1修多)'!D118)</f>
        <v>——</v>
      </c>
      <c r="E41" s="1305"/>
    </row>
    <row r="42" spans="1:5" ht="15.75">
      <c r="A42" s="1305"/>
      <c r="B42" s="3148" t="str">
        <f>B21</f>
        <v>——</v>
      </c>
      <c r="C42" s="2812" t="str">
        <f>C28</f>
        <v>总价</v>
      </c>
      <c r="D42" s="2810" t="str">
        <f>IF('数据-取费表'!E3="否",结果表!I114,'结果表 (1修多)'!I115)</f>
        <v>——</v>
      </c>
      <c r="E42" s="1305"/>
    </row>
    <row r="43" spans="1:5" ht="14.25">
      <c r="A43" s="1305"/>
      <c r="B43" s="3150"/>
      <c r="C43" s="2833" t="s">
        <v>2746</v>
      </c>
      <c r="D43" s="2836" t="e">
        <f>IF('数据-取费表'!B3="万元",NUMBERSTRING(INT(D42*10000),2)&amp;"元整",NUMBERSTRING(INT(D42),2)&amp;"元整")</f>
        <v>#VALUE!</v>
      </c>
      <c r="E43" s="1305"/>
    </row>
    <row r="44" spans="1:5" ht="15.75" thickBot="1">
      <c r="A44" s="1305"/>
      <c r="B44" s="3151"/>
      <c r="C44" s="1775" t="s">
        <v>2750</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6" t="s">
        <v>1970</v>
      </c>
      <c r="B1" s="3166"/>
      <c r="C1" s="3166"/>
      <c r="D1" s="3166"/>
      <c r="E1" s="3166"/>
      <c r="F1" s="3166"/>
      <c r="G1" s="3166"/>
      <c r="H1" s="3166"/>
      <c r="I1" s="3166"/>
    </row>
    <row r="2" spans="1:9" ht="30" customHeight="1" thickTop="1">
      <c r="A2" s="3167" t="s">
        <v>3</v>
      </c>
      <c r="B2" s="3167" t="s">
        <v>1883</v>
      </c>
      <c r="C2" s="3167" t="s">
        <v>2739</v>
      </c>
      <c r="D2" s="3167" t="str">
        <f>IF('数据-取费表'!E3="否",结果表!D119,'结果表 (1修多)'!D122)</f>
        <v>出让国有建设用地使用权价值</v>
      </c>
      <c r="E2" s="3167"/>
      <c r="F2" s="3167" t="s">
        <v>682</v>
      </c>
      <c r="G2" s="3167"/>
      <c r="H2" s="3167" t="s">
        <v>4</v>
      </c>
      <c r="I2" s="3167"/>
    </row>
    <row r="3" spans="1:9" ht="14.25">
      <c r="A3" s="3162"/>
      <c r="B3" s="3162"/>
      <c r="C3" s="3162"/>
      <c r="D3" s="1727" t="s">
        <v>5</v>
      </c>
      <c r="E3" s="1727" t="s">
        <v>701</v>
      </c>
      <c r="F3" s="1727" t="s">
        <v>5</v>
      </c>
      <c r="G3" s="1727" t="s">
        <v>6</v>
      </c>
      <c r="H3" s="1727" t="s">
        <v>5</v>
      </c>
      <c r="I3" s="1727" t="s">
        <v>6</v>
      </c>
    </row>
    <row r="4" spans="1:9" ht="46.5" customHeight="1">
      <c r="A4" s="1727" t="str">
        <f>项目基本情况!I1</f>
        <v>北京市房地产</v>
      </c>
      <c r="B4" s="1766">
        <f>结果表!B121</f>
        <v>56.82</v>
      </c>
      <c r="C4" s="1766">
        <f>结果表!C121</f>
        <v>0</v>
      </c>
      <c r="D4" s="1766">
        <f ca="1">IF('数据-取费表'!E3="否",结果表!D121,'结果表 (1修多)'!D124)</f>
        <v>2996232</v>
      </c>
      <c r="E4" s="1766">
        <f ca="1">IF('数据-取费表'!E3="否",结果表!E121,'结果表 (1修多)'!E124)</f>
        <v>52732</v>
      </c>
      <c r="F4" s="1766">
        <f ca="1">IF('数据-取费表'!E3="否",结果表!F121,'结果表 (1修多)'!F124)</f>
        <v>204893</v>
      </c>
      <c r="G4" s="1766">
        <f ca="1">IF('数据-取费表'!E3="否",结果表!G121,'结果表 (1修多)'!G124)</f>
        <v>3606</v>
      </c>
      <c r="H4" s="1766">
        <f ca="1">IF('数据-取费表'!E3="否",结果表!H121,'结果表 (1修多)'!H124)</f>
        <v>3201125</v>
      </c>
      <c r="I4" s="1766">
        <f ca="1">IF('数据-取费表'!E3="否",结果表!I121,'结果表 (1修多)'!I124)</f>
        <v>56338</v>
      </c>
    </row>
    <row r="5" spans="1:9" ht="14.25">
      <c r="A5" s="3162" t="s">
        <v>7</v>
      </c>
      <c r="B5" s="3162"/>
      <c r="C5" s="3162"/>
      <c r="D5" s="3160" t="str">
        <f ca="1">IF('数据-取费表'!E3="否",结果表!D122,'结果表 (1修多)'!D125)</f>
        <v>贰佰玖拾玖万陆仟贰佰叁拾贰元整</v>
      </c>
      <c r="E5" s="3160"/>
      <c r="F5" s="3160" t="str">
        <f ca="1">IF('数据-取费表'!E3="否",结果表!F122,'结果表 (1修多)'!F125)</f>
        <v>贰拾万肆仟捌佰玖拾叁元整</v>
      </c>
      <c r="G5" s="3160"/>
      <c r="H5" s="3160" t="str">
        <f ca="1">IF('数据-取费表'!E3="否",结果表!H122,'结果表 (1修多)'!H125)</f>
        <v>叁佰贰拾万壹仟壹佰贰拾伍元整</v>
      </c>
      <c r="I5" s="3160"/>
    </row>
    <row r="6" spans="1:9" ht="15.75">
      <c r="A6" s="3161" t="str">
        <f>IF('数据-取费表'!E3="否",结果表!A123,'结果表 (1修多)'!A126)</f>
        <v>估价师所知悉的法定优先受偿款</v>
      </c>
      <c r="B6" s="3161"/>
      <c r="C6" s="3161"/>
      <c r="D6" s="3143">
        <f>IF('数据-取费表'!E3="否",结果表!D123,'结果表 (1修多)'!D126)</f>
        <v>0</v>
      </c>
      <c r="E6" s="3143"/>
      <c r="F6" s="3143"/>
      <c r="G6" s="3143"/>
      <c r="H6" s="3143"/>
      <c r="I6" s="3143"/>
    </row>
    <row r="7" spans="1:9" ht="14.25">
      <c r="A7" s="3162" t="s">
        <v>7</v>
      </c>
      <c r="B7" s="3162"/>
      <c r="C7" s="3162"/>
      <c r="D7" s="3163">
        <f>IF('数据-取费表'!E3="否",结果表!D124,'结果表 (1修多)'!D127)</f>
        <v>0</v>
      </c>
      <c r="E7" s="3164"/>
      <c r="F7" s="3164"/>
      <c r="G7" s="3164"/>
      <c r="H7" s="3164"/>
      <c r="I7" s="3165"/>
    </row>
    <row r="8" spans="1:9" ht="15.75">
      <c r="A8" s="3161" t="str">
        <f>IF('数据-取费表'!E3="否",结果表!A125,'结果表 (1修多)'!A128)</f>
        <v>房地产抵押价值</v>
      </c>
      <c r="B8" s="3161"/>
      <c r="C8" s="3161"/>
      <c r="D8" s="3143">
        <f ca="1">IF('数据-取费表'!E3="否",结果表!D125,'结果表 (1修多)'!D128)</f>
        <v>3201125</v>
      </c>
      <c r="E8" s="3143"/>
      <c r="F8" s="3143"/>
      <c r="G8" s="3143"/>
      <c r="H8" s="3143"/>
      <c r="I8" s="3143"/>
    </row>
    <row r="9" spans="1:9" ht="14.25">
      <c r="A9" s="3162" t="s">
        <v>7</v>
      </c>
      <c r="B9" s="3162"/>
      <c r="C9" s="3162"/>
      <c r="D9" s="3160">
        <f ca="1">IF('数据-取费表'!E3="否",结果表!D126,'结果表 (1修多)'!D129)</f>
        <v>56338</v>
      </c>
      <c r="E9" s="3160"/>
      <c r="F9" s="3160"/>
      <c r="G9" s="3160"/>
      <c r="H9" s="3160"/>
      <c r="I9" s="3160"/>
    </row>
    <row r="10" spans="1:9" ht="15.75">
      <c r="A10" s="3161" t="str">
        <f>IF('数据-取费表'!E3="否",结果表!A127,'结果表 (1修多)'!A130)</f>
        <v/>
      </c>
      <c r="B10" s="3161"/>
      <c r="C10" s="3161"/>
      <c r="D10" s="3143" t="str">
        <f>IF('数据-取费表'!E3="否",结果表!D127,'结果表 (1修多)'!D129)</f>
        <v>——</v>
      </c>
      <c r="E10" s="3143"/>
      <c r="F10" s="3143"/>
      <c r="G10" s="3143"/>
      <c r="H10" s="3143"/>
      <c r="I10" s="3143"/>
    </row>
    <row r="11" spans="1:9" ht="14.25">
      <c r="A11" s="3162" t="s">
        <v>7</v>
      </c>
      <c r="B11" s="3162"/>
      <c r="C11" s="3162"/>
      <c r="D11" s="3160" t="str">
        <f>IF('数据-取费表'!E3="否",结果表!D128,'结果表 (1修多)'!D131)</f>
        <v>——</v>
      </c>
      <c r="E11" s="3160"/>
      <c r="F11" s="3160"/>
      <c r="G11" s="3160"/>
      <c r="H11" s="3160"/>
      <c r="I11" s="3160"/>
    </row>
    <row r="12" spans="1:9" ht="15.75">
      <c r="A12" s="3161" t="str">
        <f>IF('数据-取费表'!E3="否",结果表!A129,'结果表 (1修多)'!A132)</f>
        <v/>
      </c>
      <c r="B12" s="3161"/>
      <c r="C12" s="3161"/>
      <c r="D12" s="3143" t="str">
        <f>IF('数据-取费表'!E3="否",结果表!D129,'结果表 (1修多)'!D132)</f>
        <v>——</v>
      </c>
      <c r="E12" s="3143"/>
      <c r="F12" s="3143"/>
      <c r="G12" s="3143"/>
      <c r="H12" s="3143"/>
      <c r="I12" s="3143"/>
    </row>
    <row r="13" spans="1:9" ht="15" thickBot="1">
      <c r="A13" s="3168" t="s">
        <v>7</v>
      </c>
      <c r="B13" s="3168"/>
      <c r="C13" s="3168"/>
      <c r="D13" s="3169">
        <f>IF('数据-取费表'!E3="否",结果表!D130,'结果表 (1修多)'!D133)</f>
        <v>0</v>
      </c>
      <c r="E13" s="3169"/>
      <c r="F13" s="3169"/>
      <c r="G13" s="3169"/>
      <c r="H13" s="3169"/>
      <c r="I13" s="3169"/>
    </row>
    <row r="14" spans="1:9" ht="14.25" thickTop="1">
      <c r="A14" s="3170" t="str">
        <f>IF('数据-取费表'!E3="否",结果表!A131,'结果表 (1修多)'!A134)</f>
        <v>单位：平方米、元、元/平方米（币种：人民币）</v>
      </c>
      <c r="B14" s="3170"/>
      <c r="C14" s="3170"/>
      <c r="D14" s="3170"/>
      <c r="E14" s="3170"/>
      <c r="F14" s="3170"/>
      <c r="G14" s="3170"/>
      <c r="H14" s="3170"/>
      <c r="I14" s="3170"/>
    </row>
    <row r="15" spans="1:9">
      <c r="A15" s="1305"/>
      <c r="B15" s="1305"/>
      <c r="C15" s="1305"/>
      <c r="D15" s="1305"/>
      <c r="E15" s="1305"/>
      <c r="F15" s="1305"/>
      <c r="G15" s="1305"/>
      <c r="H15" s="1305"/>
      <c r="I15" s="1305"/>
    </row>
    <row r="16" spans="1:9" ht="18.75">
      <c r="A16" s="1003" t="s">
        <v>1986</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6" t="s">
        <v>2751</v>
      </c>
      <c r="B1" s="3176"/>
      <c r="C1" s="3176"/>
      <c r="D1" s="3176"/>
    </row>
    <row r="2" spans="1:4" ht="18.75">
      <c r="A2" s="3175" t="s">
        <v>1988</v>
      </c>
      <c r="B2" s="3175"/>
      <c r="C2" s="3175"/>
      <c r="D2" s="3175"/>
    </row>
    <row r="3" spans="1:4" ht="18.75">
      <c r="A3" s="2426" t="s">
        <v>1989</v>
      </c>
      <c r="B3" s="2426" t="s">
        <v>1990</v>
      </c>
      <c r="C3" s="2426" t="s">
        <v>1991</v>
      </c>
      <c r="D3" s="2426" t="s">
        <v>1992</v>
      </c>
    </row>
    <row r="4" spans="1:4" ht="56.25" customHeight="1">
      <c r="A4" s="2427" t="str">
        <f>项目基本情况!B3</f>
        <v>陈颖</v>
      </c>
      <c r="B4" s="2428">
        <f ca="1">项目基本情况!C3</f>
        <v>1120060040</v>
      </c>
      <c r="C4" s="2431"/>
      <c r="D4" s="2429" t="s">
        <v>1996</v>
      </c>
    </row>
    <row r="5" spans="1:4" ht="56.25" customHeight="1">
      <c r="A5" s="2427" t="str">
        <f>项目基本情况!D3</f>
        <v>叶凌</v>
      </c>
      <c r="B5" s="2428">
        <f ca="1">项目基本情况!E3</f>
        <v>1119970111</v>
      </c>
      <c r="C5" s="2432"/>
      <c r="D5" s="2429" t="s">
        <v>1996</v>
      </c>
    </row>
    <row r="6" spans="1:4" ht="12" customHeight="1">
      <c r="A6" s="2427"/>
      <c r="B6" s="2428"/>
      <c r="C6" s="2658"/>
      <c r="D6" s="2429"/>
    </row>
    <row r="7" spans="1:4" ht="18.75">
      <c r="A7" s="3175" t="s">
        <v>2519</v>
      </c>
      <c r="B7" s="3175"/>
      <c r="C7" s="3175"/>
      <c r="D7" s="3175"/>
    </row>
    <row r="8" spans="1:4" ht="18.75">
      <c r="A8" s="2426" t="s">
        <v>1989</v>
      </c>
      <c r="B8" s="2428" t="s">
        <v>1994</v>
      </c>
      <c r="C8" s="2426" t="s">
        <v>1991</v>
      </c>
      <c r="D8" s="2426" t="s">
        <v>1992</v>
      </c>
    </row>
    <row r="9" spans="1:4" ht="56.25" customHeight="1">
      <c r="A9" s="2430" t="s">
        <v>1993</v>
      </c>
      <c r="B9" s="2430" t="s">
        <v>1995</v>
      </c>
      <c r="C9" s="2431"/>
      <c r="D9" s="2429" t="s">
        <v>1996</v>
      </c>
    </row>
    <row r="11" spans="1:4" ht="18.75">
      <c r="A11" s="1798" t="s">
        <v>1981</v>
      </c>
    </row>
    <row r="12" spans="1:4" ht="30" customHeight="1">
      <c r="A12" s="3177" t="s">
        <v>2579</v>
      </c>
      <c r="B12" s="3178"/>
      <c r="C12" s="3178"/>
      <c r="D12" s="3178"/>
    </row>
    <row r="13" spans="1:4" ht="14.25">
      <c r="A13" s="3171" t="str">
        <f>IF(项目基本情况!D4="抵押","2.本《评估意见函》仅供金融机构进行内部审核使用，不做其他目的之用。","——")</f>
        <v>——</v>
      </c>
      <c r="B13" s="3173"/>
      <c r="C13" s="3173"/>
      <c r="D13" s="3173"/>
    </row>
    <row r="14" spans="1:4" ht="30" customHeight="1">
      <c r="A14" s="3171" t="str">
        <f>IF(项目基本情况!D4="抵押","3.抵押双方在办理抵押登记手续时，应使用本公司出具的正式《房地产评估报告》，特提醒报告使用者注意。","——")</f>
        <v>——</v>
      </c>
      <c r="B14" s="3173"/>
      <c r="C14" s="3173"/>
      <c r="D14" s="3173"/>
    </row>
    <row r="15" spans="1:4" ht="15.75" customHeight="1">
      <c r="A15" s="3171" t="str">
        <f>IF(项目基本情况!D4="抵押","4.本次评估估价师所知悉的法定优先受偿款情况说明如下：","——")</f>
        <v>——</v>
      </c>
      <c r="B15" s="3173"/>
      <c r="C15" s="3173"/>
      <c r="D15" s="3173"/>
    </row>
    <row r="16" spans="1:4" ht="75" customHeight="1">
      <c r="A16" s="3171" t="str">
        <f>IF(项目基本情况!D4="抵押",CONCATENATE(项目基本情况!J13,项目基本情况!J14,项目基本情况!J15),"——")</f>
        <v>——</v>
      </c>
      <c r="B16" s="3171"/>
      <c r="C16" s="3171"/>
      <c r="D16" s="3171"/>
    </row>
    <row r="17" spans="1:4" ht="63.75" customHeight="1">
      <c r="A17" s="3174" t="s">
        <v>2007</v>
      </c>
      <c r="B17" s="3174"/>
      <c r="C17" s="3174"/>
      <c r="D17" s="3174"/>
    </row>
    <row r="18" spans="1:4" ht="15.75" customHeight="1">
      <c r="A18" s="3171" t="str">
        <f>IF(项目基本情况!D4="抵押",结果表!K106,"——")</f>
        <v>——</v>
      </c>
      <c r="B18" s="3171"/>
      <c r="C18" s="3171"/>
      <c r="D18" s="3171"/>
    </row>
    <row r="19" spans="1:4" ht="46.5" customHeight="1">
      <c r="A19" s="3171"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71"/>
      <c r="C19" s="3171"/>
      <c r="D19" s="3171"/>
    </row>
    <row r="20" spans="1:4" ht="15">
      <c r="A20" s="3172" t="s">
        <v>2723</v>
      </c>
      <c r="B20" s="3172"/>
      <c r="C20" s="3172"/>
      <c r="D20" s="3172"/>
    </row>
    <row r="21" spans="1:4">
      <c r="A21" s="1865"/>
      <c r="B21" s="1866"/>
      <c r="C21" s="1866"/>
      <c r="D21" s="1866"/>
    </row>
    <row r="22" spans="1:4">
      <c r="A22" s="1865"/>
      <c r="B22" s="1866"/>
      <c r="C22" s="1866"/>
      <c r="D22" s="1866"/>
    </row>
    <row r="23" spans="1:4" ht="18.75">
      <c r="A23" s="1752" t="s">
        <v>2722</v>
      </c>
    </row>
    <row r="24" spans="1:4" ht="18.75">
      <c r="A24" s="1752"/>
    </row>
    <row r="25" spans="1:4" ht="18.75">
      <c r="A25" s="1752" t="s">
        <v>1982</v>
      </c>
    </row>
    <row r="28" spans="1:4" ht="21" customHeight="1">
      <c r="D28" s="1792" t="s">
        <v>1983</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1047</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4" t="s">
        <v>558</v>
      </c>
      <c r="B15" s="3179" t="s">
        <v>1048</v>
      </c>
      <c r="C15" s="3180"/>
    </row>
    <row r="16" spans="1:7" ht="13.5">
      <c r="A16" s="3185"/>
      <c r="B16" s="3179" t="s">
        <v>544</v>
      </c>
      <c r="C16" s="3180"/>
    </row>
    <row r="17" spans="1:3" ht="13.5">
      <c r="A17" s="3185"/>
      <c r="B17" s="3179" t="s">
        <v>1900</v>
      </c>
      <c r="C17" s="3180"/>
    </row>
    <row r="18" spans="1:3" ht="13.5">
      <c r="A18" s="3186"/>
      <c r="B18" s="3181" t="s">
        <v>559</v>
      </c>
      <c r="C18" s="3180"/>
    </row>
    <row r="19" spans="1:3" ht="13.5">
      <c r="A19" s="1015" t="s">
        <v>560</v>
      </c>
      <c r="B19" s="1016"/>
      <c r="C19" s="1017"/>
    </row>
    <row r="20" spans="1:3" ht="13.5">
      <c r="A20" s="3182" t="s">
        <v>561</v>
      </c>
      <c r="B20" s="3181" t="s">
        <v>562</v>
      </c>
      <c r="C20" s="3180"/>
    </row>
    <row r="21" spans="1:3" ht="13.5">
      <c r="A21" s="3182"/>
      <c r="B21" s="3181" t="s">
        <v>563</v>
      </c>
      <c r="C21" s="3180"/>
    </row>
    <row r="22" spans="1:3" ht="13.5">
      <c r="A22" s="3182"/>
      <c r="B22" s="3181" t="s">
        <v>564</v>
      </c>
      <c r="C22" s="3180"/>
    </row>
    <row r="23" spans="1:3" ht="13.5">
      <c r="A23" s="3182"/>
      <c r="B23" s="3183" t="s">
        <v>565</v>
      </c>
      <c r="C23" s="1014" t="s">
        <v>566</v>
      </c>
    </row>
    <row r="24" spans="1:3" ht="13.5">
      <c r="A24" s="3182"/>
      <c r="B24" s="3183"/>
      <c r="C24" s="1014" t="s">
        <v>567</v>
      </c>
    </row>
    <row r="25" spans="1:3" ht="13.5">
      <c r="A25" s="3182"/>
      <c r="B25" s="3183"/>
      <c r="C25" s="1014" t="s">
        <v>568</v>
      </c>
    </row>
    <row r="26" spans="1:3" ht="13.5">
      <c r="A26" s="3182"/>
      <c r="B26" s="3183"/>
      <c r="C26" s="1014" t="s">
        <v>569</v>
      </c>
    </row>
    <row r="27" spans="1:3" ht="13.5">
      <c r="A27" s="3182"/>
      <c r="B27" s="3183"/>
      <c r="C27" s="1014" t="s">
        <v>570</v>
      </c>
    </row>
    <row r="28" spans="1:3" ht="13.5">
      <c r="A28" s="3182"/>
      <c r="B28" s="3183"/>
      <c r="C28" s="1014" t="s">
        <v>571</v>
      </c>
    </row>
    <row r="29" spans="1:3" ht="13.5">
      <c r="A29" s="3182"/>
      <c r="B29" s="3183"/>
      <c r="C29" s="1014" t="s">
        <v>572</v>
      </c>
    </row>
    <row r="30" spans="1:3" ht="13.5">
      <c r="A30" s="3182"/>
      <c r="B30" s="3183"/>
      <c r="C30" s="1014" t="s">
        <v>573</v>
      </c>
    </row>
    <row r="31" spans="1:3" ht="13.5">
      <c r="A31" s="3182"/>
      <c r="B31" s="3183"/>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A62" sqref="A62:A6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1907</v>
      </c>
      <c r="B2" s="1729">
        <f ca="1">TODAY()</f>
        <v>42944</v>
      </c>
      <c r="C2" s="1730" t="s">
        <v>1908</v>
      </c>
      <c r="D2" s="1730"/>
      <c r="E2" s="1730"/>
    </row>
    <row r="3" spans="1:8" ht="24" customHeight="1">
      <c r="A3" s="1732" t="s">
        <v>1909</v>
      </c>
      <c r="B3" s="1733" t="s">
        <v>1910</v>
      </c>
      <c r="C3" s="1733" t="s">
        <v>1911</v>
      </c>
      <c r="D3" s="1761" t="s">
        <v>1947</v>
      </c>
      <c r="E3" s="1734" t="s">
        <v>1912</v>
      </c>
      <c r="F3" s="1735" t="s">
        <v>1913</v>
      </c>
      <c r="G3" s="1733" t="s">
        <v>1911</v>
      </c>
      <c r="H3" s="1761" t="s">
        <v>1948</v>
      </c>
    </row>
    <row r="4" spans="1:8" ht="24" customHeight="1">
      <c r="A4" s="2993" t="s">
        <v>1914</v>
      </c>
      <c r="B4" s="1735">
        <f ca="1">IF(C4&lt;B2,"已过期",1119970066)</f>
        <v>1119970066</v>
      </c>
      <c r="C4" s="2994">
        <v>43849</v>
      </c>
      <c r="D4" s="2995" t="str">
        <f ca="1">A4&amp;"（注册号："&amp;B4&amp;"）"</f>
        <v>梁津（注册号：1119970066）</v>
      </c>
      <c r="E4" s="2993" t="s">
        <v>1914</v>
      </c>
      <c r="F4" s="1735">
        <f ca="1">IF(G4&lt;B2,"已过期",96010014)</f>
        <v>96010014</v>
      </c>
      <c r="G4" s="1743">
        <v>47118</v>
      </c>
      <c r="H4" s="2996" t="str">
        <f ca="1">E4&amp;"（注册号："&amp;F4&amp;"）"</f>
        <v>梁津（注册号：96010014）</v>
      </c>
    </row>
    <row r="5" spans="1:8" ht="24" customHeight="1">
      <c r="A5" s="2993" t="s">
        <v>1915</v>
      </c>
      <c r="B5" s="1735">
        <f ca="1">IF(C5&lt;B2,"已过期",1119970074)</f>
        <v>1119970074</v>
      </c>
      <c r="C5" s="2994">
        <v>43849</v>
      </c>
      <c r="D5" s="2995" t="str">
        <f t="shared" ref="D5:D23" ca="1" si="0">A5&amp;"（注册号："&amp;B5&amp;"）"</f>
        <v>李立（注册号：1119970074）</v>
      </c>
      <c r="E5" s="2993" t="s">
        <v>1915</v>
      </c>
      <c r="F5" s="1735">
        <f ca="1">IF(G5&lt;B2,"已过期",2002110027)</f>
        <v>2002110027</v>
      </c>
      <c r="G5" s="1743">
        <v>46752</v>
      </c>
      <c r="H5" s="2996" t="str">
        <f t="shared" ref="H5:H24" ca="1" si="1">E5&amp;"（注册号："&amp;F5&amp;"）"</f>
        <v>李立（注册号：2002110027）</v>
      </c>
    </row>
    <row r="6" spans="1:8" ht="24" customHeight="1">
      <c r="A6" s="2993" t="s">
        <v>1916</v>
      </c>
      <c r="B6" s="1735">
        <f ca="1">IF(C6&lt;B2,"已过期",1119970111)</f>
        <v>1119970111</v>
      </c>
      <c r="C6" s="2994">
        <v>43849</v>
      </c>
      <c r="D6" s="2995" t="str">
        <f t="shared" ca="1" si="0"/>
        <v>叶凌（注册号：1119970111）</v>
      </c>
      <c r="E6" s="2993" t="s">
        <v>1916</v>
      </c>
      <c r="F6" s="1735">
        <f ca="1">IF(G6&lt;B2,"已过期",94010078)</f>
        <v>94010078</v>
      </c>
      <c r="G6" s="1743">
        <v>46387</v>
      </c>
      <c r="H6" s="2996" t="str">
        <f t="shared" ca="1" si="1"/>
        <v>叶凌（注册号：94010078）</v>
      </c>
    </row>
    <row r="7" spans="1:8" ht="24" customHeight="1">
      <c r="A7" s="2993" t="s">
        <v>1917</v>
      </c>
      <c r="B7" s="1735">
        <f ca="1">IF(C7&lt;B2,"已过期",1120050019)</f>
        <v>1120050019</v>
      </c>
      <c r="C7" s="2994">
        <v>43359</v>
      </c>
      <c r="D7" s="2995" t="str">
        <f t="shared" ca="1" si="0"/>
        <v>王鹏（注册号：1120050019）</v>
      </c>
      <c r="E7" s="2993" t="s">
        <v>1917</v>
      </c>
      <c r="F7" s="1735">
        <f ca="1">IF(G7&lt;B2,"已过期",2002110030)</f>
        <v>2002110030</v>
      </c>
      <c r="G7" s="1743">
        <v>46387</v>
      </c>
      <c r="H7" s="2996" t="str">
        <f t="shared" ca="1" si="1"/>
        <v>王鹏（注册号：2002110030）</v>
      </c>
    </row>
    <row r="8" spans="1:8" ht="24" customHeight="1">
      <c r="A8" s="2993" t="s">
        <v>1918</v>
      </c>
      <c r="B8" s="1735">
        <f ca="1">IF(C8&lt;B2,"已过期",1120000080)</f>
        <v>1120000080</v>
      </c>
      <c r="C8" s="2994">
        <v>43849</v>
      </c>
      <c r="D8" s="2995" t="str">
        <f t="shared" ca="1" si="0"/>
        <v>欧红伟（注册号：1120000080）</v>
      </c>
      <c r="E8" s="2993" t="s">
        <v>1918</v>
      </c>
      <c r="F8" s="1735">
        <f ca="1">IF(G8&lt;B2,"已过期",2000110082)</f>
        <v>2000110082</v>
      </c>
      <c r="G8" s="1743">
        <v>46387</v>
      </c>
      <c r="H8" s="2996" t="str">
        <f t="shared" ca="1" si="1"/>
        <v>欧红伟（注册号：2000110082）</v>
      </c>
    </row>
    <row r="9" spans="1:8" ht="24" customHeight="1">
      <c r="A9" s="2993" t="s">
        <v>1919</v>
      </c>
      <c r="B9" s="1735">
        <f ca="1">IF(C9&lt;B2,"已过期",1419970001)</f>
        <v>1419970001</v>
      </c>
      <c r="C9" s="2994">
        <v>43867</v>
      </c>
      <c r="D9" s="2995" t="str">
        <f t="shared" ca="1" si="0"/>
        <v>吴薇（注册号：1419970001）</v>
      </c>
      <c r="E9" s="2993" t="s">
        <v>1919</v>
      </c>
      <c r="F9" s="1735">
        <f ca="1">IF(G9&lt;B2,"已过期",2002110125)</f>
        <v>2002110125</v>
      </c>
      <c r="G9" s="1743">
        <v>47118</v>
      </c>
      <c r="H9" s="2996" t="str">
        <f t="shared" ca="1" si="1"/>
        <v>吴薇（注册号：2002110125）</v>
      </c>
    </row>
    <row r="10" spans="1:8" ht="24" customHeight="1">
      <c r="A10" s="2993" t="s">
        <v>1920</v>
      </c>
      <c r="B10" s="1735">
        <f ca="1">IF(C10&lt;B2,"已过期",1120060040)</f>
        <v>1120060040</v>
      </c>
      <c r="C10" s="2994">
        <v>43483</v>
      </c>
      <c r="D10" s="2995" t="str">
        <f t="shared" ca="1" si="0"/>
        <v>陈颖（注册号：1120060040）</v>
      </c>
      <c r="E10" s="2993" t="s">
        <v>1920</v>
      </c>
      <c r="F10" s="1735">
        <f ca="1">IF(G10&lt;B2,"已过期",2004110096)</f>
        <v>2004110096</v>
      </c>
      <c r="G10" s="1743">
        <v>47118</v>
      </c>
      <c r="H10" s="2996" t="str">
        <f t="shared" ca="1" si="1"/>
        <v>陈颖（注册号：2004110096）</v>
      </c>
    </row>
    <row r="11" spans="1:8" ht="24" customHeight="1">
      <c r="A11" s="2993" t="s">
        <v>1921</v>
      </c>
      <c r="B11" s="1735">
        <f ca="1">IF(C11&lt;B2,"已过期",1120100036)</f>
        <v>1120100036</v>
      </c>
      <c r="C11" s="2994">
        <v>43622</v>
      </c>
      <c r="D11" s="2995" t="str">
        <f t="shared" ca="1" si="0"/>
        <v>崔锴（注册号：1120100036）</v>
      </c>
      <c r="E11" s="2993" t="s">
        <v>1921</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1922</v>
      </c>
      <c r="G12" s="1735" t="s">
        <v>1922</v>
      </c>
      <c r="H12" s="2996" t="str">
        <f t="shared" si="1"/>
        <v>（注册号：——）</v>
      </c>
    </row>
    <row r="13" spans="1:8" ht="24" customHeight="1">
      <c r="A13" s="2993" t="s">
        <v>1923</v>
      </c>
      <c r="B13" s="1735">
        <f ca="1">IF(C13&lt;B2,"已过期",1120070131)</f>
        <v>1120070131</v>
      </c>
      <c r="C13" s="2994">
        <v>43814</v>
      </c>
      <c r="D13" s="2995" t="str">
        <f t="shared" ca="1" si="0"/>
        <v>郑燚（注册号：1120070131）</v>
      </c>
      <c r="E13" s="2993" t="s">
        <v>1923</v>
      </c>
      <c r="F13" s="1735">
        <v>2014110011</v>
      </c>
      <c r="G13" s="1743">
        <v>49302</v>
      </c>
      <c r="H13" s="2996" t="str">
        <f t="shared" si="1"/>
        <v>郑燚（注册号：2014110011）</v>
      </c>
    </row>
    <row r="14" spans="1:8" ht="24" customHeight="1">
      <c r="A14" s="2993" t="s">
        <v>1925</v>
      </c>
      <c r="B14" s="1735">
        <f ca="1">IF(C14&lt;B2,"已过期",1120130020)</f>
        <v>1120130020</v>
      </c>
      <c r="C14" s="2994">
        <v>43622</v>
      </c>
      <c r="D14" s="2995" t="str">
        <f t="shared" ca="1" si="0"/>
        <v>马琳琳（注册号：1120130020）</v>
      </c>
      <c r="E14" s="2993"/>
      <c r="F14" s="1735" t="s">
        <v>1924</v>
      </c>
      <c r="G14" s="1735" t="s">
        <v>1924</v>
      </c>
      <c r="H14" s="2996" t="str">
        <f t="shared" si="1"/>
        <v>（注册号：——）</v>
      </c>
    </row>
    <row r="15" spans="1:8" ht="24" customHeight="1">
      <c r="A15" s="2997" t="s">
        <v>2577</v>
      </c>
      <c r="B15" s="1735">
        <v>1120070085</v>
      </c>
      <c r="C15" s="2994">
        <v>43814</v>
      </c>
      <c r="D15" s="2995" t="str">
        <f t="shared" si="0"/>
        <v>杨红英（注册号：1120070085）</v>
      </c>
      <c r="E15" s="2997" t="s">
        <v>2578</v>
      </c>
      <c r="F15" s="1735">
        <v>2004110128</v>
      </c>
      <c r="G15" s="1736">
        <v>47118</v>
      </c>
      <c r="H15" s="2996" t="str">
        <f t="shared" si="1"/>
        <v>杨红英（注册号：2004110128）</v>
      </c>
    </row>
    <row r="16" spans="1:8" ht="24" customHeight="1">
      <c r="A16" s="2993" t="s">
        <v>1926</v>
      </c>
      <c r="B16" s="1735">
        <f ca="1">IF(C16&lt;B2,"已过期",1120140022)</f>
        <v>1120140022</v>
      </c>
      <c r="C16" s="2994">
        <v>42987</v>
      </c>
      <c r="D16" s="2995" t="str">
        <f t="shared" ca="1" si="0"/>
        <v>刘梅（注册号：1120140022）</v>
      </c>
      <c r="E16" s="2993" t="s">
        <v>1926</v>
      </c>
      <c r="F16" s="1735">
        <f ca="1">IF(G16&lt;B2,"已过期",2008110059)</f>
        <v>2008110059</v>
      </c>
      <c r="G16" s="1743">
        <v>47177</v>
      </c>
      <c r="H16" s="2996" t="str">
        <f t="shared" ca="1" si="1"/>
        <v>刘梅（注册号：2008110059）</v>
      </c>
    </row>
    <row r="17" spans="1:8" ht="24" customHeight="1">
      <c r="A17" s="2993" t="s">
        <v>1927</v>
      </c>
      <c r="B17" s="1735">
        <f ca="1">IF(C17&lt;B2,"已过期",1120140020)</f>
        <v>1120140020</v>
      </c>
      <c r="C17" s="2994">
        <v>42987</v>
      </c>
      <c r="D17" s="2995" t="str">
        <f t="shared" ca="1" si="0"/>
        <v>杨爽（注册号：1120140020）</v>
      </c>
      <c r="E17" s="2993"/>
      <c r="F17" s="1735" t="s">
        <v>1924</v>
      </c>
      <c r="G17" s="1743" t="s">
        <v>1924</v>
      </c>
      <c r="H17" s="2996" t="str">
        <f t="shared" si="1"/>
        <v>（注册号：——）</v>
      </c>
    </row>
    <row r="18" spans="1:8" ht="24" customHeight="1">
      <c r="A18" s="2993" t="s">
        <v>1928</v>
      </c>
      <c r="B18" s="1735">
        <f ca="1">IF(C18&lt;B2,"已过期",1120140024)</f>
        <v>1120140024</v>
      </c>
      <c r="C18" s="2994">
        <v>42987</v>
      </c>
      <c r="D18" s="2995" t="str">
        <f t="shared" ca="1" si="0"/>
        <v>高鹏（注册号：1120140024）</v>
      </c>
      <c r="E18" s="2993" t="s">
        <v>1928</v>
      </c>
      <c r="F18" s="1735">
        <f ca="1">IF(G18&lt;B2,"已过期",2011110048)</f>
        <v>2011110048</v>
      </c>
      <c r="G18" s="1743">
        <v>48302</v>
      </c>
      <c r="H18" s="2996" t="str">
        <f t="shared" ca="1" si="1"/>
        <v>高鹏（注册号：2011110048）</v>
      </c>
    </row>
    <row r="19" spans="1:8" ht="24" customHeight="1">
      <c r="A19" s="2993" t="s">
        <v>1929</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1930</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1931</v>
      </c>
      <c r="F21" s="1735">
        <f ca="1">IF(G21&lt;B2,"已过期",2011110090)</f>
        <v>2011110090</v>
      </c>
      <c r="G21" s="1743">
        <v>48302</v>
      </c>
      <c r="H21" s="2996" t="str">
        <f t="shared" ca="1" si="1"/>
        <v>赵雯（注册号：2011110090）</v>
      </c>
    </row>
    <row r="22" spans="1:8" ht="24" customHeight="1">
      <c r="A22" s="2993" t="s">
        <v>1932</v>
      </c>
      <c r="B22" s="1735">
        <f ca="1">IF(C22&lt;B2,"已过期",1120020033)</f>
        <v>1120020033</v>
      </c>
      <c r="C22" s="2994">
        <v>43304</v>
      </c>
      <c r="D22" s="2995" t="str">
        <f t="shared" ca="1" si="0"/>
        <v>刘敬东（注册号：1120020033）</v>
      </c>
      <c r="E22" s="2993" t="s">
        <v>1932</v>
      </c>
      <c r="F22" s="1735">
        <f ca="1">IF(G22&lt;B2,"已过期",2000110137)</f>
        <v>2000110137</v>
      </c>
      <c r="G22" s="1743">
        <v>46387</v>
      </c>
      <c r="H22" s="2996" t="str">
        <f t="shared" ca="1" si="1"/>
        <v>刘敬东（注册号：2000110137）</v>
      </c>
    </row>
    <row r="23" spans="1:8" ht="24" customHeight="1">
      <c r="A23" s="2993" t="s">
        <v>1933</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1924</v>
      </c>
      <c r="B24" s="1735" t="s">
        <v>1924</v>
      </c>
      <c r="C24" s="1735" t="s">
        <v>1924</v>
      </c>
      <c r="D24" s="2995" t="str">
        <f>A24&amp;"（注册号："&amp;B24&amp;"）"</f>
        <v>——（注册号：——）</v>
      </c>
      <c r="E24" s="1735" t="s">
        <v>1924</v>
      </c>
      <c r="F24" s="1735" t="s">
        <v>1924</v>
      </c>
      <c r="G24" s="1735" t="s">
        <v>1924</v>
      </c>
      <c r="H24" s="2996" t="str">
        <f t="shared" si="1"/>
        <v>——（注册号：——）</v>
      </c>
    </row>
    <row r="25" spans="1:8" ht="24" customHeight="1">
      <c r="A25" s="3187" t="s">
        <v>1934</v>
      </c>
      <c r="B25" s="3187"/>
      <c r="C25" s="3187"/>
      <c r="D25" s="3187"/>
      <c r="E25" s="3187"/>
      <c r="F25" s="3187"/>
      <c r="G25" s="3187"/>
      <c r="H25" s="3187"/>
    </row>
    <row r="26" spans="1:8" s="1738" customFormat="1" ht="24" customHeight="1">
      <c r="A26" s="3188" t="s">
        <v>1935</v>
      </c>
      <c r="B26" s="3188"/>
      <c r="C26" s="3188"/>
      <c r="D26" s="1812"/>
      <c r="E26" s="1812"/>
      <c r="F26" s="3188" t="s">
        <v>1936</v>
      </c>
      <c r="G26" s="3188"/>
      <c r="H26" s="3188"/>
    </row>
    <row r="27" spans="1:8" s="1740" customFormat="1" ht="24" customHeight="1">
      <c r="A27" s="1739" t="s">
        <v>1937</v>
      </c>
      <c r="B27" s="1733" t="s">
        <v>1938</v>
      </c>
      <c r="C27" s="1733" t="s">
        <v>1939</v>
      </c>
      <c r="D27" s="1733"/>
      <c r="E27" s="1733"/>
      <c r="F27" s="1735" t="s">
        <v>1937</v>
      </c>
      <c r="G27" s="1733" t="s">
        <v>1938</v>
      </c>
      <c r="H27" s="1733" t="s">
        <v>1939</v>
      </c>
    </row>
    <row r="28" spans="1:8" s="1740" customFormat="1" ht="24" customHeight="1">
      <c r="A28" s="1741" t="s">
        <v>1940</v>
      </c>
      <c r="B28" s="1742" t="s">
        <v>1941</v>
      </c>
      <c r="C28" s="1743">
        <v>43725</v>
      </c>
      <c r="D28" s="1743"/>
      <c r="E28" s="1743"/>
      <c r="F28" s="1741" t="s">
        <v>1942</v>
      </c>
      <c r="G28" s="1741" t="s">
        <v>1943</v>
      </c>
      <c r="H28" s="1907">
        <v>44377</v>
      </c>
    </row>
    <row r="29" spans="1:8" s="1740" customFormat="1" ht="24" customHeight="1">
      <c r="A29" s="1741"/>
      <c r="B29" s="1741"/>
      <c r="C29" s="1744"/>
      <c r="D29" s="1744"/>
      <c r="E29" s="1744"/>
      <c r="F29" s="1741" t="s">
        <v>1944</v>
      </c>
      <c r="G29" s="1745" t="s">
        <v>2301</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2535</v>
      </c>
      <c r="R1" s="3" t="s">
        <v>2536</v>
      </c>
      <c r="S1" s="187" t="s">
        <v>281</v>
      </c>
      <c r="T1" s="188" t="s">
        <v>282</v>
      </c>
      <c r="U1" s="187" t="s">
        <v>283</v>
      </c>
      <c r="V1" s="187" t="s">
        <v>284</v>
      </c>
      <c r="W1" s="1292" t="s">
        <v>1768</v>
      </c>
      <c r="X1" s="1292" t="s">
        <v>2302</v>
      </c>
      <c r="Y1" s="1292" t="s">
        <v>2308</v>
      </c>
    </row>
    <row r="2" spans="1:25">
      <c r="A2" s="2597" t="s">
        <v>116</v>
      </c>
      <c r="B2" s="2597" t="s">
        <v>2560</v>
      </c>
      <c r="C2" s="1603"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2530</v>
      </c>
      <c r="S2" s="189" t="s">
        <v>243</v>
      </c>
      <c r="T2" s="189" t="s">
        <v>244</v>
      </c>
      <c r="U2" s="189" t="s">
        <v>243</v>
      </c>
      <c r="V2" s="189" t="s">
        <v>245</v>
      </c>
      <c r="W2" s="189" t="s">
        <v>243</v>
      </c>
      <c r="X2" s="2352" t="s">
        <v>2309</v>
      </c>
      <c r="Y2" s="2352" t="s">
        <v>2304</v>
      </c>
    </row>
    <row r="3" spans="1:25">
      <c r="A3" s="2597" t="s">
        <v>576</v>
      </c>
      <c r="B3" s="2598" t="s">
        <v>2561</v>
      </c>
      <c r="C3" s="1604"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2531</v>
      </c>
      <c r="S3" s="189" t="s">
        <v>251</v>
      </c>
      <c r="T3" s="189" t="s">
        <v>252</v>
      </c>
      <c r="U3" s="189" t="s">
        <v>251</v>
      </c>
      <c r="V3" s="189" t="s">
        <v>253</v>
      </c>
      <c r="W3" s="189" t="s">
        <v>251</v>
      </c>
      <c r="X3" s="2352" t="s">
        <v>2310</v>
      </c>
      <c r="Y3" s="2352" t="s">
        <v>2306</v>
      </c>
    </row>
    <row r="4" spans="1:25">
      <c r="A4" s="2597" t="s">
        <v>577</v>
      </c>
      <c r="B4" s="2598" t="s">
        <v>2562</v>
      </c>
      <c r="C4" s="1603"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2532</v>
      </c>
      <c r="S4" s="189" t="s">
        <v>254</v>
      </c>
      <c r="T4" s="189" t="s">
        <v>255</v>
      </c>
      <c r="U4" s="189" t="s">
        <v>254</v>
      </c>
      <c r="W4" s="189" t="s">
        <v>254</v>
      </c>
      <c r="X4" s="2352" t="s">
        <v>2311</v>
      </c>
      <c r="Y4" s="2352" t="s">
        <v>2312</v>
      </c>
    </row>
    <row r="5" spans="1:25">
      <c r="A5" s="2597" t="s">
        <v>578</v>
      </c>
      <c r="B5" s="2597" t="s">
        <v>2563</v>
      </c>
      <c r="C5" s="1603" t="s">
        <v>1799</v>
      </c>
      <c r="F5" s="189" t="s">
        <v>256</v>
      </c>
      <c r="H5" s="189" t="s">
        <v>257</v>
      </c>
      <c r="I5" s="189" t="s">
        <v>258</v>
      </c>
      <c r="K5" s="189" t="s">
        <v>259</v>
      </c>
      <c r="L5" s="189" t="s">
        <v>259</v>
      </c>
      <c r="M5" s="189" t="s">
        <v>259</v>
      </c>
      <c r="N5" s="189" t="s">
        <v>259</v>
      </c>
      <c r="O5" s="189" t="s">
        <v>259</v>
      </c>
      <c r="P5" s="189" t="s">
        <v>259</v>
      </c>
      <c r="Q5" s="189" t="s">
        <v>259</v>
      </c>
      <c r="R5" s="2352" t="s">
        <v>2533</v>
      </c>
      <c r="S5" s="189" t="s">
        <v>259</v>
      </c>
      <c r="T5" s="189" t="s">
        <v>260</v>
      </c>
      <c r="U5" s="189" t="s">
        <v>259</v>
      </c>
      <c r="W5" s="189" t="s">
        <v>259</v>
      </c>
      <c r="X5" s="1763"/>
      <c r="Y5" s="1024"/>
    </row>
    <row r="6" spans="1:25">
      <c r="A6" s="2597" t="s">
        <v>579</v>
      </c>
      <c r="B6" s="2597" t="s">
        <v>2564</v>
      </c>
      <c r="C6" s="1605" t="s">
        <v>165</v>
      </c>
      <c r="F6" s="189" t="s">
        <v>261</v>
      </c>
      <c r="H6" s="189" t="s">
        <v>262</v>
      </c>
      <c r="I6" s="189" t="s">
        <v>263</v>
      </c>
      <c r="K6" s="189" t="s">
        <v>264</v>
      </c>
      <c r="L6" s="189" t="s">
        <v>264</v>
      </c>
      <c r="M6" s="189" t="s">
        <v>264</v>
      </c>
      <c r="N6" s="189" t="s">
        <v>264</v>
      </c>
      <c r="O6" s="189" t="s">
        <v>264</v>
      </c>
      <c r="P6" s="189" t="s">
        <v>264</v>
      </c>
      <c r="Q6" s="189" t="s">
        <v>264</v>
      </c>
      <c r="R6" s="2352" t="s">
        <v>2534</v>
      </c>
      <c r="S6" s="189" t="s">
        <v>264</v>
      </c>
      <c r="T6" s="189"/>
      <c r="U6" s="189" t="s">
        <v>264</v>
      </c>
      <c r="W6" s="189" t="s">
        <v>264</v>
      </c>
      <c r="X6" s="1763"/>
      <c r="Y6" s="1024"/>
    </row>
    <row r="7" spans="1:25">
      <c r="A7" s="2597" t="s">
        <v>580</v>
      </c>
      <c r="B7" s="2598" t="s">
        <v>2565</v>
      </c>
      <c r="C7" s="1603" t="s">
        <v>166</v>
      </c>
      <c r="F7" s="189" t="s">
        <v>265</v>
      </c>
      <c r="H7" s="189" t="s">
        <v>266</v>
      </c>
      <c r="I7" s="189" t="s">
        <v>267</v>
      </c>
      <c r="R7" s="2352"/>
      <c r="X7" s="2351"/>
    </row>
    <row r="8" spans="1:25">
      <c r="A8" s="2597" t="s">
        <v>581</v>
      </c>
      <c r="B8" s="2598" t="s">
        <v>2566</v>
      </c>
      <c r="C8" s="1603" t="s">
        <v>1800</v>
      </c>
      <c r="F8" s="189" t="s">
        <v>294</v>
      </c>
      <c r="H8" s="189" t="s">
        <v>295</v>
      </c>
      <c r="I8" s="189" t="s">
        <v>296</v>
      </c>
      <c r="X8" s="2351"/>
    </row>
    <row r="9" spans="1:25">
      <c r="A9" s="2597" t="s">
        <v>582</v>
      </c>
      <c r="B9" s="2597" t="s">
        <v>2567</v>
      </c>
      <c r="C9" s="1603" t="s">
        <v>1801</v>
      </c>
      <c r="F9" s="189" t="s">
        <v>297</v>
      </c>
      <c r="H9" s="189" t="s">
        <v>298</v>
      </c>
    </row>
    <row r="10" spans="1:25">
      <c r="A10" s="2597" t="s">
        <v>583</v>
      </c>
      <c r="B10" s="2597" t="s">
        <v>2568</v>
      </c>
      <c r="C10" s="1603" t="s">
        <v>1802</v>
      </c>
      <c r="F10" s="189" t="s">
        <v>36</v>
      </c>
    </row>
    <row r="11" spans="1:25">
      <c r="A11" s="2597" t="s">
        <v>584</v>
      </c>
      <c r="B11" s="2597" t="s">
        <v>2569</v>
      </c>
      <c r="C11" s="1603" t="s">
        <v>1803</v>
      </c>
    </row>
    <row r="12" spans="1:25">
      <c r="A12" s="2597" t="s">
        <v>585</v>
      </c>
      <c r="B12" s="2597" t="s">
        <v>2570</v>
      </c>
      <c r="C12" s="1603" t="s">
        <v>1804</v>
      </c>
    </row>
    <row r="13" spans="1:25">
      <c r="A13" s="2597" t="s">
        <v>586</v>
      </c>
      <c r="B13" s="2597" t="s">
        <v>2571</v>
      </c>
      <c r="C13" s="1603" t="s">
        <v>1805</v>
      </c>
    </row>
    <row r="14" spans="1:25">
      <c r="A14" s="2597" t="s">
        <v>587</v>
      </c>
      <c r="B14" s="2597" t="s">
        <v>2572</v>
      </c>
      <c r="C14" s="1606"/>
    </row>
    <row r="15" spans="1:25">
      <c r="A15" s="2597" t="s">
        <v>588</v>
      </c>
      <c r="B15" s="2597" t="s">
        <v>2573</v>
      </c>
      <c r="C15" s="1606"/>
    </row>
    <row r="16" spans="1:25">
      <c r="A16" s="2597" t="s">
        <v>589</v>
      </c>
      <c r="B16" s="2597" t="s">
        <v>2574</v>
      </c>
      <c r="C16" s="1606"/>
    </row>
    <row r="17" spans="1:3">
      <c r="A17" s="2597" t="s">
        <v>590</v>
      </c>
      <c r="B17" s="2597" t="s">
        <v>2575</v>
      </c>
      <c r="C17" s="1606"/>
    </row>
    <row r="18" spans="1:3">
      <c r="A18" s="2597" t="s">
        <v>591</v>
      </c>
      <c r="B18" s="2597" t="s">
        <v>2763</v>
      </c>
      <c r="C18" s="1606"/>
    </row>
    <row r="19" spans="1:3">
      <c r="A19" s="2597" t="s">
        <v>592</v>
      </c>
      <c r="B19" s="2597" t="s">
        <v>2764</v>
      </c>
      <c r="C19" s="1606"/>
    </row>
    <row r="20" spans="1:3">
      <c r="A20" s="2597" t="s">
        <v>593</v>
      </c>
      <c r="B20" s="2597" t="s">
        <v>1790</v>
      </c>
      <c r="C20" s="1606"/>
    </row>
    <row r="21" spans="1:3">
      <c r="A21" s="2597" t="s">
        <v>594</v>
      </c>
      <c r="B21" s="2597" t="s">
        <v>1790</v>
      </c>
      <c r="C21" s="1606"/>
    </row>
    <row r="22" spans="1:3">
      <c r="A22" s="2597" t="s">
        <v>595</v>
      </c>
      <c r="B22" s="2597" t="s">
        <v>1790</v>
      </c>
      <c r="C22" s="1606"/>
    </row>
    <row r="23" spans="1:3">
      <c r="A23" s="2597" t="s">
        <v>596</v>
      </c>
      <c r="B23" s="2597" t="s">
        <v>1790</v>
      </c>
      <c r="C23" s="1606"/>
    </row>
    <row r="24" spans="1:3">
      <c r="A24" s="2597" t="s">
        <v>597</v>
      </c>
      <c r="B24" s="2597" t="s">
        <v>1790</v>
      </c>
      <c r="C24" s="1606"/>
    </row>
    <row r="25" spans="1:3">
      <c r="A25" s="2597" t="s">
        <v>598</v>
      </c>
      <c r="B25" s="2597" t="s">
        <v>1790</v>
      </c>
      <c r="C25" s="1606"/>
    </row>
    <row r="26" spans="1:3">
      <c r="A26" s="2597" t="s">
        <v>599</v>
      </c>
      <c r="B26" s="2597" t="s">
        <v>1790</v>
      </c>
      <c r="C26" s="1606"/>
    </row>
    <row r="27" spans="1:3">
      <c r="A27" s="2597" t="s">
        <v>1790</v>
      </c>
      <c r="B27" s="2597" t="s">
        <v>1790</v>
      </c>
      <c r="C27" s="1606"/>
    </row>
    <row r="28" spans="1:3">
      <c r="A28" s="2597" t="s">
        <v>1790</v>
      </c>
      <c r="B28" s="2597" t="s">
        <v>1790</v>
      </c>
      <c r="C28" s="1606"/>
    </row>
    <row r="29" spans="1:3">
      <c r="A29" s="2597" t="s">
        <v>1790</v>
      </c>
      <c r="B29" s="2597" t="s">
        <v>1790</v>
      </c>
      <c r="C29" s="1606"/>
    </row>
    <row r="30" spans="1:3">
      <c r="A30" s="2597" t="s">
        <v>1790</v>
      </c>
      <c r="B30" s="2597" t="s">
        <v>1790</v>
      </c>
      <c r="C30" s="1606"/>
    </row>
    <row r="31" spans="1:3">
      <c r="A31" s="2597" t="s">
        <v>1790</v>
      </c>
      <c r="B31" s="2597" t="s">
        <v>1790</v>
      </c>
      <c r="C31" s="1606"/>
    </row>
    <row r="32" spans="1:3">
      <c r="A32" s="2597" t="s">
        <v>1790</v>
      </c>
      <c r="B32" s="2597" t="s">
        <v>1790</v>
      </c>
      <c r="C32" s="1606"/>
    </row>
    <row r="33" spans="1:3">
      <c r="A33" s="2597" t="s">
        <v>1790</v>
      </c>
      <c r="B33" s="2597" t="s">
        <v>1790</v>
      </c>
      <c r="C33" s="1606"/>
    </row>
    <row r="34" spans="1:3">
      <c r="A34" s="2597" t="s">
        <v>1790</v>
      </c>
      <c r="B34" s="2597" t="s">
        <v>1790</v>
      </c>
      <c r="C34" s="1606"/>
    </row>
    <row r="35" spans="1:3">
      <c r="A35" s="2597" t="s">
        <v>1790</v>
      </c>
      <c r="B35" s="2597" t="s">
        <v>1790</v>
      </c>
      <c r="C35" s="1606"/>
    </row>
    <row r="36" spans="1:3">
      <c r="A36" s="2597" t="s">
        <v>1790</v>
      </c>
      <c r="B36" s="2597" t="s">
        <v>1790</v>
      </c>
      <c r="C36" s="1606"/>
    </row>
    <row r="37" spans="1:3">
      <c r="A37" s="2597" t="s">
        <v>1790</v>
      </c>
      <c r="B37" s="2597" t="s">
        <v>1790</v>
      </c>
      <c r="C37" s="1606"/>
    </row>
    <row r="38" spans="1:3">
      <c r="A38" s="2597" t="s">
        <v>1790</v>
      </c>
      <c r="B38" s="2597" t="s">
        <v>1790</v>
      </c>
      <c r="C38" s="1606"/>
    </row>
    <row r="39" spans="1:3">
      <c r="A39" s="2597" t="s">
        <v>1790</v>
      </c>
      <c r="B39" s="2597" t="s">
        <v>1790</v>
      </c>
      <c r="C39" s="1606"/>
    </row>
    <row r="40" spans="1:3">
      <c r="A40" s="2597" t="s">
        <v>1790</v>
      </c>
      <c r="B40" s="2597" t="s">
        <v>1790</v>
      </c>
      <c r="C40" s="1606"/>
    </row>
    <row r="41" spans="1:3">
      <c r="A41" s="2597" t="s">
        <v>1790</v>
      </c>
      <c r="B41" s="2597" t="s">
        <v>1790</v>
      </c>
      <c r="C41" s="1606"/>
    </row>
    <row r="42" spans="1:3">
      <c r="A42" s="2597" t="s">
        <v>1790</v>
      </c>
      <c r="B42" s="2597" t="s">
        <v>1790</v>
      </c>
      <c r="C42" s="1606"/>
    </row>
    <row r="43" spans="1:3">
      <c r="A43" s="2597" t="s">
        <v>1790</v>
      </c>
      <c r="B43" s="2597" t="s">
        <v>1790</v>
      </c>
      <c r="C43" s="1606"/>
    </row>
    <row r="44" spans="1:3">
      <c r="A44" s="2597" t="s">
        <v>1790</v>
      </c>
      <c r="B44" s="2597" t="s">
        <v>1790</v>
      </c>
      <c r="C44" s="1606"/>
    </row>
    <row r="45" spans="1:3">
      <c r="A45" s="2597" t="s">
        <v>1790</v>
      </c>
      <c r="B45" s="2597" t="s">
        <v>1790</v>
      </c>
      <c r="C45" s="1606"/>
    </row>
    <row r="46" spans="1:3">
      <c r="A46" s="2597" t="s">
        <v>1790</v>
      </c>
      <c r="B46" s="2597" t="s">
        <v>1790</v>
      </c>
      <c r="C46" s="1606"/>
    </row>
    <row r="47" spans="1:3">
      <c r="A47" s="2597" t="s">
        <v>1790</v>
      </c>
      <c r="B47" s="2597" t="s">
        <v>1790</v>
      </c>
      <c r="C47" s="1606"/>
    </row>
    <row r="48" spans="1:3">
      <c r="A48" s="2597" t="s">
        <v>1790</v>
      </c>
      <c r="B48" s="2597" t="s">
        <v>1790</v>
      </c>
      <c r="C48" s="1606"/>
    </row>
    <row r="49" spans="1:4">
      <c r="A49" s="2597" t="s">
        <v>1790</v>
      </c>
      <c r="B49" s="2597" t="s">
        <v>1790</v>
      </c>
      <c r="C49" s="1606"/>
    </row>
    <row r="50" spans="1:4">
      <c r="A50" s="2597" t="s">
        <v>1790</v>
      </c>
      <c r="B50" s="2597" t="s">
        <v>1790</v>
      </c>
      <c r="C50" s="1606"/>
    </row>
    <row r="51" spans="1:4">
      <c r="A51" s="1762" t="s">
        <v>1950</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付曰勤拟使用北京市房地产作为抵押担保物，向办理贷款手续。特委托北京康正宏基房地产评估有限公司对上述抵押物进行评估。本次评估为确定房地产抵押贷款额度提供参考依据而评估房地产抵押价值。</v>
      </c>
      <c r="D51" s="1900" t="s">
        <v>2730</v>
      </c>
    </row>
    <row r="52" spans="1:4">
      <c r="A52" s="1762" t="s">
        <v>1966</v>
      </c>
      <c r="B52" s="1762" t="s">
        <v>1965</v>
      </c>
      <c r="C52" s="1024" t="s">
        <v>1964</v>
      </c>
      <c r="D52" s="1024" t="s">
        <v>2013</v>
      </c>
    </row>
    <row r="53" spans="1:4" ht="14.25" customHeight="1">
      <c r="A53" s="3189"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本次估价的“房地产价值”是指在正常市场情况下，在价值时点2017年7月18日，估价对象规划用途为，假定未设立法定优先受偿款下的房地产市场价值。</v>
      </c>
    </row>
    <row r="54" spans="1:4">
      <c r="A54" s="3189"/>
      <c r="B54" s="1024" t="s">
        <v>1962</v>
      </c>
      <c r="C54" s="1024" t="s">
        <v>2727</v>
      </c>
    </row>
    <row r="55" spans="1:4">
      <c r="A55" s="3189"/>
      <c r="B55" s="1024" t="s">
        <v>1957</v>
      </c>
      <c r="C55" s="1024" t="s">
        <v>2728</v>
      </c>
    </row>
    <row r="56" spans="1:4">
      <c r="A56" s="3189"/>
      <c r="B56" s="1024" t="s">
        <v>1958</v>
      </c>
      <c r="C56" s="1024" t="s">
        <v>2752</v>
      </c>
    </row>
    <row r="57" spans="1:4">
      <c r="A57" s="3189"/>
      <c r="B57" s="1024" t="s">
        <v>1959</v>
      </c>
      <c r="C57" s="1024" t="s">
        <v>2729</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案例</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2017-07-28T08:29:26Z</cp:lastPrinted>
  <dcterms:created xsi:type="dcterms:W3CDTF">2015-07-13T07:17:23Z</dcterms:created>
  <dcterms:modified xsi:type="dcterms:W3CDTF">2017-07-28T09:31:25Z</dcterms:modified>
</cp:coreProperties>
</file>