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195" yWindow="1350" windowWidth="11115" windowHeight="963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比较法-住宅" sheetId="21" r:id="rId32"/>
    <sheet name="不动产收益法" sheetId="15" state="hidden" r:id="rId33"/>
    <sheet name="不动产收益法-酒店模型" sheetId="68"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state="hidden" r:id="rId40"/>
    <sheet name="典型户型修正" sheetId="31" state="hidden" r:id="rId41"/>
    <sheet name="存贷款利率" sheetId="65" state="hidden" r:id="rId42"/>
    <sheet name="比较法案例" sheetId="72" r:id="rId43"/>
    <sheet name="车位比较法" sheetId="73" r:id="rId44"/>
    <sheet name="Sheet1" sheetId="74" r:id="rId45"/>
    <sheet name="土地案例" sheetId="75" r:id="rId46"/>
    <sheet name="Sheet3" sheetId="76" r:id="rId47"/>
  </sheets>
  <externalReferences>
    <externalReference r:id="rId48"/>
    <externalReference r:id="rId49"/>
    <externalReference r:id="rId50"/>
    <externalReference r:id="rId51"/>
  </externalReference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1" hidden="1">'数据-基础表'!$A$12:$AT$572</definedName>
    <definedName name="_xlnm._FilterDatabase" localSheetId="45" hidden="1">土地案例!$A$1:$BE$1</definedName>
    <definedName name="_xlnm._FilterDatabase" localSheetId="10" hidden="1">项目基本情况!$A$48:$N$48</definedName>
    <definedName name="_xlnm.Print_Area" localSheetId="20">'比较法-工业'!$A$1:$K$62,'比较法-工业'!$A$65:$N$122</definedName>
    <definedName name="_xlnm.Print_Area" localSheetId="17">'比较法-住宅、综合'!$A$1:$K$66,'比较法-住宅、综合'!$A$70:$N$133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1">'不动产比较法-住宅'!$A$1:$K$54,'不动产比较法-住宅'!$A$57:$M$131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G40" i="6" l="1"/>
  <c r="L39" i="76"/>
  <c r="M39" i="76"/>
  <c r="K39" i="76"/>
  <c r="C16" i="66"/>
  <c r="C15" i="66"/>
  <c r="C14" i="66"/>
  <c r="B16" i="66"/>
  <c r="B15" i="66"/>
  <c r="B14" i="66"/>
  <c r="L17" i="74"/>
  <c r="N10" i="74"/>
  <c r="M10" i="74"/>
  <c r="L10" i="74"/>
  <c r="G36" i="6"/>
  <c r="F36" i="6"/>
  <c r="AH20" i="1"/>
  <c r="D16" i="66" l="1"/>
  <c r="D15" i="66" l="1"/>
  <c r="AT13" i="3" l="1"/>
  <c r="B37" i="9" l="1"/>
  <c r="D10" i="12" l="1"/>
  <c r="D8" i="12"/>
  <c r="C31" i="35"/>
  <c r="C33" i="21"/>
  <c r="D20" i="4"/>
  <c r="D72" i="39"/>
  <c r="E72" i="39" s="1"/>
  <c r="F72" i="39" s="1"/>
  <c r="G72" i="39" s="1"/>
  <c r="H72" i="39" s="1"/>
  <c r="I72" i="39" s="1"/>
  <c r="J72" i="39" s="1"/>
  <c r="K72" i="39" s="1"/>
  <c r="L72" i="39" s="1"/>
  <c r="M72" i="39" s="1"/>
  <c r="N72" i="39" s="1"/>
  <c r="G20" i="6"/>
  <c r="AL14" i="3"/>
  <c r="AD13" i="3"/>
  <c r="I7" i="21"/>
  <c r="G7" i="21"/>
  <c r="E7" i="21"/>
  <c r="C40" i="39"/>
  <c r="F19" i="6"/>
  <c r="D3" i="4"/>
  <c r="G14" i="65" l="1"/>
  <c r="F14" i="65"/>
  <c r="E14" i="65"/>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I28" i="70"/>
  <c r="I6" i="70"/>
  <c r="I7" i="70"/>
  <c r="I8" i="70"/>
  <c r="P28"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AD29" i="70" l="1"/>
  <c r="AD28" i="70"/>
  <c r="AD27"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C15" i="69" s="1"/>
  <c r="F11" i="69"/>
  <c r="D7" i="69"/>
  <c r="D6" i="69"/>
  <c r="D5" i="69"/>
  <c r="C18" i="69" l="1"/>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D11" i="68" s="1"/>
  <c r="R13" i="68"/>
  <c r="R12" i="68"/>
  <c r="D12" i="68"/>
  <c r="R11" i="68"/>
  <c r="R10" i="68"/>
  <c r="D10" i="68"/>
  <c r="R9" i="68"/>
  <c r="D9" i="68"/>
  <c r="R8" i="68"/>
  <c r="R7" i="68"/>
  <c r="R4" i="68"/>
  <c r="R3" i="68"/>
  <c r="E11" i="68" l="1"/>
  <c r="E7" i="68" s="1"/>
  <c r="C27" i="68" s="1"/>
  <c r="D7" i="68"/>
  <c r="C26" i="68" s="1"/>
  <c r="R14" i="68"/>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c r="P75" i="15"/>
  <c r="Q74" i="44"/>
  <c r="Q61" i="44"/>
  <c r="Q60" i="44"/>
  <c r="Q53" i="44"/>
  <c r="J51" i="44"/>
  <c r="J52" i="44" s="1"/>
  <c r="M48" i="44"/>
  <c r="A16" i="55"/>
  <c r="B67" i="63" s="1"/>
  <c r="A15" i="55"/>
  <c r="B66" i="63" s="1"/>
  <c r="A10" i="55"/>
  <c r="B61" i="63" s="1"/>
  <c r="A9" i="55"/>
  <c r="B60" i="63" s="1"/>
  <c r="A8" i="55"/>
  <c r="A6" i="54"/>
  <c r="A8" i="54"/>
  <c r="A7" i="54"/>
  <c r="A27" i="51"/>
  <c r="B20" i="63" s="1"/>
  <c r="Q27" i="59"/>
  <c r="O27" i="59"/>
  <c r="N28" i="59"/>
  <c r="O28" i="59"/>
  <c r="P28" i="59"/>
  <c r="Q28" i="59"/>
  <c r="N27" i="59"/>
  <c r="P27" i="59"/>
  <c r="K75" i="9"/>
  <c r="K6" i="4"/>
  <c r="O76" i="9" s="1"/>
  <c r="L76" i="9"/>
  <c r="B22" i="31"/>
  <c r="E15" i="66"/>
  <c r="F15" i="66"/>
  <c r="E16" i="66"/>
  <c r="F16" i="66"/>
  <c r="E17" i="66"/>
  <c r="F17" i="66"/>
  <c r="E18" i="66"/>
  <c r="F18" i="66"/>
  <c r="E19" i="66"/>
  <c r="F19" i="66"/>
  <c r="E20" i="66"/>
  <c r="F20" i="66"/>
  <c r="E21" i="66"/>
  <c r="F21" i="66"/>
  <c r="E22" i="66"/>
  <c r="F22" i="66"/>
  <c r="E23" i="66"/>
  <c r="F23" i="66"/>
  <c r="B3" i="66"/>
  <c r="B25" i="59"/>
  <c r="B24" i="59" s="1"/>
  <c r="B23"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D25" i="59"/>
  <c r="B76" i="63"/>
  <c r="M5" i="54"/>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s="1"/>
  <c r="B49" i="50"/>
  <c r="B5" i="63" s="1"/>
  <c r="B40" i="50"/>
  <c r="B3" i="63" s="1"/>
  <c r="Q29" i="59"/>
  <c r="F29" i="59" s="1"/>
  <c r="F28" i="59" s="1"/>
  <c r="F27" i="59" s="1"/>
  <c r="P29" i="59"/>
  <c r="E29" i="59" s="1"/>
  <c r="O29" i="59"/>
  <c r="C29" i="59" s="1"/>
  <c r="D29" i="59" s="1"/>
  <c r="N29" i="59"/>
  <c r="D90" i="59"/>
  <c r="F89" i="59"/>
  <c r="E89" i="59"/>
  <c r="E88" i="59" s="1"/>
  <c r="E87" i="59" s="1"/>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D66" i="59"/>
  <c r="Q65" i="59"/>
  <c r="P65" i="59"/>
  <c r="O65" i="59"/>
  <c r="N65" i="59"/>
  <c r="Q64" i="59"/>
  <c r="P64" i="59"/>
  <c r="O64" i="59"/>
  <c r="N64" i="59"/>
  <c r="Q63" i="59"/>
  <c r="P63" i="59"/>
  <c r="O63" i="59"/>
  <c r="N63" i="59"/>
  <c r="Q62" i="59"/>
  <c r="F63"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O50" i="59"/>
  <c r="C51" i="59"/>
  <c r="N50" i="59"/>
  <c r="B51" i="59"/>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C44" i="59" s="1"/>
  <c r="N42" i="59"/>
  <c r="B43" i="59" s="1"/>
  <c r="B44" i="59" s="1"/>
  <c r="B45" i="59" s="1"/>
  <c r="S45" i="59" s="1"/>
  <c r="D42" i="59"/>
  <c r="Q41" i="59"/>
  <c r="P41" i="59"/>
  <c r="O41" i="59"/>
  <c r="N41" i="59"/>
  <c r="Q40" i="59"/>
  <c r="AB40" i="59" s="1"/>
  <c r="P40" i="59"/>
  <c r="O40" i="59"/>
  <c r="Y40" i="59"/>
  <c r="Z40" i="59" s="1"/>
  <c r="N40" i="59"/>
  <c r="X40" i="59" s="1"/>
  <c r="Q39" i="59"/>
  <c r="AB39" i="59" s="1"/>
  <c r="P39" i="59"/>
  <c r="AA39" i="59" s="1"/>
  <c r="O39" i="59"/>
  <c r="Y39" i="59" s="1"/>
  <c r="Z39" i="59" s="1"/>
  <c r="N39" i="59"/>
  <c r="X39" i="59" s="1"/>
  <c r="Q38" i="59"/>
  <c r="AB38" i="59" s="1"/>
  <c r="F39" i="59"/>
  <c r="P38" i="59"/>
  <c r="AA38" i="59" s="1"/>
  <c r="E39" i="59"/>
  <c r="E40" i="59" s="1"/>
  <c r="E41" i="59" s="1"/>
  <c r="U41" i="59" s="1"/>
  <c r="O38" i="59"/>
  <c r="Y38" i="59" s="1"/>
  <c r="Z38" i="59" s="1"/>
  <c r="N38" i="59"/>
  <c r="X38" i="59" s="1"/>
  <c r="D38" i="59"/>
  <c r="Q37" i="59"/>
  <c r="AB37" i="59" s="1"/>
  <c r="P37" i="59"/>
  <c r="AA37" i="59" s="1"/>
  <c r="O37" i="59"/>
  <c r="Y37" i="59" s="1"/>
  <c r="Z37" i="59" s="1"/>
  <c r="N37" i="59"/>
  <c r="X37" i="59" s="1"/>
  <c r="Q36" i="59"/>
  <c r="AB36" i="59" s="1"/>
  <c r="P36" i="59"/>
  <c r="AA36" i="59" s="1"/>
  <c r="O36" i="59"/>
  <c r="Y36" i="59" s="1"/>
  <c r="Z36" i="59" s="1"/>
  <c r="N36" i="59"/>
  <c r="X36" i="59" s="1"/>
  <c r="Q35" i="59"/>
  <c r="AB35" i="59" s="1"/>
  <c r="P35" i="59"/>
  <c r="AA35" i="59" s="1"/>
  <c r="O35" i="59"/>
  <c r="Y35" i="59" s="1"/>
  <c r="Z35" i="59" s="1"/>
  <c r="N35" i="59"/>
  <c r="X35" i="59" s="1"/>
  <c r="Q34" i="59"/>
  <c r="AB34" i="59" s="1"/>
  <c r="P34" i="59"/>
  <c r="E35" i="59" s="1"/>
  <c r="E36" i="59" s="1"/>
  <c r="E37" i="59" s="1"/>
  <c r="U37" i="59" s="1"/>
  <c r="O34" i="59"/>
  <c r="Y34" i="59" s="1"/>
  <c r="Z34" i="59" s="1"/>
  <c r="C35" i="59"/>
  <c r="N34" i="59"/>
  <c r="X34" i="59" s="1"/>
  <c r="B35" i="59"/>
  <c r="B36" i="59" s="1"/>
  <c r="B37" i="59" s="1"/>
  <c r="S37" i="59" s="1"/>
  <c r="D34" i="59"/>
  <c r="Q33" i="59"/>
  <c r="AB33" i="59" s="1"/>
  <c r="P33" i="59"/>
  <c r="AA33" i="59" s="1"/>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X31" i="59" s="1"/>
  <c r="Q30" i="59"/>
  <c r="AB30" i="59" s="1"/>
  <c r="F31" i="59"/>
  <c r="P30" i="59"/>
  <c r="AA30" i="59" s="1"/>
  <c r="O30" i="59"/>
  <c r="Y30" i="59" s="1"/>
  <c r="Z30" i="59" s="1"/>
  <c r="N30" i="59"/>
  <c r="X30" i="59" s="1"/>
  <c r="D30" i="59"/>
  <c r="X3" i="59"/>
  <c r="X26" i="59"/>
  <c r="X27" i="59"/>
  <c r="X28" i="59"/>
  <c r="X29" i="59"/>
  <c r="AA3" i="59"/>
  <c r="AA26" i="59"/>
  <c r="AA27" i="59"/>
  <c r="AA28" i="59"/>
  <c r="AA29" i="59"/>
  <c r="Y26" i="59"/>
  <c r="Z26" i="59"/>
  <c r="Y27" i="59"/>
  <c r="Z27" i="59" s="1"/>
  <c r="Y28" i="59"/>
  <c r="Z28" i="59" s="1"/>
  <c r="Y29" i="59"/>
  <c r="Z29" i="59" s="1"/>
  <c r="AB29" i="59"/>
  <c r="AB3" i="59"/>
  <c r="AB26" i="59"/>
  <c r="AB27" i="59"/>
  <c r="AB28" i="59"/>
  <c r="E31" i="59"/>
  <c r="E32" i="59" s="1"/>
  <c r="E33" i="59"/>
  <c r="U33" i="59" s="1"/>
  <c r="B52" i="59"/>
  <c r="B53" i="59" s="1"/>
  <c r="S53" i="59"/>
  <c r="E53" i="59"/>
  <c r="U53" i="59" s="1"/>
  <c r="S69" i="59"/>
  <c r="AA40" i="59"/>
  <c r="F32" i="59"/>
  <c r="F33" i="59"/>
  <c r="V33" i="59" s="1"/>
  <c r="F40" i="59"/>
  <c r="F41" i="59"/>
  <c r="V41" i="59" s="1"/>
  <c r="F44" i="59"/>
  <c r="F45" i="59" s="1"/>
  <c r="V45" i="59" s="1"/>
  <c r="F49" i="59"/>
  <c r="V49" i="59" s="1"/>
  <c r="F56" i="59"/>
  <c r="F57" i="59" s="1"/>
  <c r="V57" i="59"/>
  <c r="F60" i="59"/>
  <c r="F61" i="59"/>
  <c r="V61" i="59" s="1"/>
  <c r="F64" i="59"/>
  <c r="F65" i="59" s="1"/>
  <c r="V65" i="59"/>
  <c r="D43" i="59"/>
  <c r="C48" i="59"/>
  <c r="D48" i="59"/>
  <c r="D47" i="59"/>
  <c r="C52" i="59"/>
  <c r="D51" i="59"/>
  <c r="C56" i="59"/>
  <c r="D55" i="59"/>
  <c r="C60" i="59"/>
  <c r="C64" i="59"/>
  <c r="D63" i="59"/>
  <c r="C36" i="59"/>
  <c r="D35" i="59"/>
  <c r="E67" i="59"/>
  <c r="P67" i="59" s="1"/>
  <c r="Q68" i="59"/>
  <c r="T69" i="59"/>
  <c r="O69" i="59"/>
  <c r="D69" i="59"/>
  <c r="C68" i="59"/>
  <c r="C67" i="59" s="1"/>
  <c r="P69" i="59"/>
  <c r="U69" i="59"/>
  <c r="Q69" i="59"/>
  <c r="C72" i="59"/>
  <c r="C71" i="59" s="1"/>
  <c r="D71" i="59" s="1"/>
  <c r="E72" i="59"/>
  <c r="E71" i="59"/>
  <c r="D73" i="59"/>
  <c r="C76" i="59"/>
  <c r="D76" i="59" s="1"/>
  <c r="E76" i="59"/>
  <c r="E75" i="59"/>
  <c r="D77" i="59"/>
  <c r="C80" i="59"/>
  <c r="D80" i="59" s="1"/>
  <c r="E80" i="59"/>
  <c r="E79" i="59"/>
  <c r="D81" i="59"/>
  <c r="C84" i="59"/>
  <c r="C83" i="59" s="1"/>
  <c r="D83" i="59" s="1"/>
  <c r="C88" i="59"/>
  <c r="U16" i="4"/>
  <c r="S16" i="4"/>
  <c r="Q16" i="4"/>
  <c r="O16" i="4"/>
  <c r="M16" i="4"/>
  <c r="K16" i="4"/>
  <c r="P66" i="59"/>
  <c r="D88" i="59"/>
  <c r="C87" i="59"/>
  <c r="D87" i="59"/>
  <c r="C79" i="59"/>
  <c r="D79" i="59" s="1"/>
  <c r="D72" i="59"/>
  <c r="O68" i="59"/>
  <c r="D84" i="59"/>
  <c r="C75" i="59"/>
  <c r="D75" i="59" s="1"/>
  <c r="C37" i="59"/>
  <c r="D37" i="59" s="1"/>
  <c r="D36" i="59"/>
  <c r="C65" i="59"/>
  <c r="D65" i="59" s="1"/>
  <c r="D64" i="59"/>
  <c r="D60" i="59"/>
  <c r="C61" i="59"/>
  <c r="C57" i="59"/>
  <c r="D57" i="59" s="1"/>
  <c r="D56" i="59"/>
  <c r="C53" i="59"/>
  <c r="D53" i="59" s="1"/>
  <c r="D52" i="59"/>
  <c r="C45" i="59"/>
  <c r="D45" i="59" s="1"/>
  <c r="D44" i="59"/>
  <c r="T61" i="59"/>
  <c r="D61" i="59"/>
  <c r="T45" i="59"/>
  <c r="T53" i="59"/>
  <c r="T57" i="59"/>
  <c r="T65" i="59"/>
  <c r="T37"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Q27" i="40"/>
  <c r="Z27" i="40" s="1"/>
  <c r="D95" i="40"/>
  <c r="E95" i="40"/>
  <c r="F27" i="40"/>
  <c r="AA27" i="40" s="1"/>
  <c r="Q31" i="39"/>
  <c r="Z31" i="39" s="1"/>
  <c r="D104" i="39"/>
  <c r="E104" i="39"/>
  <c r="F31" i="39"/>
  <c r="AA31" i="39" s="1"/>
  <c r="G20" i="20"/>
  <c r="B88" i="46"/>
  <c r="C22" i="20"/>
  <c r="B100" i="46" s="1"/>
  <c r="S18" i="36"/>
  <c r="S18" i="35"/>
  <c r="S21" i="37"/>
  <c r="S21" i="34"/>
  <c r="C27" i="40"/>
  <c r="B57" i="46"/>
  <c r="E66" i="36"/>
  <c r="H18" i="35"/>
  <c r="J18" i="35"/>
  <c r="H21" i="37"/>
  <c r="J21" i="37"/>
  <c r="E84" i="34"/>
  <c r="F84" i="34" s="1"/>
  <c r="G84" i="34" s="1"/>
  <c r="J21" i="34"/>
  <c r="H21" i="34"/>
  <c r="F21" i="33"/>
  <c r="H21" i="33"/>
  <c r="J21" i="33"/>
  <c r="H21" i="21"/>
  <c r="J21" i="21"/>
  <c r="F95" i="40"/>
  <c r="H27" i="40"/>
  <c r="F104" i="39"/>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H31" i="35"/>
  <c r="AB31" i="35" s="1"/>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c r="G90" i="39" s="1"/>
  <c r="B87" i="39"/>
  <c r="B85" i="39"/>
  <c r="F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AB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c r="F66" i="35" s="1"/>
  <c r="G66" i="35" s="1"/>
  <c r="D64" i="35"/>
  <c r="E64" i="35" s="1"/>
  <c r="F64" i="35" s="1"/>
  <c r="G64" i="35" s="1"/>
  <c r="C53" i="35"/>
  <c r="H9" i="35"/>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A31" i="35"/>
  <c r="Q30" i="35"/>
  <c r="Z30" i="35"/>
  <c r="Q29" i="35"/>
  <c r="Z29" i="35"/>
  <c r="Q28" i="35"/>
  <c r="Z28" i="35"/>
  <c r="J28" i="35"/>
  <c r="W28" i="35" s="1"/>
  <c r="H28" i="35"/>
  <c r="AB28" i="35" s="1"/>
  <c r="F28" i="35"/>
  <c r="AA28" i="35" s="1"/>
  <c r="Q27" i="35"/>
  <c r="Z27" i="35" s="1"/>
  <c r="Q26" i="35"/>
  <c r="Z26" i="35"/>
  <c r="Q25" i="35"/>
  <c r="Z25" i="35" s="1"/>
  <c r="Q24" i="35"/>
  <c r="Z24" i="35" s="1"/>
  <c r="Q23" i="35"/>
  <c r="Z23" i="35" s="1"/>
  <c r="Q22" i="35"/>
  <c r="Z22" i="35" s="1"/>
  <c r="Q20" i="35"/>
  <c r="Z20" i="35"/>
  <c r="Q16" i="35"/>
  <c r="Z16" i="35"/>
  <c r="Q14" i="35"/>
  <c r="Z14" i="35"/>
  <c r="Q13" i="35"/>
  <c r="Z13" i="35" s="1"/>
  <c r="Q12" i="35"/>
  <c r="Z12" i="35" s="1"/>
  <c r="J12" i="35"/>
  <c r="W12" i="35" s="1"/>
  <c r="F12" i="35"/>
  <c r="AA12" i="35" s="1"/>
  <c r="Q11" i="35"/>
  <c r="Z11" i="35" s="1"/>
  <c r="Q10" i="35"/>
  <c r="Z10" i="35"/>
  <c r="Q9" i="35"/>
  <c r="Z9" i="35"/>
  <c r="J9" i="35"/>
  <c r="W9" i="35" s="1"/>
  <c r="F9" i="35"/>
  <c r="S9" i="35" s="1"/>
  <c r="J8" i="35"/>
  <c r="W8" i="35" s="1"/>
  <c r="H8" i="35"/>
  <c r="F8" i="35"/>
  <c r="AA8" i="35" s="1"/>
  <c r="D120" i="34"/>
  <c r="E120" i="34"/>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H9" i="33"/>
  <c r="AB9" i="33"/>
  <c r="F9" i="33"/>
  <c r="AA9" i="33" s="1"/>
  <c r="J8" i="33"/>
  <c r="W8" i="33" s="1"/>
  <c r="H8" i="33"/>
  <c r="F8" i="33"/>
  <c r="M102" i="21"/>
  <c r="D102" i="21"/>
  <c r="E102" i="21"/>
  <c r="F102" i="21"/>
  <c r="G102" i="21"/>
  <c r="H102" i="21"/>
  <c r="I102" i="21"/>
  <c r="J102" i="21"/>
  <c r="K102" i="21"/>
  <c r="L102" i="21"/>
  <c r="C102" i="21"/>
  <c r="C63" i="21"/>
  <c r="F9" i="21"/>
  <c r="S9" i="21" s="1"/>
  <c r="G18" i="20"/>
  <c r="B90" i="46" s="1"/>
  <c r="C25" i="40"/>
  <c r="G16" i="20"/>
  <c r="G15" i="20"/>
  <c r="B83" i="46" s="1"/>
  <c r="C24" i="20"/>
  <c r="B75" i="46" s="1"/>
  <c r="C21" i="20"/>
  <c r="B99" i="46" s="1"/>
  <c r="C20" i="20"/>
  <c r="B58" i="46" s="1"/>
  <c r="C18" i="20"/>
  <c r="B73" i="46"/>
  <c r="C17" i="20"/>
  <c r="B61" i="46"/>
  <c r="C16" i="20"/>
  <c r="B50" i="46"/>
  <c r="C15" i="20"/>
  <c r="B72" i="46"/>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H46" i="21" s="1"/>
  <c r="B128" i="21"/>
  <c r="B126" i="21"/>
  <c r="J44" i="21" s="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N5" i="3"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c r="F39" i="21"/>
  <c r="AA39" i="21" s="1"/>
  <c r="J40" i="21"/>
  <c r="W40" i="21" s="1"/>
  <c r="H35" i="21"/>
  <c r="AB35" i="21" s="1"/>
  <c r="J8" i="21"/>
  <c r="AC8" i="21" s="1"/>
  <c r="J9" i="21"/>
  <c r="AC9" i="21"/>
  <c r="H8" i="21"/>
  <c r="H9" i="21"/>
  <c r="AB9" i="21" s="1"/>
  <c r="H10" i="21"/>
  <c r="U10" i="21" s="1"/>
  <c r="H39" i="21"/>
  <c r="AB39" i="21" s="1"/>
  <c r="J34" i="21"/>
  <c r="W34" i="21" s="1"/>
  <c r="H36" i="21"/>
  <c r="U36" i="21" s="1"/>
  <c r="F35" i="21"/>
  <c r="AA35" i="21" s="1"/>
  <c r="J33" i="21"/>
  <c r="W33" i="21" s="1"/>
  <c r="H33" i="21"/>
  <c r="U33" i="21" s="1"/>
  <c r="F33" i="21"/>
  <c r="AA33"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W39" i="37"/>
  <c r="F29" i="36"/>
  <c r="AA29" i="36"/>
  <c r="F16" i="36"/>
  <c r="AA16" i="36" s="1"/>
  <c r="U22" i="36"/>
  <c r="W23" i="36"/>
  <c r="W22" i="36"/>
  <c r="U26" i="36"/>
  <c r="AC31" i="36"/>
  <c r="J33" i="36"/>
  <c r="W33" i="36"/>
  <c r="AC27" i="35"/>
  <c r="U31" i="35"/>
  <c r="W36" i="35"/>
  <c r="S31" i="35"/>
  <c r="W31" i="35"/>
  <c r="U34" i="35"/>
  <c r="F36" i="34"/>
  <c r="S36" i="34"/>
  <c r="W9" i="34"/>
  <c r="S34" i="34"/>
  <c r="W39" i="34"/>
  <c r="H39" i="33"/>
  <c r="AB39" i="33" s="1"/>
  <c r="F26" i="33"/>
  <c r="AA26" i="33" s="1"/>
  <c r="U9" i="33"/>
  <c r="U33" i="33"/>
  <c r="W38" i="33"/>
  <c r="S40" i="33"/>
  <c r="S33" i="33"/>
  <c r="W33" i="33"/>
  <c r="U38" i="33"/>
  <c r="H39" i="37"/>
  <c r="AB39" i="37"/>
  <c r="AB27" i="35"/>
  <c r="W10" i="40"/>
  <c r="U11" i="40"/>
  <c r="U36" i="40"/>
  <c r="S40" i="39"/>
  <c r="F11" i="21"/>
  <c r="S11" i="21" s="1"/>
  <c r="C29" i="39"/>
  <c r="C23" i="39"/>
  <c r="U36" i="39"/>
  <c r="H32" i="33"/>
  <c r="AB32" i="33"/>
  <c r="H11" i="21"/>
  <c r="U11" i="21" s="1"/>
  <c r="J11" i="21"/>
  <c r="W11" i="21" s="1"/>
  <c r="F85" i="40"/>
  <c r="G85" i="40" s="1"/>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c r="F12" i="36"/>
  <c r="S12" i="36"/>
  <c r="F24" i="36"/>
  <c r="AA24" i="36"/>
  <c r="F34" i="36"/>
  <c r="S34" i="36"/>
  <c r="AB8" i="36"/>
  <c r="H16" i="35"/>
  <c r="U16" i="35" s="1"/>
  <c r="H33" i="35"/>
  <c r="AB33" i="35" s="1"/>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s="1"/>
  <c r="U9" i="34"/>
  <c r="W8" i="34"/>
  <c r="J28" i="34"/>
  <c r="W28" i="34" s="1"/>
  <c r="S38" i="33"/>
  <c r="E113" i="33"/>
  <c r="F36" i="33"/>
  <c r="S36" i="33" s="1"/>
  <c r="F19" i="33"/>
  <c r="S19" i="33" s="1"/>
  <c r="J19" i="33"/>
  <c r="S10" i="21"/>
  <c r="W40" i="33"/>
  <c r="F125" i="21"/>
  <c r="G125" i="21"/>
  <c r="AB30" i="36"/>
  <c r="AC34" i="36"/>
  <c r="S22" i="35"/>
  <c r="H29" i="35"/>
  <c r="AB29" i="35" s="1"/>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AC14" i="21" s="1"/>
  <c r="F14" i="21"/>
  <c r="AA14" i="21"/>
  <c r="H14" i="21"/>
  <c r="U14" i="21" s="1"/>
  <c r="H28" i="21"/>
  <c r="AB28" i="21"/>
  <c r="F28" i="21"/>
  <c r="J28" i="21"/>
  <c r="AC28" i="21" s="1"/>
  <c r="H30" i="21"/>
  <c r="U30" i="21" s="1"/>
  <c r="F30" i="21"/>
  <c r="S30" i="21" s="1"/>
  <c r="J30" i="21"/>
  <c r="W30"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s="1"/>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C30" i="21"/>
  <c r="AB30" i="21"/>
  <c r="S28" i="21"/>
  <c r="AA28" i="21"/>
  <c r="AB14" i="21"/>
  <c r="W14" i="21"/>
  <c r="S46" i="33"/>
  <c r="U36" i="37"/>
  <c r="AC13" i="36"/>
  <c r="AB31" i="33"/>
  <c r="AC28"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AZ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c r="J32" i="37"/>
  <c r="AC32" i="37"/>
  <c r="F36" i="37"/>
  <c r="S36" i="37"/>
  <c r="F37" i="37"/>
  <c r="AA37" i="37"/>
  <c r="U23" i="37"/>
  <c r="AC41" i="34"/>
  <c r="F123" i="33"/>
  <c r="G123" i="33"/>
  <c r="H123" i="33" s="1"/>
  <c r="I123" i="33" s="1"/>
  <c r="J123" i="33" s="1"/>
  <c r="K123" i="33" s="1"/>
  <c r="L123" i="33" s="1"/>
  <c r="M123" i="33" s="1"/>
  <c r="H42" i="33"/>
  <c r="U42" i="33"/>
  <c r="J43" i="33"/>
  <c r="AC43" i="33"/>
  <c r="G79" i="37"/>
  <c r="J23" i="37"/>
  <c r="W23" i="37" s="1"/>
  <c r="F17" i="37"/>
  <c r="AA17" i="37" s="1"/>
  <c r="AB43" i="33"/>
  <c r="D3" i="21"/>
  <c r="AC33" i="36"/>
  <c r="AC12" i="35"/>
  <c r="W23" i="35"/>
  <c r="S27" i="37"/>
  <c r="U39" i="37"/>
  <c r="AC8" i="37"/>
  <c r="S25" i="37"/>
  <c r="AC36" i="34"/>
  <c r="AB8" i="34"/>
  <c r="AC37" i="33"/>
  <c r="AA13" i="33"/>
  <c r="AC45" i="33"/>
  <c r="AA36" i="21"/>
  <c r="S39" i="33"/>
  <c r="F43" i="33"/>
  <c r="AA43" i="33"/>
  <c r="AA23" i="37"/>
  <c r="AB44" i="33"/>
  <c r="G107" i="37"/>
  <c r="H107" i="37"/>
  <c r="I107" i="37" s="1"/>
  <c r="J107" i="37" s="1"/>
  <c r="K107" i="37" s="1"/>
  <c r="L107" i="37" s="1"/>
  <c r="M107" i="37" s="1"/>
  <c r="AA9" i="21"/>
  <c r="F37" i="21"/>
  <c r="S37" i="21" s="1"/>
  <c r="J37" i="21"/>
  <c r="W37" i="21" s="1"/>
  <c r="H19" i="34"/>
  <c r="AB19" i="34"/>
  <c r="J10" i="37"/>
  <c r="AC10" i="37" s="1"/>
  <c r="F36" i="35"/>
  <c r="S36" i="35" s="1"/>
  <c r="J9" i="37"/>
  <c r="W9" i="37" s="1"/>
  <c r="H9" i="37"/>
  <c r="U9" i="37" s="1"/>
  <c r="F9" i="37"/>
  <c r="S9" i="37" s="1"/>
  <c r="F11" i="37"/>
  <c r="S11" i="37" s="1"/>
  <c r="J12" i="37"/>
  <c r="AC12" i="37" s="1"/>
  <c r="H12" i="37"/>
  <c r="F12" i="37"/>
  <c r="AA12" i="37" s="1"/>
  <c r="H15" i="37"/>
  <c r="U15" i="37" s="1"/>
  <c r="E94" i="37"/>
  <c r="F94" i="37" s="1"/>
  <c r="F31" i="37"/>
  <c r="S31" i="37"/>
  <c r="G94" i="37"/>
  <c r="H94" i="37" s="1"/>
  <c r="I94" i="37" s="1"/>
  <c r="J94" i="37" s="1"/>
  <c r="K94" i="37" s="1"/>
  <c r="L94" i="37" s="1"/>
  <c r="M94" i="37" s="1"/>
  <c r="H31" i="37"/>
  <c r="AB31" i="37"/>
  <c r="J15" i="37"/>
  <c r="W15" i="37"/>
  <c r="J11" i="37"/>
  <c r="W11" i="37" s="1"/>
  <c r="U31" i="37"/>
  <c r="E89" i="40"/>
  <c r="F21" i="40"/>
  <c r="S21" i="40" s="1"/>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AZ114" i="3" s="1"/>
  <c r="BL115" i="3"/>
  <c r="AZ115" i="3" s="1"/>
  <c r="G116" i="3"/>
  <c r="BA118" i="3"/>
  <c r="BL119" i="3"/>
  <c r="AZ119" i="3" s="1"/>
  <c r="G120" i="3"/>
  <c r="BA122" i="3"/>
  <c r="BL123" i="3"/>
  <c r="AZ123" i="3" s="1"/>
  <c r="G124" i="3"/>
  <c r="BA126" i="3"/>
  <c r="BL127" i="3"/>
  <c r="G128" i="3"/>
  <c r="BA130" i="3"/>
  <c r="AZ130" i="3" s="1"/>
  <c r="BL131" i="3"/>
  <c r="AZ131" i="3" s="1"/>
  <c r="G132" i="3"/>
  <c r="BA134" i="3"/>
  <c r="BL135" i="3"/>
  <c r="AZ135" i="3" s="1"/>
  <c r="G136" i="3"/>
  <c r="BA138" i="3"/>
  <c r="BL139" i="3"/>
  <c r="AZ139" i="3" s="1"/>
  <c r="G140" i="3"/>
  <c r="BA142" i="3"/>
  <c r="BL143" i="3"/>
  <c r="AZ143" i="3" s="1"/>
  <c r="G144" i="3"/>
  <c r="BA146" i="3"/>
  <c r="AZ146" i="3" s="1"/>
  <c r="BL147" i="3"/>
  <c r="AZ147" i="3" s="1"/>
  <c r="G148" i="3"/>
  <c r="BA150" i="3"/>
  <c r="BL151" i="3"/>
  <c r="AZ151" i="3"/>
  <c r="BA153" i="3"/>
  <c r="BL154" i="3"/>
  <c r="G155" i="3"/>
  <c r="BA157" i="3"/>
  <c r="AZ157" i="3"/>
  <c r="BL158" i="3"/>
  <c r="G159" i="3"/>
  <c r="BA161" i="3"/>
  <c r="BL162" i="3"/>
  <c r="G163" i="3"/>
  <c r="BA165" i="3"/>
  <c r="BL166" i="3"/>
  <c r="G167" i="3"/>
  <c r="BA169" i="3"/>
  <c r="AZ169" i="3"/>
  <c r="BL170" i="3"/>
  <c r="G171" i="3"/>
  <c r="BA173" i="3"/>
  <c r="BL174" i="3"/>
  <c r="G175" i="3"/>
  <c r="BA178" i="3"/>
  <c r="AZ178" i="3"/>
  <c r="BL179" i="3"/>
  <c r="G180" i="3"/>
  <c r="AZ31" i="3"/>
  <c r="AZ35" i="3"/>
  <c r="AZ43" i="3"/>
  <c r="AZ51" i="3"/>
  <c r="AZ59"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AZ70" i="3"/>
  <c r="AZ78" i="3"/>
  <c r="AZ82" i="3"/>
  <c r="AZ86" i="3"/>
  <c r="AZ98" i="3"/>
  <c r="AZ102"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AZ347" i="3" s="1"/>
  <c r="G348" i="3"/>
  <c r="G351" i="3"/>
  <c r="BL352" i="3"/>
  <c r="BA354" i="3"/>
  <c r="BA355" i="3"/>
  <c r="BL355" i="3"/>
  <c r="G356" i="3"/>
  <c r="AZ127"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BA381" i="3"/>
  <c r="BL381" i="3"/>
  <c r="G382" i="3"/>
  <c r="G385" i="3"/>
  <c r="AZ154" i="3"/>
  <c r="AZ158" i="3"/>
  <c r="AZ162" i="3"/>
  <c r="AZ166" i="3"/>
  <c r="AZ170" i="3"/>
  <c r="AZ174"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321" i="3"/>
  <c r="AZ341" i="3"/>
  <c r="AZ353" i="3"/>
  <c r="AZ363" i="3"/>
  <c r="G368" i="3"/>
  <c r="BA370" i="3"/>
  <c r="AZ370" i="3" s="1"/>
  <c r="BL371" i="3"/>
  <c r="G372" i="3"/>
  <c r="BA374" i="3"/>
  <c r="AZ374" i="3"/>
  <c r="BL375" i="3"/>
  <c r="G376" i="3"/>
  <c r="BA378" i="3"/>
  <c r="AZ378" i="3"/>
  <c r="BL379" i="3"/>
  <c r="AZ379" i="3"/>
  <c r="G380" i="3"/>
  <c r="BA382" i="3"/>
  <c r="AZ382" i="3" s="1"/>
  <c r="BL383" i="3"/>
  <c r="G384" i="3"/>
  <c r="AZ383" i="3"/>
  <c r="AZ303" i="3"/>
  <c r="AZ311" i="3"/>
  <c r="AZ315" i="3"/>
  <c r="AZ339" i="3"/>
  <c r="AZ361" i="3"/>
  <c r="F37" i="46"/>
  <c r="AB16" i="35"/>
  <c r="AB15" i="37"/>
  <c r="AA43" i="21"/>
  <c r="U43" i="21"/>
  <c r="AA13" i="40"/>
  <c r="F77" i="40"/>
  <c r="G77" i="40" s="1"/>
  <c r="H77" i="40" s="1"/>
  <c r="I77" i="40" s="1"/>
  <c r="J77" i="40" s="1"/>
  <c r="K77" i="40" s="1"/>
  <c r="L77" i="40" s="1"/>
  <c r="M77" i="40" s="1"/>
  <c r="BH5" i="3"/>
  <c r="R16" i="4"/>
  <c r="D3" i="35"/>
  <c r="G4" i="4"/>
  <c r="S37" i="34"/>
  <c r="J16" i="35"/>
  <c r="W16" i="35" s="1"/>
  <c r="AC26" i="36"/>
  <c r="AZ300" i="3"/>
  <c r="AZ354" i="3"/>
  <c r="AZ322" i="3"/>
  <c r="F13" i="39"/>
  <c r="AA13" i="39" s="1"/>
  <c r="AA36" i="35"/>
  <c r="H11" i="37"/>
  <c r="AB11" i="37" s="1"/>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s="1"/>
  <c r="F32" i="33"/>
  <c r="AA32" i="33" s="1"/>
  <c r="J32" i="33"/>
  <c r="AC32" i="33" s="1"/>
  <c r="F35" i="33"/>
  <c r="AA35" i="33" s="1"/>
  <c r="AB39" i="34"/>
  <c r="F11" i="34"/>
  <c r="S11" i="34"/>
  <c r="E80" i="34"/>
  <c r="F80" i="34"/>
  <c r="H17" i="34"/>
  <c r="AB17" i="34"/>
  <c r="AC27" i="34"/>
  <c r="W27" i="34"/>
  <c r="S12"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AC43" i="39" s="1"/>
  <c r="F99" i="37"/>
  <c r="AC27" i="37"/>
  <c r="U25" i="35"/>
  <c r="S45" i="34"/>
  <c r="U31" i="34"/>
  <c r="AC40" i="37"/>
  <c r="W40" i="37"/>
  <c r="W27" i="33"/>
  <c r="AC45" i="21"/>
  <c r="S28" i="33"/>
  <c r="S14" i="21"/>
  <c r="AA44" i="34"/>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c r="AB8" i="35"/>
  <c r="U8" i="35"/>
  <c r="J14" i="35"/>
  <c r="AC14" i="35" s="1"/>
  <c r="F14" i="35"/>
  <c r="S14" i="35" s="1"/>
  <c r="H14" i="35"/>
  <c r="U14" i="35" s="1"/>
  <c r="E80" i="35"/>
  <c r="E94" i="35"/>
  <c r="F94" i="35" s="1"/>
  <c r="G94" i="35" s="1"/>
  <c r="H94" i="35" s="1"/>
  <c r="I94" i="35" s="1"/>
  <c r="J94" i="35" s="1"/>
  <c r="K94" i="35" s="1"/>
  <c r="L94" i="35" s="1"/>
  <c r="M94" i="35" s="1"/>
  <c r="J32" i="35"/>
  <c r="AC32" i="35" s="1"/>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BA533" i="3"/>
  <c r="AZ533" i="3"/>
  <c r="BL531" i="3"/>
  <c r="AZ531" i="3"/>
  <c r="BL530" i="3"/>
  <c r="BA530" i="3"/>
  <c r="BL529" i="3"/>
  <c r="BA529" i="3"/>
  <c r="AZ529" i="3" s="1"/>
  <c r="BL528" i="3"/>
  <c r="AZ528" i="3"/>
  <c r="BA527" i="3"/>
  <c r="AZ527" i="3"/>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U8" i="21"/>
  <c r="AB8" i="21"/>
  <c r="AC36" i="21"/>
  <c r="AB8" i="33"/>
  <c r="U8" i="33"/>
  <c r="E106" i="33"/>
  <c r="H34" i="33"/>
  <c r="U34" i="33"/>
  <c r="F34" i="33"/>
  <c r="S34" i="33"/>
  <c r="E121" i="33"/>
  <c r="F41" i="33"/>
  <c r="S41" i="33" s="1"/>
  <c r="AC34" i="34"/>
  <c r="W34" i="34"/>
  <c r="AA39" i="34"/>
  <c r="S39" i="34"/>
  <c r="S43" i="34"/>
  <c r="E78" i="34"/>
  <c r="F15" i="34"/>
  <c r="AC28" i="35"/>
  <c r="J20" i="35"/>
  <c r="AC20" i="35" s="1"/>
  <c r="E72" i="35"/>
  <c r="F72" i="35"/>
  <c r="G72" i="35" s="1"/>
  <c r="H22" i="35"/>
  <c r="AB22" i="35" s="1"/>
  <c r="H23" i="35"/>
  <c r="AB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F91" i="40"/>
  <c r="H23" i="40"/>
  <c r="U23" i="40"/>
  <c r="H41" i="40"/>
  <c r="AB41" i="40"/>
  <c r="F41" i="40"/>
  <c r="AA41" i="40"/>
  <c r="J41" i="40"/>
  <c r="H36" i="33"/>
  <c r="AB36" i="33" s="1"/>
  <c r="H37" i="34"/>
  <c r="U37" i="34"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F72" i="9" s="1"/>
  <c r="J42" i="40"/>
  <c r="AC42" i="40" s="1"/>
  <c r="J40" i="40"/>
  <c r="AC40" i="40" s="1"/>
  <c r="J34" i="40"/>
  <c r="AC34" i="40" s="1"/>
  <c r="H16" i="40"/>
  <c r="AB16" i="40" s="1"/>
  <c r="H14" i="40"/>
  <c r="U14" i="40" s="1"/>
  <c r="F32" i="40"/>
  <c r="AA32" i="40" s="1"/>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77" i="3"/>
  <c r="AZ180" i="3"/>
  <c r="AZ24" i="3"/>
  <c r="AZ40" i="3"/>
  <c r="AZ56" i="3"/>
  <c r="AZ63" i="3"/>
  <c r="AZ91" i="3"/>
  <c r="AZ107" i="3"/>
  <c r="AZ112" i="3"/>
  <c r="J13" i="40"/>
  <c r="W13" i="40" s="1"/>
  <c r="AB14" i="40"/>
  <c r="AC14" i="40"/>
  <c r="S33" i="40"/>
  <c r="S47" i="39"/>
  <c r="AB37" i="34"/>
  <c r="AC41" i="40"/>
  <c r="W41" i="40"/>
  <c r="U41" i="40"/>
  <c r="J23" i="40"/>
  <c r="AC23" i="40" s="1"/>
  <c r="G91" i="40"/>
  <c r="F23" i="40"/>
  <c r="S23" i="40" s="1"/>
  <c r="AC15" i="40"/>
  <c r="AB16" i="39"/>
  <c r="W14" i="39"/>
  <c r="U23" i="35"/>
  <c r="H20" i="35"/>
  <c r="F20" i="35"/>
  <c r="S20" i="35" s="1"/>
  <c r="H15" i="34"/>
  <c r="AB15" i="34"/>
  <c r="F78" i="34"/>
  <c r="G78" i="34"/>
  <c r="J15" i="34"/>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U39" i="39"/>
  <c r="J29" i="39"/>
  <c r="AC29" i="39" s="1"/>
  <c r="AB21" i="39"/>
  <c r="U21" i="39"/>
  <c r="AB33" i="36"/>
  <c r="AA11" i="36"/>
  <c r="AA14" i="35"/>
  <c r="G99" i="37"/>
  <c r="F33" i="37"/>
  <c r="U46" i="34"/>
  <c r="AC30" i="34"/>
  <c r="AA14" i="34"/>
  <c r="W12" i="34"/>
  <c r="U29" i="33"/>
  <c r="AC13" i="33"/>
  <c r="U17" i="34"/>
  <c r="AA11" i="34"/>
  <c r="W32" i="33"/>
  <c r="H15" i="33"/>
  <c r="U15" i="33" s="1"/>
  <c r="AA11" i="33"/>
  <c r="AA40" i="21"/>
  <c r="S13" i="39"/>
  <c r="U16" i="40"/>
  <c r="W34" i="40"/>
  <c r="AB34" i="40"/>
  <c r="U42" i="40"/>
  <c r="AC16" i="40"/>
  <c r="W32" i="40"/>
  <c r="H25" i="40"/>
  <c r="AB25" i="40"/>
  <c r="F93" i="40"/>
  <c r="G93" i="40"/>
  <c r="U47" i="39"/>
  <c r="J37" i="34"/>
  <c r="AC37" i="34"/>
  <c r="J36" i="33"/>
  <c r="W36" i="33"/>
  <c r="S41" i="40"/>
  <c r="AB23" i="40"/>
  <c r="U27" i="39"/>
  <c r="H23" i="39"/>
  <c r="AB23" i="39" s="1"/>
  <c r="J23" i="39"/>
  <c r="AC23" i="39" s="1"/>
  <c r="F96" i="39"/>
  <c r="G96"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46" i="39"/>
  <c r="AB44" i="39"/>
  <c r="AC33" i="39"/>
  <c r="W33"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S43"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AC16" i="35"/>
  <c r="AC13" i="40"/>
  <c r="J11" i="34"/>
  <c r="W11" i="34"/>
  <c r="AC36" i="33"/>
  <c r="F25" i="40"/>
  <c r="AA25" i="40" s="1"/>
  <c r="J11" i="33"/>
  <c r="W11" i="33" s="1"/>
  <c r="H33" i="37"/>
  <c r="AB33" i="37" s="1"/>
  <c r="W15" i="34"/>
  <c r="AC15" i="34"/>
  <c r="U20" i="35"/>
  <c r="AB20" i="35"/>
  <c r="W23" i="40"/>
  <c r="B11" i="1"/>
  <c r="E11" i="1" s="1"/>
  <c r="K11" i="1"/>
  <c r="M11" i="1" s="1"/>
  <c r="B9" i="1"/>
  <c r="E9" i="1" s="1"/>
  <c r="K9" i="1"/>
  <c r="M9" i="1" s="1"/>
  <c r="B7" i="1"/>
  <c r="E7" i="1" s="1"/>
  <c r="K7" i="1"/>
  <c r="M7" i="1" s="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U22" i="35"/>
  <c r="AA13" i="35"/>
  <c r="AC9" i="35"/>
  <c r="S8" i="35"/>
  <c r="U33" i="35"/>
  <c r="S23" i="35"/>
  <c r="S16" i="35"/>
  <c r="U9" i="35"/>
  <c r="W13" i="35"/>
  <c r="AC18" i="35"/>
  <c r="W18" i="35"/>
  <c r="U18" i="35"/>
  <c r="AB18" i="35"/>
  <c r="AA35" i="35"/>
  <c r="AB30" i="35"/>
  <c r="S27" i="35"/>
  <c r="J26" i="35"/>
  <c r="AC26" i="35" s="1"/>
  <c r="F26" i="35"/>
  <c r="AA26" i="35" s="1"/>
  <c r="H26" i="35"/>
  <c r="AB26" i="35" s="1"/>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c r="J23" i="33"/>
  <c r="F23" i="33"/>
  <c r="H23" i="33"/>
  <c r="U19" i="33"/>
  <c r="F79" i="33"/>
  <c r="G79" i="33" s="1"/>
  <c r="F17" i="33"/>
  <c r="H17" i="33"/>
  <c r="J17" i="33"/>
  <c r="AB15" i="33"/>
  <c r="AC11" i="33"/>
  <c r="S14" i="33"/>
  <c r="AC21" i="33"/>
  <c r="W21" i="33"/>
  <c r="W14" i="33"/>
  <c r="U25" i="33"/>
  <c r="AB21" i="33"/>
  <c r="U21" i="33"/>
  <c r="AA21" i="33"/>
  <c r="S21" i="33"/>
  <c r="AA44" i="33"/>
  <c r="AA36" i="33"/>
  <c r="W39" i="21"/>
  <c r="W43" i="21"/>
  <c r="AA37" i="21"/>
  <c r="S42" i="21"/>
  <c r="AB37" i="21"/>
  <c r="W28" i="21"/>
  <c r="AC26" i="21"/>
  <c r="F85" i="21"/>
  <c r="G85" i="21"/>
  <c r="J23" i="21"/>
  <c r="W23" i="21" s="1"/>
  <c r="F23" i="21"/>
  <c r="S23" i="21" s="1"/>
  <c r="H23" i="21"/>
  <c r="U23" i="21" s="1"/>
  <c r="F15" i="21"/>
  <c r="S15" i="21" s="1"/>
  <c r="F77" i="21"/>
  <c r="G77" i="21" s="1"/>
  <c r="J15" i="21"/>
  <c r="AC15" i="21" s="1"/>
  <c r="H15" i="21"/>
  <c r="AB15" i="21" s="1"/>
  <c r="AC11" i="21"/>
  <c r="AB11" i="21"/>
  <c r="W13" i="21"/>
  <c r="AA11" i="21"/>
  <c r="AC21" i="21"/>
  <c r="W21"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A21" i="39"/>
  <c r="AC38" i="39"/>
  <c r="AC21" i="39"/>
  <c r="S14" i="39"/>
  <c r="U11" i="39"/>
  <c r="U41" i="39"/>
  <c r="AB38" i="39"/>
  <c r="U31" i="39"/>
  <c r="AB31" i="39"/>
  <c r="S38" i="39"/>
  <c r="S22" i="31"/>
  <c r="D18" i="9"/>
  <c r="M44" i="9" s="1"/>
  <c r="M43" i="9"/>
  <c r="D96" i="9"/>
  <c r="M18" i="15"/>
  <c r="A18" i="64"/>
  <c r="B74" i="63"/>
  <c r="C53" i="10"/>
  <c r="A25" i="64" s="1"/>
  <c r="A18" i="51"/>
  <c r="B14" i="63" s="1"/>
  <c r="BA16" i="3"/>
  <c r="BA17" i="3"/>
  <c r="AZ17" i="3" s="1"/>
  <c r="F3" i="35"/>
  <c r="K1" i="43"/>
  <c r="K1" i="12"/>
  <c r="G1" i="44"/>
  <c r="AZ15" i="3"/>
  <c r="BK5" i="3"/>
  <c r="BO5" i="3"/>
  <c r="BP5" i="3"/>
  <c r="BL18" i="3"/>
  <c r="AZ18" i="3" s="1"/>
  <c r="BC5" i="3"/>
  <c r="BD5" i="3"/>
  <c r="BR5" i="3"/>
  <c r="BS5" i="3"/>
  <c r="F28" i="6" s="1"/>
  <c r="BQ5" i="3"/>
  <c r="BL16" i="3"/>
  <c r="BM5" i="3"/>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8" i="36" s="1"/>
  <c r="U16" i="36"/>
  <c r="S25" i="36"/>
  <c r="AA34" i="36"/>
  <c r="U23" i="36"/>
  <c r="AC27" i="36"/>
  <c r="W28" i="36"/>
  <c r="AA32" i="36"/>
  <c r="U13" i="36"/>
  <c r="AA22" i="36"/>
  <c r="AA13" i="36"/>
  <c r="W29" i="36"/>
  <c r="W9" i="36"/>
  <c r="S9" i="36"/>
  <c r="W8" i="36"/>
  <c r="AC30" i="35"/>
  <c r="U24" i="35"/>
  <c r="S24" i="35"/>
  <c r="U32" i="35"/>
  <c r="W2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5" i="40"/>
  <c r="J27" i="40"/>
  <c r="AC27" i="40" s="1"/>
  <c r="W37" i="40"/>
  <c r="W30" i="40"/>
  <c r="S34" i="40"/>
  <c r="U38" i="40"/>
  <c r="S40" i="40"/>
  <c r="S42" i="40"/>
  <c r="G104" i="39"/>
  <c r="J31" i="39"/>
  <c r="W31" i="39" s="1"/>
  <c r="S45" i="39"/>
  <c r="AB33" i="39"/>
  <c r="AC46" i="39"/>
  <c r="S34" i="39"/>
  <c r="W42" i="39"/>
  <c r="W36" i="39"/>
  <c r="U14" i="39"/>
  <c r="W16" i="39"/>
  <c r="W45" i="39"/>
  <c r="S41" i="39"/>
  <c r="W34" i="39"/>
  <c r="W10" i="39"/>
  <c r="W11" i="39"/>
  <c r="U42" i="39"/>
  <c r="W40" i="39"/>
  <c r="S32" i="40"/>
  <c r="C27" i="39"/>
  <c r="C17" i="40"/>
  <c r="C19" i="40"/>
  <c r="C17" i="39"/>
  <c r="C19" i="39"/>
  <c r="C21" i="39"/>
  <c r="C23" i="40"/>
  <c r="B51" i="46"/>
  <c r="B54" i="46"/>
  <c r="B62" i="46"/>
  <c r="B69" i="46"/>
  <c r="B56" i="46"/>
  <c r="B67" i="46"/>
  <c r="D24" i="15"/>
  <c r="S14" i="36"/>
  <c r="AB20" i="36"/>
  <c r="AA20" i="36"/>
  <c r="AC14" i="36"/>
  <c r="W14" i="36"/>
  <c r="U14" i="36"/>
  <c r="AB14"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17" i="51"/>
  <c r="B13" i="63" s="1"/>
  <c r="AZ16" i="3"/>
  <c r="E4" i="4"/>
  <c r="B21" i="55" s="1"/>
  <c r="B72" i="63" s="1"/>
  <c r="C4" i="4"/>
  <c r="G66" i="36"/>
  <c r="J18" i="36"/>
  <c r="W18" i="36"/>
  <c r="AC18" i="36"/>
  <c r="L20" i="6"/>
  <c r="B20" i="55"/>
  <c r="B70" i="63" s="1"/>
  <c r="C45" i="9"/>
  <c r="B7" i="66" s="1"/>
  <c r="N76" i="9"/>
  <c r="B8" i="66"/>
  <c r="H61" i="46"/>
  <c r="J21" i="46"/>
  <c r="F38" i="46"/>
  <c r="F41" i="46"/>
  <c r="F40" i="46"/>
  <c r="H117" i="46"/>
  <c r="D24" i="59"/>
  <c r="C23" i="59"/>
  <c r="D23" i="59"/>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B22" i="59"/>
  <c r="B21" i="59"/>
  <c r="B20" i="59" s="1"/>
  <c r="B19" i="59" s="1"/>
  <c r="B18" i="59" s="1"/>
  <c r="D22" i="59"/>
  <c r="M9" i="15"/>
  <c r="J17" i="44"/>
  <c r="F45" i="44"/>
  <c r="E9" i="67"/>
  <c r="F18" i="44"/>
  <c r="F38" i="44"/>
  <c r="M22" i="15"/>
  <c r="B11" i="67"/>
  <c r="F11" i="67"/>
  <c r="M24" i="15"/>
  <c r="E12" i="67"/>
  <c r="M31" i="44"/>
  <c r="M30" i="44"/>
  <c r="F10" i="44"/>
  <c r="L49" i="44"/>
  <c r="M24" i="44"/>
  <c r="F37" i="15"/>
  <c r="L48" i="15"/>
  <c r="M28" i="44"/>
  <c r="N6" i="65"/>
  <c r="F8" i="44"/>
  <c r="F43" i="15"/>
  <c r="F11" i="44"/>
  <c r="M29" i="15"/>
  <c r="J5" i="65"/>
  <c r="B12" i="67"/>
  <c r="J3" i="65"/>
  <c r="B9" i="67"/>
  <c r="F8" i="67"/>
  <c r="M28" i="15"/>
  <c r="N5" i="65"/>
  <c r="F36" i="15"/>
  <c r="J6" i="65"/>
  <c r="E8" i="67"/>
  <c r="F26" i="15"/>
  <c r="F12" i="67"/>
  <c r="F40" i="44"/>
  <c r="F13" i="67"/>
  <c r="B14" i="67"/>
  <c r="F43" i="44"/>
  <c r="E11" i="67"/>
  <c r="F6" i="15"/>
  <c r="M8" i="44"/>
  <c r="L47" i="15"/>
  <c r="B8" i="67"/>
  <c r="F8" i="15"/>
  <c r="F40" i="15"/>
  <c r="F42" i="15"/>
  <c r="M26" i="44"/>
  <c r="I3" i="65"/>
  <c r="F9" i="44"/>
  <c r="M23" i="15"/>
  <c r="I6" i="65"/>
  <c r="J15" i="15"/>
  <c r="N7" i="65"/>
  <c r="F9" i="15"/>
  <c r="B13" i="67"/>
  <c r="M11" i="44"/>
  <c r="F39" i="44"/>
  <c r="F13" i="15"/>
  <c r="F16" i="15"/>
  <c r="J7" i="65"/>
  <c r="F7" i="15"/>
  <c r="J4" i="65"/>
  <c r="F9" i="67"/>
  <c r="I5" i="65"/>
  <c r="L48" i="44"/>
  <c r="I7" i="65"/>
  <c r="M10" i="44"/>
  <c r="F10" i="67"/>
  <c r="M25" i="44"/>
  <c r="E13" i="67"/>
  <c r="N4" i="65"/>
  <c r="M26" i="15"/>
  <c r="F14" i="67"/>
  <c r="I4" i="65"/>
  <c r="F38" i="15"/>
  <c r="E10" i="67"/>
  <c r="F15" i="44"/>
  <c r="B10" i="67"/>
  <c r="M6" i="15"/>
  <c r="F28" i="44"/>
  <c r="J36" i="15"/>
  <c r="M8" i="15"/>
  <c r="N3" i="65"/>
  <c r="E14" i="67"/>
  <c r="O40" i="9" l="1"/>
  <c r="K31" i="9" s="1"/>
  <c r="K32" i="9" s="1"/>
  <c r="A11" i="55"/>
  <c r="B62" i="63" s="1"/>
  <c r="AC34" i="35"/>
  <c r="W34" i="35"/>
  <c r="F34" i="35"/>
  <c r="AC33" i="35"/>
  <c r="W32" i="35"/>
  <c r="S28" i="35"/>
  <c r="AA29" i="35"/>
  <c r="W26" i="35"/>
  <c r="U26" i="35"/>
  <c r="S26" i="35"/>
  <c r="AA33" i="35"/>
  <c r="S32" i="35"/>
  <c r="S30" i="35"/>
  <c r="W20" i="35"/>
  <c r="W25" i="35"/>
  <c r="W24" i="35"/>
  <c r="AA20" i="35"/>
  <c r="AB14" i="35"/>
  <c r="AA9" i="35"/>
  <c r="AC44" i="21"/>
  <c r="W44" i="21"/>
  <c r="AB46" i="21"/>
  <c r="U46" i="21"/>
  <c r="F46" i="21"/>
  <c r="J46" i="21"/>
  <c r="F44" i="21"/>
  <c r="H44" i="21"/>
  <c r="S33" i="21"/>
  <c r="W42" i="21"/>
  <c r="U42" i="21"/>
  <c r="W10" i="21"/>
  <c r="AB10" i="21"/>
  <c r="J13" i="39"/>
  <c r="AC13" i="39" s="1"/>
  <c r="H13" i="39"/>
  <c r="AA15" i="39"/>
  <c r="S15" i="39"/>
  <c r="J15" i="39"/>
  <c r="H15" i="39"/>
  <c r="AA46" i="39"/>
  <c r="AB45" i="39"/>
  <c r="AC37" i="39"/>
  <c r="G12" i="1"/>
  <c r="P16" i="4"/>
  <c r="F29" i="6"/>
  <c r="AB32" i="21"/>
  <c r="U35" i="21"/>
  <c r="S35" i="21"/>
  <c r="AC35" i="21"/>
  <c r="AC34" i="21"/>
  <c r="S34" i="21"/>
  <c r="AC40" i="21"/>
  <c r="U39" i="21"/>
  <c r="AA38" i="21"/>
  <c r="AB36" i="21"/>
  <c r="AC33" i="21"/>
  <c r="W32" i="21"/>
  <c r="AC23" i="21"/>
  <c r="AB23" i="21"/>
  <c r="AA23" i="21"/>
  <c r="S21" i="21"/>
  <c r="U19" i="21"/>
  <c r="AC19" i="21"/>
  <c r="S19" i="21"/>
  <c r="W17" i="21"/>
  <c r="AA17" i="21"/>
  <c r="U17" i="21"/>
  <c r="U15" i="21"/>
  <c r="AA15" i="21"/>
  <c r="W15" i="21"/>
  <c r="W8" i="21"/>
  <c r="S8" i="21"/>
  <c r="AB43" i="39"/>
  <c r="S31" i="39"/>
  <c r="W29" i="39"/>
  <c r="S29" i="39"/>
  <c r="AB29" i="39"/>
  <c r="S27" i="39"/>
  <c r="W27" i="39"/>
  <c r="W25" i="39"/>
  <c r="S25" i="39"/>
  <c r="AB25" i="39"/>
  <c r="W23" i="39"/>
  <c r="U23" i="39"/>
  <c r="S23" i="39"/>
  <c r="AC19" i="39"/>
  <c r="AA19" i="39"/>
  <c r="U19" i="39"/>
  <c r="AC17" i="39"/>
  <c r="S17" i="39"/>
  <c r="AB17" i="39"/>
  <c r="AA44" i="39"/>
  <c r="AC44" i="39"/>
  <c r="W43" i="39"/>
  <c r="W41" i="39"/>
  <c r="W13" i="39"/>
  <c r="B65" i="46"/>
  <c r="B77" i="46"/>
  <c r="C31" i="39"/>
  <c r="B68" i="46"/>
  <c r="I4" i="6"/>
  <c r="G3" i="46" s="1"/>
  <c r="Z7" i="46" s="1"/>
  <c r="G14" i="3"/>
  <c r="C20" i="59"/>
  <c r="T21" i="59"/>
  <c r="D21" i="59"/>
  <c r="S21" i="59"/>
  <c r="AZ381" i="3"/>
  <c r="AZ355" i="3"/>
  <c r="AZ307" i="3"/>
  <c r="AZ377" i="3"/>
  <c r="S12" i="21"/>
  <c r="AA12" i="21"/>
  <c r="S28" i="34"/>
  <c r="AA28" i="34"/>
  <c r="AA31" i="33"/>
  <c r="S31" i="33"/>
  <c r="U45" i="33"/>
  <c r="AB45" i="33"/>
  <c r="G29" i="6"/>
  <c r="S17" i="34"/>
  <c r="W40" i="40"/>
  <c r="AZ496" i="3"/>
  <c r="AZ504" i="3"/>
  <c r="AZ506" i="3"/>
  <c r="AZ523" i="3"/>
  <c r="AZ537" i="3"/>
  <c r="AZ548" i="3"/>
  <c r="AZ567" i="3"/>
  <c r="AB12" i="37"/>
  <c r="U12" i="37"/>
  <c r="W9" i="33"/>
  <c r="AC9" i="33"/>
  <c r="U27" i="33"/>
  <c r="AB27" i="33"/>
  <c r="AZ526" i="3"/>
  <c r="AZ534" i="3"/>
  <c r="AZ542" i="3"/>
  <c r="E5" i="6"/>
  <c r="D12" i="11" s="1"/>
  <c r="C12" i="11" s="1"/>
  <c r="BF5" i="3"/>
  <c r="B76" i="46"/>
  <c r="B84" i="46"/>
  <c r="B94" i="46"/>
  <c r="AC23" i="37"/>
  <c r="AZ514" i="3"/>
  <c r="AZ524" i="3"/>
  <c r="AZ532" i="3"/>
  <c r="AZ546" i="3"/>
  <c r="AZ543" i="3"/>
  <c r="AZ502" i="3"/>
  <c r="AZ550" i="3"/>
  <c r="AZ556" i="3"/>
  <c r="S45" i="21"/>
  <c r="AA27" i="33"/>
  <c r="W31" i="34"/>
  <c r="AB13" i="21"/>
  <c r="AB40" i="37"/>
  <c r="W46" i="33"/>
  <c r="W35" i="35"/>
  <c r="H5" i="3"/>
  <c r="BA572" i="3"/>
  <c r="AZ572" i="3" s="1"/>
  <c r="BA570" i="3"/>
  <c r="AZ570" i="3" s="1"/>
  <c r="BE5" i="3"/>
  <c r="B101" i="46"/>
  <c r="B79" i="46"/>
  <c r="A30" i="64"/>
  <c r="A30" i="51"/>
  <c r="B22" i="63" s="1"/>
  <c r="A2" i="55"/>
  <c r="B55" i="63" s="1"/>
  <c r="BA389" i="3"/>
  <c r="AZ389" i="3" s="1"/>
  <c r="BA391" i="3"/>
  <c r="AZ391" i="3" s="1"/>
  <c r="BL392" i="3"/>
  <c r="BA393" i="3"/>
  <c r="AZ393" i="3" s="1"/>
  <c r="BL398" i="3"/>
  <c r="AZ398" i="3" s="1"/>
  <c r="BA401" i="3"/>
  <c r="AZ401" i="3" s="1"/>
  <c r="BL402" i="3"/>
  <c r="BA407" i="3"/>
  <c r="AZ407" i="3" s="1"/>
  <c r="BL408" i="3"/>
  <c r="BA409" i="3"/>
  <c r="AZ409" i="3" s="1"/>
  <c r="BL414" i="3"/>
  <c r="AZ414" i="3" s="1"/>
  <c r="BL418" i="3"/>
  <c r="AZ418" i="3" s="1"/>
  <c r="BA419" i="3"/>
  <c r="AZ419" i="3" s="1"/>
  <c r="BL420" i="3"/>
  <c r="BA421" i="3"/>
  <c r="AZ421" i="3" s="1"/>
  <c r="BA423" i="3"/>
  <c r="AZ423" i="3" s="1"/>
  <c r="BL424" i="3"/>
  <c r="BA425" i="3"/>
  <c r="AZ425" i="3" s="1"/>
  <c r="BL428" i="3"/>
  <c r="AZ428" i="3" s="1"/>
  <c r="BA429" i="3"/>
  <c r="AZ429" i="3" s="1"/>
  <c r="BA431" i="3"/>
  <c r="AZ431" i="3" s="1"/>
  <c r="BL432" i="3"/>
  <c r="AZ432" i="3" s="1"/>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BL466" i="3"/>
  <c r="AZ466" i="3" s="1"/>
  <c r="BA469" i="3"/>
  <c r="AZ469" i="3" s="1"/>
  <c r="BL470" i="3"/>
  <c r="BL474" i="3"/>
  <c r="AZ474" i="3" s="1"/>
  <c r="BA477" i="3"/>
  <c r="AZ477" i="3" s="1"/>
  <c r="BL478" i="3"/>
  <c r="F26" i="37"/>
  <c r="AZ392" i="3"/>
  <c r="AZ399" i="3"/>
  <c r="AZ402" i="3"/>
  <c r="AZ403" i="3"/>
  <c r="AZ408" i="3"/>
  <c r="AZ415" i="3"/>
  <c r="AZ420" i="3"/>
  <c r="AZ424" i="3"/>
  <c r="AZ433" i="3"/>
  <c r="AZ439" i="3"/>
  <c r="AZ459" i="3"/>
  <c r="AZ462" i="3"/>
  <c r="AZ463" i="3"/>
  <c r="AZ467" i="3"/>
  <c r="AZ470" i="3"/>
  <c r="AZ471" i="3"/>
  <c r="AZ475" i="3"/>
  <c r="AZ478" i="3"/>
  <c r="AZ479" i="3"/>
  <c r="BA309" i="3"/>
  <c r="AZ309" i="3" s="1"/>
  <c r="BA313" i="3"/>
  <c r="AZ313" i="3" s="1"/>
  <c r="BA317" i="3"/>
  <c r="AZ317" i="3" s="1"/>
  <c r="BL318" i="3"/>
  <c r="BA333" i="3"/>
  <c r="AZ333" i="3" s="1"/>
  <c r="BL334" i="3"/>
  <c r="BA349" i="3"/>
  <c r="AZ349" i="3" s="1"/>
  <c r="BL350" i="3"/>
  <c r="BA357" i="3"/>
  <c r="AZ357" i="3" s="1"/>
  <c r="BL364" i="3"/>
  <c r="AZ364" i="3" s="1"/>
  <c r="BL369" i="3"/>
  <c r="AZ369" i="3" s="1"/>
  <c r="BA375" i="3"/>
  <c r="AZ375" i="3" s="1"/>
  <c r="BL380" i="3"/>
  <c r="AZ380" i="3" s="1"/>
  <c r="BL385" i="3"/>
  <c r="AZ385" i="3" s="1"/>
  <c r="BA386" i="3"/>
  <c r="AZ386" i="3" s="1"/>
  <c r="BL387" i="3"/>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BA270" i="3"/>
  <c r="AZ270" i="3" s="1"/>
  <c r="BL271" i="3"/>
  <c r="BA272" i="3"/>
  <c r="AZ272" i="3" s="1"/>
  <c r="BA274" i="3"/>
  <c r="AZ274" i="3" s="1"/>
  <c r="BL275" i="3"/>
  <c r="BA278" i="3"/>
  <c r="AZ278" i="3" s="1"/>
  <c r="BL279" i="3"/>
  <c r="BA280" i="3"/>
  <c r="AZ280" i="3" s="1"/>
  <c r="BA282" i="3"/>
  <c r="AZ282" i="3" s="1"/>
  <c r="BL283" i="3"/>
  <c r="BA286" i="3"/>
  <c r="AZ286" i="3" s="1"/>
  <c r="BL287" i="3"/>
  <c r="BA288" i="3"/>
  <c r="AZ288" i="3" s="1"/>
  <c r="BA290" i="3"/>
  <c r="AZ290" i="3" s="1"/>
  <c r="BL291" i="3"/>
  <c r="BL295" i="3"/>
  <c r="AZ295" i="3" s="1"/>
  <c r="BA296" i="3"/>
  <c r="AZ296" i="3" s="1"/>
  <c r="BL113" i="3"/>
  <c r="BL118" i="3"/>
  <c r="AZ118" i="3" s="1"/>
  <c r="BA120" i="3"/>
  <c r="AZ120" i="3" s="1"/>
  <c r="BL122" i="3"/>
  <c r="AZ122" i="3" s="1"/>
  <c r="BL126" i="3"/>
  <c r="AZ126" i="3" s="1"/>
  <c r="BA128" i="3"/>
  <c r="AZ128" i="3" s="1"/>
  <c r="BL129" i="3"/>
  <c r="BL134" i="3"/>
  <c r="AZ134" i="3" s="1"/>
  <c r="BA136" i="3"/>
  <c r="AZ136" i="3" s="1"/>
  <c r="BL138" i="3"/>
  <c r="AZ138" i="3" s="1"/>
  <c r="BL142" i="3"/>
  <c r="AZ142" i="3" s="1"/>
  <c r="BA144" i="3"/>
  <c r="AZ144" i="3" s="1"/>
  <c r="BL145" i="3"/>
  <c r="BL150" i="3"/>
  <c r="AZ150" i="3" s="1"/>
  <c r="BL153" i="3"/>
  <c r="AZ153" i="3" s="1"/>
  <c r="BA155" i="3"/>
  <c r="AZ155" i="3" s="1"/>
  <c r="BL156" i="3"/>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BL27" i="3"/>
  <c r="AZ27" i="3" s="1"/>
  <c r="BA28" i="3"/>
  <c r="AZ28" i="3" s="1"/>
  <c r="BL29" i="3"/>
  <c r="BA30" i="3"/>
  <c r="AZ30" i="3" s="1"/>
  <c r="BA32" i="3"/>
  <c r="AZ32" i="3" s="1"/>
  <c r="BL33" i="3"/>
  <c r="BA34" i="3"/>
  <c r="AZ34" i="3" s="1"/>
  <c r="BL39" i="3"/>
  <c r="AZ39" i="3" s="1"/>
  <c r="O67" i="59"/>
  <c r="O66" i="59"/>
  <c r="D67" i="59"/>
  <c r="AZ318" i="3"/>
  <c r="AZ334" i="3"/>
  <c r="AZ350" i="3"/>
  <c r="AZ360" i="3"/>
  <c r="AZ371" i="3"/>
  <c r="AZ376" i="3"/>
  <c r="AZ387" i="3"/>
  <c r="AZ388" i="3"/>
  <c r="AZ267" i="3"/>
  <c r="AZ275" i="3"/>
  <c r="AZ279" i="3"/>
  <c r="AZ283" i="3"/>
  <c r="AZ291" i="3"/>
  <c r="AZ113" i="3"/>
  <c r="AZ129" i="3"/>
  <c r="AZ145" i="3"/>
  <c r="AZ156" i="3"/>
  <c r="BL42" i="3"/>
  <c r="AZ42" i="3" s="1"/>
  <c r="BA47" i="3"/>
  <c r="AZ47" i="3" s="1"/>
  <c r="BA48" i="3"/>
  <c r="AZ48" i="3" s="1"/>
  <c r="BL49" i="3"/>
  <c r="AZ49" i="3" s="1"/>
  <c r="BA50" i="3"/>
  <c r="AZ50" i="3" s="1"/>
  <c r="BL55" i="3"/>
  <c r="AZ55" i="3" s="1"/>
  <c r="BA57" i="3"/>
  <c r="AZ57" i="3" s="1"/>
  <c r="BL58" i="3"/>
  <c r="AZ58" i="3" s="1"/>
  <c r="BA60" i="3"/>
  <c r="AZ60" i="3" s="1"/>
  <c r="BL61" i="3"/>
  <c r="BA62" i="3"/>
  <c r="AZ62" i="3" s="1"/>
  <c r="BA66" i="3"/>
  <c r="AZ66" i="3" s="1"/>
  <c r="BL67" i="3"/>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O13" i="1" s="1"/>
  <c r="P13" i="1" s="1"/>
  <c r="D68" i="59"/>
  <c r="AZ61" i="3"/>
  <c r="AZ67" i="3"/>
  <c r="Q67" i="59"/>
  <c r="Q66" i="59"/>
  <c r="Y5" i="59"/>
  <c r="Z5" i="59" s="1"/>
  <c r="Y6" i="59"/>
  <c r="Z6" i="59" s="1"/>
  <c r="Y7" i="59"/>
  <c r="Z7" i="59" s="1"/>
  <c r="Y8" i="59"/>
  <c r="Z8" i="59" s="1"/>
  <c r="Y11" i="59"/>
  <c r="Z11" i="59" s="1"/>
  <c r="Y10" i="59"/>
  <c r="Z10" i="59" s="1"/>
  <c r="T25" i="59"/>
  <c r="AA34" i="59"/>
  <c r="T29" i="59"/>
  <c r="Y24" i="59"/>
  <c r="Z24" i="59" s="1"/>
  <c r="AB24" i="59"/>
  <c r="X19" i="59"/>
  <c r="AA19" i="59"/>
  <c r="Y19" i="59"/>
  <c r="Z19" i="59" s="1"/>
  <c r="AB19" i="59"/>
  <c r="X15" i="59"/>
  <c r="AA13" i="59"/>
  <c r="B31" i="59"/>
  <c r="B32" i="59" s="1"/>
  <c r="B33" i="59" s="1"/>
  <c r="S33" i="59" s="1"/>
  <c r="C31" i="59"/>
  <c r="F35" i="59"/>
  <c r="F36" i="59" s="1"/>
  <c r="F37" i="59" s="1"/>
  <c r="V37" i="59" s="1"/>
  <c r="B39" i="59"/>
  <c r="B40" i="59" s="1"/>
  <c r="B41" i="59" s="1"/>
  <c r="S41" i="59" s="1"/>
  <c r="C39" i="59"/>
  <c r="X5" i="59"/>
  <c r="X7" i="59"/>
  <c r="X6" i="59"/>
  <c r="X8" i="59"/>
  <c r="X11" i="59"/>
  <c r="X10" i="59"/>
  <c r="AA5" i="59"/>
  <c r="AA7" i="59"/>
  <c r="AA6" i="59"/>
  <c r="AA8" i="59"/>
  <c r="AA11" i="59"/>
  <c r="AA10" i="59"/>
  <c r="AB5" i="59"/>
  <c r="AB6" i="59"/>
  <c r="AB7" i="59"/>
  <c r="AB8" i="59"/>
  <c r="AB10" i="59"/>
  <c r="B68" i="59"/>
  <c r="X24" i="59"/>
  <c r="X25" i="59"/>
  <c r="B29" i="59"/>
  <c r="U29" i="59"/>
  <c r="E28" i="59"/>
  <c r="E27" i="59" s="1"/>
  <c r="C28" i="59"/>
  <c r="V29" i="59"/>
  <c r="X22" i="59"/>
  <c r="AA24" i="59"/>
  <c r="AA22" i="59"/>
  <c r="X18" i="59"/>
  <c r="Y18" i="59"/>
  <c r="Z18" i="59" s="1"/>
  <c r="AA18" i="59"/>
  <c r="AB18" i="59"/>
  <c r="Y15" i="59"/>
  <c r="Z15" i="59" s="1"/>
  <c r="AB16" i="59"/>
  <c r="AB12" i="59"/>
  <c r="AB13" i="59"/>
  <c r="AB15" i="59"/>
  <c r="Y14" i="59"/>
  <c r="Z14" i="59" s="1"/>
  <c r="AA12" i="59"/>
  <c r="X12" i="59"/>
  <c r="X14" i="59"/>
  <c r="F25" i="59"/>
  <c r="E25" i="59"/>
  <c r="K76" i="9"/>
  <c r="Y25" i="59"/>
  <c r="Z25" i="59" s="1"/>
  <c r="AB25" i="59"/>
  <c r="AA16" i="59"/>
  <c r="X17" i="59"/>
  <c r="AB11" i="59"/>
  <c r="AB14" i="59"/>
  <c r="Y12" i="59"/>
  <c r="Z12" i="59" s="1"/>
  <c r="Y13" i="59"/>
  <c r="Z13" i="59" s="1"/>
  <c r="AA14" i="59"/>
  <c r="AA15" i="59"/>
  <c r="X13" i="59"/>
  <c r="D65" i="46"/>
  <c r="D50" i="46"/>
  <c r="F36" i="44"/>
  <c r="M22" i="44"/>
  <c r="M20" i="15"/>
  <c r="E29" i="6"/>
  <c r="K15" i="1" s="1"/>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J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6" i="1"/>
  <c r="P6" i="1" s="1"/>
  <c r="C15" i="12" s="1"/>
  <c r="O7" i="1"/>
  <c r="P7" i="1" s="1"/>
  <c r="O12" i="1"/>
  <c r="P12" i="1" s="1"/>
  <c r="O10" i="1"/>
  <c r="P10" i="1" s="1"/>
  <c r="O9" i="1"/>
  <c r="P9" i="1" s="1"/>
  <c r="G6" i="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C6" i="15"/>
  <c r="C32" i="15" s="1"/>
  <c r="F65" i="15"/>
  <c r="C29" i="44"/>
  <c r="C8" i="44"/>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6" i="15"/>
  <c r="C18" i="44"/>
  <c r="E3" i="65"/>
  <c r="E2" i="65"/>
  <c r="AA34" i="35" l="1"/>
  <c r="S34" i="35"/>
  <c r="C34" i="44"/>
  <c r="U44" i="21"/>
  <c r="AB44" i="21"/>
  <c r="W46" i="21"/>
  <c r="AC46" i="21"/>
  <c r="AA44" i="21"/>
  <c r="S44" i="21"/>
  <c r="AA46" i="21"/>
  <c r="S46" i="21"/>
  <c r="AB13" i="39"/>
  <c r="U13" i="39"/>
  <c r="U15" i="39"/>
  <c r="AB15" i="39"/>
  <c r="W15" i="39"/>
  <c r="AC15" i="39"/>
  <c r="K17" i="4"/>
  <c r="A22" i="51" s="1"/>
  <c r="B16" i="63" s="1"/>
  <c r="F26" i="46"/>
  <c r="G26" i="46"/>
  <c r="Q16" i="1"/>
  <c r="F33" i="12" s="1"/>
  <c r="C34" i="12" s="1"/>
  <c r="D33" i="12" s="1"/>
  <c r="H16" i="1"/>
  <c r="D21" i="12"/>
  <c r="C21" i="12" s="1"/>
  <c r="H26" i="46"/>
  <c r="E26" i="46"/>
  <c r="B117" i="46"/>
  <c r="I123" i="46" s="1"/>
  <c r="J123" i="46" s="1"/>
  <c r="K123" i="46" s="1"/>
  <c r="L123" i="46" s="1"/>
  <c r="M123" i="46" s="1"/>
  <c r="E15" i="6"/>
  <c r="E66" i="39" s="1"/>
  <c r="AP16" i="1"/>
  <c r="F22" i="11" s="1"/>
  <c r="B16" i="59"/>
  <c r="B15" i="59" s="1"/>
  <c r="B14" i="59" s="1"/>
  <c r="B13" i="59" s="1"/>
  <c r="S17" i="59"/>
  <c r="V25" i="59"/>
  <c r="F24" i="59"/>
  <c r="F23" i="59" s="1"/>
  <c r="F22" i="59" s="1"/>
  <c r="F21" i="59" s="1"/>
  <c r="D28" i="59"/>
  <c r="C27" i="59"/>
  <c r="D27" i="59" s="1"/>
  <c r="N68" i="59"/>
  <c r="B67" i="59"/>
  <c r="C40" i="59"/>
  <c r="D39" i="59"/>
  <c r="J7" i="33"/>
  <c r="U25" i="59"/>
  <c r="E24" i="59"/>
  <c r="E23" i="59" s="1"/>
  <c r="E22" i="59" s="1"/>
  <c r="E21" i="59" s="1"/>
  <c r="S29" i="59"/>
  <c r="B28" i="59"/>
  <c r="B27" i="59" s="1"/>
  <c r="C32" i="59"/>
  <c r="D31" i="59"/>
  <c r="AA26" i="37"/>
  <c r="S26" i="37"/>
  <c r="C19" i="59"/>
  <c r="D20" i="59"/>
  <c r="J60" i="44"/>
  <c r="J61" i="44" s="1"/>
  <c r="Q50" i="44" s="1"/>
  <c r="E83" i="46"/>
  <c r="B81" i="46" s="1"/>
  <c r="BA5" i="3"/>
  <c r="E12" i="6"/>
  <c r="E58" i="40" s="1"/>
  <c r="J7" i="21"/>
  <c r="AC7" i="21" s="1"/>
  <c r="V48" i="21" s="1"/>
  <c r="I48" i="21" s="1"/>
  <c r="E61" i="46"/>
  <c r="B59" i="46" s="1"/>
  <c r="E50" i="46"/>
  <c r="B48" i="46" s="1"/>
  <c r="C28" i="46" s="1"/>
  <c r="E17" i="46"/>
  <c r="C17" i="46" s="1"/>
  <c r="C7" i="46"/>
  <c r="AZ5" i="3"/>
  <c r="E3" i="6" s="1"/>
  <c r="D16" i="43" s="1"/>
  <c r="C16" i="43" s="1"/>
  <c r="F27" i="6"/>
  <c r="F31" i="6" s="1"/>
  <c r="E58" i="39"/>
  <c r="E10" i="6"/>
  <c r="E14" i="6"/>
  <c r="E65" i="39" s="1"/>
  <c r="E13" i="6"/>
  <c r="E59" i="40" s="1"/>
  <c r="E11" i="6"/>
  <c r="E62" i="39" s="1"/>
  <c r="E28" i="6"/>
  <c r="G5" i="3"/>
  <c r="B3" i="3" s="1"/>
  <c r="AT6" i="3" s="1"/>
  <c r="E63" i="39"/>
  <c r="E61" i="40"/>
  <c r="K14" i="1"/>
  <c r="H7" i="34"/>
  <c r="U7" i="34" s="1"/>
  <c r="F7" i="34"/>
  <c r="AA7" i="34" s="1"/>
  <c r="R49" i="34" s="1"/>
  <c r="J7" i="34"/>
  <c r="W7" i="34" s="1"/>
  <c r="G16" i="1"/>
  <c r="J12" i="40" s="1"/>
  <c r="F7" i="21"/>
  <c r="AA7" i="21" s="1"/>
  <c r="H7" i="21"/>
  <c r="AB7" i="21" s="1"/>
  <c r="T48" i="21" s="1"/>
  <c r="G48" i="21" s="1"/>
  <c r="B12" i="59"/>
  <c r="S13" i="59"/>
  <c r="F58" i="15"/>
  <c r="H7" i="35"/>
  <c r="U7" i="35" s="1"/>
  <c r="B40" i="1"/>
  <c r="L36" i="46" s="1"/>
  <c r="E64" i="40"/>
  <c r="D66" i="40"/>
  <c r="AC7" i="33"/>
  <c r="V48" i="33" s="1"/>
  <c r="I48" i="33" s="1"/>
  <c r="W7" i="33"/>
  <c r="S7" i="34"/>
  <c r="J7" i="37"/>
  <c r="W7" i="21"/>
  <c r="D71" i="39"/>
  <c r="E69" i="39"/>
  <c r="AB7" i="34"/>
  <c r="T49" i="34" s="1"/>
  <c r="G49" i="34" s="1"/>
  <c r="H7" i="33"/>
  <c r="F7" i="33"/>
  <c r="J46" i="36"/>
  <c r="J7" i="35"/>
  <c r="F7" i="35"/>
  <c r="H7" i="37"/>
  <c r="F7" i="37"/>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8" i="1"/>
  <c r="AE9" i="1"/>
  <c r="AE10" i="1"/>
  <c r="AE11" i="1"/>
  <c r="AE7" i="1"/>
  <c r="F41" i="15"/>
  <c r="F46" i="44"/>
  <c r="R48" i="21" l="1"/>
  <c r="D26" i="46"/>
  <c r="C25" i="46" s="1"/>
  <c r="F21" i="43"/>
  <c r="B121" i="46"/>
  <c r="C121" i="46" s="1"/>
  <c r="D120" i="46"/>
  <c r="E120" i="46" s="1"/>
  <c r="F120" i="46" s="1"/>
  <c r="G120" i="46" s="1"/>
  <c r="H120" i="46" s="1"/>
  <c r="D119" i="46"/>
  <c r="E119" i="46" s="1"/>
  <c r="F119" i="46" s="1"/>
  <c r="G119" i="46" s="1"/>
  <c r="H119" i="46" s="1"/>
  <c r="I121" i="46"/>
  <c r="J121" i="46" s="1"/>
  <c r="K121" i="46" s="1"/>
  <c r="L121" i="46" s="1"/>
  <c r="M121" i="46" s="1"/>
  <c r="G122" i="46"/>
  <c r="H122" i="46" s="1"/>
  <c r="D117" i="46"/>
  <c r="B122" i="46"/>
  <c r="C122" i="46" s="1"/>
  <c r="D123" i="46"/>
  <c r="E123" i="46" s="1"/>
  <c r="F123" i="46" s="1"/>
  <c r="G123" i="46" s="1"/>
  <c r="H123" i="46" s="1"/>
  <c r="B119" i="46"/>
  <c r="C119" i="46" s="1"/>
  <c r="I119" i="46"/>
  <c r="J119" i="46" s="1"/>
  <c r="K119" i="46" s="1"/>
  <c r="L119" i="46" s="1"/>
  <c r="M119" i="46" s="1"/>
  <c r="D121" i="46"/>
  <c r="E121" i="46" s="1"/>
  <c r="F121" i="46" s="1"/>
  <c r="G121" i="46" s="1"/>
  <c r="H121" i="46" s="1"/>
  <c r="I122" i="46"/>
  <c r="J122" i="46" s="1"/>
  <c r="K122" i="46" s="1"/>
  <c r="L122" i="46" s="1"/>
  <c r="M122" i="46" s="1"/>
  <c r="B120" i="46"/>
  <c r="C120" i="46" s="1"/>
  <c r="I120" i="46"/>
  <c r="J120" i="46" s="1"/>
  <c r="K120" i="46" s="1"/>
  <c r="L120" i="46" s="1"/>
  <c r="M120" i="46" s="1"/>
  <c r="D122" i="46"/>
  <c r="E122" i="46" s="1"/>
  <c r="F122" i="46" s="1"/>
  <c r="B123" i="46"/>
  <c r="C123" i="46" s="1"/>
  <c r="C18" i="59"/>
  <c r="D19" i="59"/>
  <c r="C33" i="59"/>
  <c r="D32" i="59"/>
  <c r="N66" i="59"/>
  <c r="N67" i="59"/>
  <c r="F20" i="59"/>
  <c r="F19" i="59" s="1"/>
  <c r="F18" i="59" s="1"/>
  <c r="F17" i="59" s="1"/>
  <c r="V21" i="59"/>
  <c r="E20" i="59"/>
  <c r="E19" i="59" s="1"/>
  <c r="E18" i="59" s="1"/>
  <c r="E17" i="59" s="1"/>
  <c r="U21" i="59"/>
  <c r="C41" i="59"/>
  <c r="D40" i="59"/>
  <c r="Q36" i="46"/>
  <c r="O36" i="46"/>
  <c r="M36" i="46"/>
  <c r="L37" i="46"/>
  <c r="P36" i="46"/>
  <c r="N36" i="46"/>
  <c r="C21" i="4"/>
  <c r="O5" i="54" s="1"/>
  <c r="B45" i="63" s="1"/>
  <c r="E6" i="6"/>
  <c r="D13" i="11" s="1"/>
  <c r="C13" i="11" s="1"/>
  <c r="AC7" i="34"/>
  <c r="V49" i="34" s="1"/>
  <c r="I49" i="34" s="1"/>
  <c r="J10" i="15"/>
  <c r="J5" i="15" s="1"/>
  <c r="J24" i="15" s="1"/>
  <c r="AG8" i="1"/>
  <c r="AG9" i="1"/>
  <c r="AG11" i="1"/>
  <c r="AG12" i="1"/>
  <c r="AG10" i="1"/>
  <c r="AG7" i="1"/>
  <c r="AG6" i="1"/>
  <c r="F68" i="15"/>
  <c r="D5" i="46"/>
  <c r="C5" i="46"/>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C20" i="11"/>
  <c r="C21" i="11" s="1"/>
  <c r="C22" i="11" s="1"/>
  <c r="C23" i="11" s="1"/>
  <c r="B2" i="11" s="1"/>
  <c r="M27" i="15"/>
  <c r="M29" i="44"/>
  <c r="D22" i="12" l="1"/>
  <c r="C22" i="12" s="1"/>
  <c r="C20" i="12" s="1"/>
  <c r="C33" i="46"/>
  <c r="E33" i="46" s="1"/>
  <c r="T41" i="59"/>
  <c r="D41" i="59"/>
  <c r="E16" i="59"/>
  <c r="E15" i="59" s="1"/>
  <c r="E14" i="59" s="1"/>
  <c r="E13" i="59" s="1"/>
  <c r="U17" i="59"/>
  <c r="F16" i="59"/>
  <c r="F15" i="59" s="1"/>
  <c r="F14" i="59" s="1"/>
  <c r="F13" i="59" s="1"/>
  <c r="V17" i="59"/>
  <c r="T33" i="59"/>
  <c r="D33" i="59"/>
  <c r="D18" i="59"/>
  <c r="C17" i="59"/>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I46" i="37"/>
  <c r="J46" i="37" s="1"/>
  <c r="G52" i="33"/>
  <c r="H52" i="33" s="1"/>
  <c r="G53" i="33"/>
  <c r="H53" i="33" s="1"/>
  <c r="I42" i="35"/>
  <c r="J42" i="35" s="1"/>
  <c r="I43" i="35"/>
  <c r="J43" i="35" s="1"/>
  <c r="G46" i="37"/>
  <c r="H46" i="37" s="1"/>
  <c r="G47" i="37"/>
  <c r="H47" i="37" s="1"/>
  <c r="B3" i="11"/>
  <c r="F7" i="67"/>
  <c r="C17" i="15"/>
  <c r="C34" i="46" l="1"/>
  <c r="E34" i="46" s="1"/>
  <c r="B2" i="21"/>
  <c r="C10" i="12" s="1"/>
  <c r="C8" i="12"/>
  <c r="E40" i="46"/>
  <c r="K27" i="6"/>
  <c r="C16" i="59"/>
  <c r="T17" i="59"/>
  <c r="D17" i="59"/>
  <c r="V13" i="59"/>
  <c r="F12" i="59"/>
  <c r="F11" i="59" s="1"/>
  <c r="F10" i="59" s="1"/>
  <c r="F9" i="59" s="1"/>
  <c r="V9" i="59" s="1"/>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I19" i="6"/>
  <c r="E6" i="3"/>
  <c r="F8" i="59"/>
  <c r="E9" i="59"/>
  <c r="U9" i="59" s="1"/>
  <c r="B9" i="59"/>
  <c r="S9" i="59" s="1"/>
  <c r="D22" i="6"/>
  <c r="D8" i="6"/>
  <c r="E62" i="40"/>
  <c r="D15" i="6"/>
  <c r="D11" i="6"/>
  <c r="K38" i="9"/>
  <c r="B2" i="66" s="1"/>
  <c r="E45" i="9"/>
  <c r="D14" i="6"/>
  <c r="D21" i="6"/>
  <c r="D13" i="6"/>
  <c r="E67" i="39"/>
  <c r="D25" i="6"/>
  <c r="D29" i="6"/>
  <c r="D5" i="6"/>
  <c r="D26" i="6"/>
  <c r="D20" i="6"/>
  <c r="D10" i="6"/>
  <c r="H24" i="6"/>
  <c r="D12" i="6"/>
  <c r="H21" i="6"/>
  <c r="H20" i="6"/>
  <c r="H26" i="6"/>
  <c r="D23" i="6"/>
  <c r="F45" i="9"/>
  <c r="D28" i="6"/>
  <c r="H25"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E7" i="67"/>
  <c r="B7" i="67"/>
  <c r="D30" i="6" l="1"/>
  <c r="H23" i="6"/>
  <c r="H22" i="6"/>
  <c r="R22" i="6" s="1"/>
  <c r="R9" i="1" s="1"/>
  <c r="M27" i="6"/>
  <c r="D16" i="59"/>
  <c r="C15"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M21" i="15"/>
  <c r="C16" i="44"/>
  <c r="C14" i="15"/>
  <c r="F35" i="15"/>
  <c r="F37" i="44"/>
  <c r="M23" i="44"/>
  <c r="D31" i="6" l="1"/>
  <c r="I5" i="6" s="1"/>
  <c r="D15" i="59"/>
  <c r="C14" i="59"/>
  <c r="B3" i="46"/>
  <c r="B4" i="46"/>
  <c r="C36" i="44"/>
  <c r="J20" i="15"/>
  <c r="C34" i="15"/>
  <c r="R27" i="6"/>
  <c r="H27" i="6"/>
  <c r="C15" i="15"/>
  <c r="C18" i="15"/>
  <c r="C17" i="44"/>
  <c r="C20" i="44"/>
  <c r="T16" i="1"/>
  <c r="E7" i="59"/>
  <c r="B7" i="59"/>
  <c r="F6" i="59"/>
  <c r="I6" i="6"/>
  <c r="J22" i="44"/>
  <c r="F62" i="15"/>
  <c r="C61" i="15" s="1"/>
  <c r="R16" i="1"/>
  <c r="C18" i="43"/>
  <c r="C18" i="12"/>
  <c r="C23" i="12" s="1"/>
  <c r="O46" i="36"/>
  <c r="J7" i="36" s="1"/>
  <c r="H7" i="36"/>
  <c r="J64" i="40"/>
  <c r="I66" i="40"/>
  <c r="J69" i="39"/>
  <c r="I71" i="39"/>
  <c r="B3" i="67"/>
  <c r="B4" i="67"/>
  <c r="F7" i="36" l="1"/>
  <c r="S7" i="36" s="1"/>
  <c r="C13" i="59"/>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AA7" i="36" l="1"/>
  <c r="R36" i="36" s="1"/>
  <c r="R37" i="36" s="1"/>
  <c r="C12" i="59"/>
  <c r="D13" i="59"/>
  <c r="T13" i="59"/>
  <c r="E5" i="59"/>
  <c r="U5" i="59" s="1"/>
  <c r="B5" i="59"/>
  <c r="C21" i="43"/>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8" i="59" l="1"/>
  <c r="C7"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T5" i="59"/>
  <c r="D5" i="59"/>
  <c r="M24" i="46"/>
  <c r="B5" i="40"/>
  <c r="B4" i="40"/>
  <c r="B3" i="40"/>
  <c r="C21" i="9"/>
  <c r="C19" i="9"/>
  <c r="L43" i="9" l="1"/>
  <c r="B3" i="39"/>
  <c r="B5" i="3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6" i="12"/>
  <c r="C29" i="12" l="1"/>
  <c r="C24" i="12"/>
  <c r="C35" i="12" l="1"/>
  <c r="C33" i="12" s="1"/>
  <c r="C28" i="12"/>
  <c r="C26" i="12" s="1"/>
  <c r="C31" i="12" s="1"/>
  <c r="C30" i="12" s="1"/>
  <c r="C36" i="12" l="1"/>
  <c r="B2" i="12" s="1"/>
  <c r="D19" i="9"/>
  <c r="L44" i="9" l="1"/>
  <c r="G19" i="9"/>
  <c r="D22" i="9"/>
  <c r="B3" i="12"/>
  <c r="B5" i="12"/>
  <c r="B4" i="12"/>
  <c r="D20" i="9"/>
  <c r="D21" i="9"/>
  <c r="K20" i="9" l="1"/>
  <c r="D14" i="66"/>
  <c r="G21" i="9"/>
  <c r="G20" i="9"/>
  <c r="N43" i="9"/>
  <c r="C32" i="9"/>
  <c r="G22" i="9"/>
  <c r="C37" i="9" l="1"/>
  <c r="E37" i="9" s="1"/>
  <c r="G35" i="9" s="1"/>
  <c r="B5" i="66"/>
  <c r="E14" i="66"/>
  <c r="F14" i="66"/>
  <c r="C34" i="9"/>
  <c r="C33" i="9"/>
  <c r="O38" i="9"/>
  <c r="C35" i="9"/>
  <c r="F42" i="9" s="1"/>
  <c r="C42" i="9"/>
  <c r="O43" i="9"/>
  <c r="C43" i="9" l="1"/>
  <c r="K47" i="9" s="1"/>
  <c r="A14" i="55" s="1"/>
  <c r="B65" i="63" s="1"/>
  <c r="K21" i="9"/>
  <c r="C44" i="9"/>
  <c r="O39" i="9" s="1"/>
  <c r="C5" i="66"/>
  <c r="D5" i="66"/>
  <c r="B6" i="66"/>
  <c r="N69" i="9"/>
  <c r="N38" i="9"/>
  <c r="K28" i="9" s="1"/>
  <c r="D42" i="9"/>
  <c r="Q5" i="54" s="1"/>
  <c r="B47" i="63" s="1"/>
  <c r="N68" i="9"/>
  <c r="R5" i="54"/>
  <c r="B48" i="63" s="1"/>
  <c r="D63" i="9"/>
  <c r="K26" i="9"/>
  <c r="K25" i="9"/>
  <c r="E42" i="9"/>
  <c r="P5" i="54" s="1"/>
  <c r="B46" i="63" s="1"/>
  <c r="M38" i="9"/>
  <c r="K27" i="9" s="1"/>
  <c r="E44" i="9" l="1"/>
  <c r="D44" i="9"/>
  <c r="F44" i="9"/>
  <c r="M86" i="9"/>
  <c r="N86" i="9" s="1"/>
  <c r="M88" i="9"/>
  <c r="N88" i="9" s="1"/>
  <c r="M84" i="9"/>
  <c r="N84" i="9" s="1"/>
  <c r="M87" i="9"/>
  <c r="N87" i="9" s="1"/>
  <c r="M83" i="9"/>
  <c r="N83" i="9" s="1"/>
  <c r="M85" i="9"/>
  <c r="N85" i="9" s="1"/>
  <c r="R6" i="54"/>
  <c r="B50" i="63" s="1"/>
  <c r="K29" i="9"/>
  <c r="K30" i="9" s="1"/>
  <c r="D73" i="9"/>
  <c r="N73" i="9" s="1"/>
  <c r="C103" i="9"/>
  <c r="C96" i="9"/>
  <c r="C91" i="9" s="1"/>
  <c r="C90" i="9"/>
  <c r="C82" i="9"/>
  <c r="C81" i="9" s="1"/>
  <c r="C85" i="9" s="1"/>
  <c r="C86" i="9" s="1"/>
  <c r="D72" i="9" s="1"/>
  <c r="D71" i="9"/>
  <c r="D66" i="9" s="1"/>
  <c r="N72" i="9" s="1"/>
  <c r="C111" i="9"/>
  <c r="C104" i="9" s="1"/>
  <c r="D70" i="9"/>
  <c r="N89" i="9" l="1"/>
  <c r="O89" i="9" s="1"/>
  <c r="C97" i="9"/>
  <c r="C113" i="9"/>
  <c r="C98" i="9" l="1"/>
  <c r="E98" i="9" s="1"/>
  <c r="E99" i="9" s="1"/>
  <c r="C114" i="9"/>
  <c r="E114" i="9" s="1"/>
  <c r="E115" i="9" s="1"/>
  <c r="C115" i="9" l="1"/>
  <c r="D76" i="9" s="1"/>
  <c r="D74" i="9" s="1"/>
  <c r="N74" i="9" s="1"/>
  <c r="O77" i="9" s="1"/>
  <c r="Q77" i="9" s="1"/>
  <c r="C99" i="9"/>
  <c r="O78" i="9" l="1"/>
  <c r="O79" i="9"/>
  <c r="O81" i="9" l="1"/>
  <c r="C46" i="9"/>
  <c r="O80" i="9"/>
  <c r="B2" i="35"/>
  <c r="B3" i="35"/>
  <c r="K33" i="9" l="1"/>
  <c r="O41" i="9"/>
  <c r="R8" i="54" s="1"/>
  <c r="B54" i="63" s="1"/>
  <c r="D46" i="9"/>
  <c r="F46" i="9"/>
  <c r="E46" i="9"/>
  <c r="K34"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<sst xmlns="http://schemas.openxmlformats.org/spreadsheetml/2006/main" count="9253" uniqueCount="3850">
  <si>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</si>
  <si>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</si>
  <si>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</si>
  <si>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</si>
  <si>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</si>
  <si>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</si>
  <si>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</si>
  <si>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</si>
  <si>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</si>
  <si>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</si>
  <si>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</si>
  <si>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</si>
  <si>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</si>
  <si>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</si>
  <si>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</si>
  <si>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</si>
  <si>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</si>
  <si>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</si>
  <si>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</si>
  <si>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</si>
  <si>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</si>
  <si>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</si>
  <si>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</si>
  <si>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</si>
  <si>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</si>
  <si>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</si>
  <si>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</si>
  <si>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</si>
  <si>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</si>
  <si>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</si>
  <si>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</si>
  <si>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</si>
  <si>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</si>
  <si>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</si>
  <si>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</si>
  <si>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</si>
  <si>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</si>
  <si>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</si>
  <si>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</si>
  <si>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</si>
  <si>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</si>
  <si>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</si>
  <si>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</si>
  <si>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</si>
  <si>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</si>
  <si>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</si>
  <si>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</si>
  <si>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</si>
  <si>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</si>
  <si>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</si>
  <si>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</si>
  <si>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</si>
  <si>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</si>
  <si>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</si>
  <si>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</si>
  <si>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</si>
  <si>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</si>
  <si>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</si>
  <si>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</si>
  <si>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</si>
  <si>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</si>
  <si>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</si>
  <si>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</si>
  <si>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</si>
  <si>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</si>
  <si>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</si>
  <si>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</si>
  <si>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</si>
  <si>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</si>
  <si>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</si>
  <si>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</si>
  <si>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</si>
  <si>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</si>
  <si>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</si>
  <si>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</si>
  <si>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</si>
  <si>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</si>
  <si>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</si>
  <si>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</si>
  <si>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</si>
  <si>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</si>
  <si>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</si>
  <si>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</si>
  <si>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</si>
  <si>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</si>
  <si>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</si>
  <si>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</si>
  <si>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</si>
  <si>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</si>
  <si>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</si>
  <si>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</si>
  <si>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</si>
  <si>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</si>
  <si>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</si>
  <si>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</si>
  <si>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</si>
  <si>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</si>
  <si>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</si>
  <si>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</si>
  <si>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</si>
  <si>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</si>
  <si>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</si>
  <si>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</si>
  <si>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</si>
  <si>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</si>
  <si>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</si>
  <si>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</si>
  <si>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</si>
  <si>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</si>
  <si>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</si>
  <si>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</si>
  <si>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</si>
  <si>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</si>
  <si>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</si>
  <si>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</si>
  <si>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</si>
  <si>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</si>
  <si>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</si>
  <si>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</si>
  <si>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</si>
  <si>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</si>
  <si>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</si>
  <si>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</si>
  <si>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</si>
  <si>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</si>
  <si>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</si>
  <si>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</si>
  <si>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</si>
  <si>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</si>
  <si>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</si>
  <si>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</si>
  <si>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</si>
  <si>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</si>
  <si>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</si>
  <si>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</si>
  <si>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</si>
  <si>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</si>
  <si>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</si>
  <si>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</si>
  <si>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</si>
  <si>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</si>
  <si>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</si>
  <si>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</si>
  <si>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</si>
  <si>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</si>
  <si>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</si>
  <si>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</si>
  <si>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</si>
  <si>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</si>
  <si>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</si>
  <si>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</si>
  <si>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</si>
  <si>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</si>
  <si>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</si>
  <si>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</si>
  <si>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</si>
  <si>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</si>
  <si>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</si>
  <si>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</si>
  <si>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</si>
  <si>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</si>
  <si>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</si>
  <si>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</si>
  <si>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</si>
  <si>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</si>
  <si>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</si>
  <si>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</si>
  <si>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</si>
  <si>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</si>
  <si>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</si>
  <si>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</si>
  <si>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</si>
  <si>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</si>
  <si>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</si>
  <si>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</si>
  <si>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</si>
  <si>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</si>
  <si>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</si>
  <si>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</si>
  <si>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</si>
  <si>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</si>
  <si>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</si>
  <si>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</si>
  <si>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</si>
  <si>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</si>
  <si>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</si>
  <si>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</si>
  <si>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</si>
  <si>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</si>
  <si>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</si>
  <si>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</si>
  <si>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</si>
  <si>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</si>
  <si>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</si>
  <si>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</si>
  <si>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</si>
  <si>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</si>
  <si>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</si>
  <si>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</si>
  <si>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</si>
  <si>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</si>
  <si>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</si>
  <si>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</si>
  <si>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</si>
  <si>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</si>
  <si>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</si>
  <si>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</si>
  <si>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</si>
  <si>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</si>
  <si>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</si>
  <si>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</si>
  <si>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</si>
  <si>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</si>
  <si>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</si>
  <si>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</si>
  <si>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</si>
  <si>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</si>
  <si>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</si>
  <si>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</si>
  <si>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</si>
  <si>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</si>
  <si>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</si>
  <si>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</si>
  <si>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</si>
  <si>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</si>
  <si>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</si>
  <si>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</si>
  <si>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</si>
  <si>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</si>
  <si>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</si>
  <si>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</si>
  <si>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</si>
  <si>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</si>
  <si>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</si>
  <si>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</si>
  <si>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</si>
  <si>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</si>
  <si>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</si>
  <si>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</si>
  <si>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</si>
  <si>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</si>
  <si>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</si>
  <si>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</si>
  <si>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</si>
  <si>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</si>
  <si>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</si>
  <si>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</si>
  <si>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</si>
  <si>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</si>
  <si>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</si>
  <si>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</si>
  <si>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</si>
  <si>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</si>
  <si>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</si>
  <si>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</si>
  <si>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</si>
  <si>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</si>
  <si>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</si>
  <si>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</si>
  <si>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</si>
  <si>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</si>
  <si>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</si>
  <si>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</si>
  <si>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</si>
  <si>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</si>
  <si>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</si>
  <si>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</si>
  <si>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</si>
  <si>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</si>
  <si>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</si>
  <si>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</si>
  <si>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</si>
  <si>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</si>
  <si>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</si>
  <si>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</si>
  <si>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</si>
  <si>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</si>
  <si>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</si>
  <si>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</si>
  <si>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</si>
  <si>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</si>
  <si>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</si>
  <si>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</si>
  <si>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</si>
  <si>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</si>
  <si>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</si>
  <si>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</si>
  <si>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</si>
  <si>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</si>
  <si>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</si>
  <si>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</si>
  <si>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</si>
  <si>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</si>
  <si>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</si>
  <si>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</si>
  <si>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</si>
  <si>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</si>
  <si>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</si>
  <si>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</si>
  <si>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</si>
  <si>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</si>
  <si>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</si>
  <si>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</si>
  <si>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</si>
  <si>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</si>
  <si>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</si>
  <si>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</si>
  <si>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</si>
  <si>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</si>
  <si>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</si>
  <si>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</si>
  <si>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</si>
  <si>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</si>
  <si>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</si>
  <si>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</si>
  <si>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</si>
  <si>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</si>
  <si>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</si>
  <si>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</si>
  <si>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</si>
  <si>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</si>
  <si>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</si>
  <si>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</si>
  <si>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</si>
  <si>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</si>
  <si>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</si>
  <si>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</si>
  <si>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</si>
  <si>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</si>
  <si>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</si>
  <si>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</si>
  <si>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</si>
  <si>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</si>
  <si>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</si>
  <si>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</si>
  <si>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</si>
  <si>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</si>
  <si>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</si>
  <si>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</si>
  <si>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</si>
  <si>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</si>
  <si>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</si>
  <si>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</si>
  <si>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</si>
  <si>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</si>
  <si>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</si>
  <si>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</si>
  <si>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</si>
  <si>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</si>
  <si>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</si>
  <si>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</si>
  <si>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</si>
  <si>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</si>
  <si>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</si>
  <si>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</si>
  <si>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</si>
  <si>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</si>
  <si>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</si>
  <si>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</si>
  <si>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</si>
  <si>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</si>
  <si>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</si>
  <si>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</si>
  <si>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</si>
  <si>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</si>
  <si>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</si>
  <si>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</si>
  <si>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</si>
  <si>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</si>
  <si>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</si>
  <si>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</si>
  <si>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</si>
  <si>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</si>
  <si>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</si>
  <si>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</si>
  <si>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</si>
  <si>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</si>
  <si>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</si>
  <si>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</si>
  <si>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</si>
  <si>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</si>
  <si>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</si>
  <si>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</si>
  <si>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</si>
  <si>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</si>
  <si>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</si>
  <si>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</si>
  <si>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</si>
  <si>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</si>
  <si>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</si>
  <si>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</si>
  <si>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</si>
  <si>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</si>
  <si>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</si>
  <si>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</si>
  <si>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</si>
  <si>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</si>
  <si>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</si>
  <si>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</si>
  <si>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</si>
  <si>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</si>
  <si>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</si>
  <si>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</si>
  <si>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</si>
  <si>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</si>
  <si>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</si>
  <si>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</si>
  <si>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</si>
  <si>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</si>
  <si>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</si>
  <si>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</si>
  <si>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</si>
  <si>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</si>
  <si>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</si>
  <si>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</si>
  <si>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</si>
  <si>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</si>
  <si>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</si>
  <si>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</si>
  <si>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</si>
  <si>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</si>
  <si>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</si>
  <si>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</si>
  <si>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</si>
  <si>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</si>
  <si>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</si>
  <si>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</si>
  <si>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</si>
  <si>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</si>
  <si>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</si>
  <si>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</si>
  <si>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</si>
  <si>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</si>
  <si>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</si>
  <si>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</si>
  <si>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</si>
  <si>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</si>
  <si>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</si>
  <si>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</si>
  <si>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</si>
  <si>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</si>
  <si>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</si>
  <si>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</si>
  <si>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</si>
  <si>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</si>
  <si>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</si>
  <si>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</si>
  <si>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</si>
  <si>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</si>
  <si>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</si>
  <si>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</si>
  <si>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</si>
  <si>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</si>
  <si>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</si>
  <si>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</si>
  <si>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</si>
  <si>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</si>
  <si>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</si>
  <si>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</si>
  <si>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</si>
  <si>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</si>
  <si>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</si>
  <si>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</si>
  <si>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</si>
  <si>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</si>
  <si>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</si>
  <si>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</si>
  <si>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</si>
  <si>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</si>
  <si>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</si>
  <si>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</si>
  <si>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</si>
  <si>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</si>
  <si>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</si>
  <si>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</si>
  <si>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</si>
  <si>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</si>
  <si>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</si>
  <si>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</si>
  <si>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</si>
  <si>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</si>
  <si>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</si>
  <si>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</si>
  <si>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</si>
  <si>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</si>
  <si>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</si>
  <si>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</si>
  <si>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</si>
  <si>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</si>
  <si>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</si>
  <si>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</si>
  <si>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</si>
  <si>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</si>
  <si>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</si>
  <si>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</si>
  <si>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</si>
  <si>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</si>
  <si>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</si>
  <si>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</si>
  <si>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</si>
  <si>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</si>
  <si>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</si>
  <si>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</si>
  <si>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</si>
  <si>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</si>
  <si>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</si>
  <si>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</si>
  <si>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</si>
  <si>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</si>
  <si>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</si>
  <si>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</si>
  <si>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</si>
  <si>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</si>
  <si>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</si>
  <si>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</si>
  <si>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</si>
  <si>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</si>
  <si>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</si>
  <si>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</si>
  <si>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</si>
  <si>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</si>
  <si>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</si>
  <si>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</si>
  <si>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</si>
  <si>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</si>
  <si>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</si>
  <si>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</si>
  <si>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</si>
  <si>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</si>
  <si>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</si>
  <si>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</si>
  <si>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</si>
  <si>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</si>
  <si>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</si>
  <si>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</si>
  <si>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</si>
  <si>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</si>
  <si>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</si>
  <si>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</si>
  <si>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</si>
  <si>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</si>
  <si>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</si>
  <si>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</si>
  <si>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</si>
  <si>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</si>
  <si>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</si>
  <si>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</si>
  <si>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</si>
  <si>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</si>
  <si>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</si>
  <si>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</si>
  <si>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</si>
  <si>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</si>
  <si>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</si>
  <si>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</si>
  <si>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</si>
  <si>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</si>
  <si>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</si>
  <si>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</si>
  <si>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</si>
  <si>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</si>
  <si>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</si>
  <si>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</si>
  <si>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</si>
  <si>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</si>
  <si>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</si>
  <si>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</si>
  <si>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</si>
  <si>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</si>
  <si>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</si>
  <si>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</si>
  <si>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</si>
  <si>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</si>
  <si>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</si>
  <si>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</si>
  <si>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</si>
  <si>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</si>
  <si>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</si>
  <si>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</si>
  <si>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</si>
  <si>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</si>
  <si>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</si>
  <si>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</si>
  <si>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</si>
  <si>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</si>
  <si>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</si>
  <si>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</si>
  <si>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</si>
  <si>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</si>
  <si>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</si>
  <si>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</si>
  <si>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</si>
  <si>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</si>
  <si>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</si>
  <si>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</si>
  <si>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</si>
  <si>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</si>
  <si>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</si>
  <si>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</si>
  <si>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</si>
  <si>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</si>
  <si>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</si>
  <si>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</si>
  <si>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</si>
  <si>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</si>
  <si>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</si>
  <si>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</si>
  <si>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</si>
  <si>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</si>
  <si>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</si>
  <si>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</si>
  <si>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</si>
  <si>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</si>
  <si>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</si>
  <si>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</si>
  <si>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</si>
  <si>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</si>
  <si>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</si>
  <si>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</si>
  <si>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</si>
  <si>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</si>
  <si>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</si>
  <si>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</si>
  <si>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</si>
  <si>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</si>
  <si>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</si>
  <si>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</si>
  <si>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</si>
  <si>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</si>
  <si>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</si>
  <si>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</si>
  <si>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</si>
  <si>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</si>
  <si>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</si>
  <si>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</si>
  <si>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</si>
  <si>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</si>
  <si>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</si>
  <si>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</si>
  <si>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</si>
  <si>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</si>
  <si>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</si>
  <si>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</si>
  <si>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</si>
  <si>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</si>
  <si>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</si>
  <si>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</si>
  <si>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</si>
  <si>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</si>
  <si>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</si>
  <si>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</si>
  <si>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</si>
  <si>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</si>
  <si>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</si>
  <si>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</si>
  <si>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</si>
  <si>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</si>
  <si>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</si>
  <si>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</si>
  <si>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</si>
  <si>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</si>
  <si>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</si>
  <si>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</si>
  <si>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</si>
  <si>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</si>
  <si>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</si>
  <si>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</si>
  <si>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</si>
  <si>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</si>
  <si>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</si>
  <si>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</si>
  <si>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</si>
  <si>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</si>
  <si>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</si>
  <si>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</si>
  <si>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</si>
  <si>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</si>
  <si>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</si>
  <si>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</si>
  <si>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</si>
  <si>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</si>
  <si>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</si>
  <si>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</si>
  <si>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</si>
  <si>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</si>
  <si>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</si>
  <si>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</si>
  <si>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</si>
  <si>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</si>
  <si>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</si>
  <si>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</si>
  <si>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</si>
  <si>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</si>
  <si>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</si>
  <si>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</si>
  <si>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</si>
  <si>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</si>
  <si>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</si>
  <si>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</si>
  <si>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</si>
  <si>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</si>
  <si>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</si>
  <si>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</si>
  <si>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</si>
  <si>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</si>
  <si>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</si>
  <si>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</si>
  <si>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</si>
  <si>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</si>
  <si>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</si>
  <si>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</si>
  <si>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</si>
  <si>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</si>
  <si>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</si>
  <si>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</si>
  <si>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</si>
  <si>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</si>
  <si>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</si>
  <si>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</si>
  <si>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</si>
  <si>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</si>
  <si>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</si>
  <si>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</si>
  <si>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</si>
  <si>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</si>
  <si>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</si>
  <si>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</si>
  <si>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</si>
  <si>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</si>
  <si>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</si>
  <si>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</si>
  <si>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</si>
  <si>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</si>
  <si>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</si>
  <si>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</si>
  <si>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</si>
  <si>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</si>
  <si>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</si>
  <si>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</si>
  <si>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</si>
  <si>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</si>
  <si>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</si>
  <si>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</si>
  <si>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</si>
  <si>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</si>
  <si>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</si>
  <si>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</si>
  <si>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</si>
  <si>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</si>
  <si>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</si>
  <si>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</si>
  <si>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</si>
  <si>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</si>
  <si>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</si>
  <si>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</si>
  <si>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</si>
  <si>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</si>
  <si>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</si>
  <si>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</si>
  <si>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</si>
  <si>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</si>
  <si>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</si>
  <si>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</si>
  <si>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</si>
  <si>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</si>
  <si>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</si>
  <si>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</si>
  <si>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</si>
  <si>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</si>
  <si>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</si>
  <si>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</si>
  <si>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</si>
  <si>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</si>
  <si>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</si>
  <si>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</si>
  <si>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</si>
  <si>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</si>
  <si>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</si>
  <si>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</si>
  <si>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</si>
  <si>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</si>
  <si>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</si>
  <si>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</si>
  <si>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</si>
  <si>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</si>
  <si>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</si>
  <si>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</si>
  <si>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</si>
  <si>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</si>
  <si>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</si>
  <si>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</si>
  <si>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</si>
  <si>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</si>
  <si>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</si>
  <si>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</si>
  <si>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</si>
  <si>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</si>
  <si>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</si>
  <si>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</si>
  <si>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</si>
  <si>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</si>
  <si>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</si>
  <si>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</si>
  <si>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</si>
  <si>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</si>
  <si>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</si>
  <si>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</si>
  <si>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</si>
  <si>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</si>
  <si>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</si>
  <si>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</si>
  <si>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</si>
  <si>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</si>
  <si>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</si>
  <si>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</si>
  <si>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</si>
  <si>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</si>
  <si>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</si>
  <si>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</si>
  <si>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</si>
  <si>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</si>
  <si>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</si>
  <si>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</si>
  <si>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</si>
  <si>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</si>
  <si>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</si>
  <si>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</si>
  <si>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</si>
  <si>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</si>
  <si>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</si>
  <si>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</si>
  <si>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</si>
  <si>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</si>
  <si>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</si>
  <si>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</si>
  <si>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</si>
  <si>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</si>
  <si>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</si>
  <si>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</si>
  <si>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</si>
  <si>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</si>
  <si>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</si>
  <si>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</si>
  <si>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</si>
  <si>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</si>
  <si>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</si>
  <si>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</si>
  <si>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</si>
  <si>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</si>
  <si>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</si>
  <si>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</si>
  <si>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</si>
  <si>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</si>
  <si>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</si>
  <si>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</si>
  <si>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</si>
  <si>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</si>
  <si>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</si>
  <si>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</si>
  <si>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</si>
  <si>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</si>
  <si>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</si>
  <si>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</si>
  <si>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</si>
  <si>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</si>
  <si>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</si>
  <si>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</si>
  <si>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</si>
  <si>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</si>
  <si>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</si>
  <si>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</si>
  <si>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</si>
  <si>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</si>
  <si>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</si>
  <si>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</si>
  <si>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</si>
  <si>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</si>
  <si>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</si>
  <si>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</si>
  <si>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</si>
  <si>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</si>
  <si>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</si>
  <si>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</si>
  <si>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</si>
  <si>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</si>
  <si>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</si>
  <si>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</si>
  <si>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</si>
  <si>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</si>
  <si>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</si>
  <si>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</si>
  <si>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</si>
  <si>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</si>
  <si>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</si>
  <si>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</si>
  <si>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</si>
  <si>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</si>
  <si>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</si>
  <si>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</si>
  <si>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</si>
  <si>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</si>
  <si>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</si>
  <si>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</si>
  <si>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</si>
  <si>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</si>
  <si>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</si>
  <si>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</si>
  <si>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</si>
  <si>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</si>
  <si>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</si>
  <si>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</si>
  <si>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</si>
  <si>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</si>
  <si>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</si>
  <si>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</si>
  <si>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</si>
  <si>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</si>
  <si>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</si>
  <si>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</si>
  <si>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</si>
  <si>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</si>
  <si>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</si>
  <si>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</si>
  <si>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</si>
  <si>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</si>
  <si>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</si>
  <si>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</si>
  <si>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</si>
  <si>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</si>
  <si>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</si>
  <si>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</si>
  <si>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</si>
  <si>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</si>
  <si>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</si>
  <si>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</si>
  <si>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</si>
  <si>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</si>
  <si>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</si>
  <si>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</si>
  <si>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</si>
  <si>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</si>
  <si>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</si>
  <si>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</si>
  <si>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</si>
  <si>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</si>
  <si>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</si>
  <si>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</si>
  <si>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</si>
  <si>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</si>
  <si>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</si>
  <si>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</si>
  <si>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</si>
  <si>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</si>
  <si>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</si>
  <si>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</si>
  <si>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</si>
  <si>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</si>
  <si>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</si>
  <si>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</si>
  <si>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</si>
  <si>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</si>
  <si>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</si>
  <si>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</si>
  <si>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</si>
  <si>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</si>
  <si>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</si>
  <si>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</si>
  <si>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</si>
  <si>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</si>
  <si>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</si>
  <si>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</si>
  <si>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</si>
  <si>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</si>
  <si>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</si>
  <si>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</si>
  <si>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</si>
  <si>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</si>
  <si>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</si>
  <si>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</si>
  <si>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</si>
  <si>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</si>
  <si>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</si>
  <si>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</si>
  <si>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</si>
  <si>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</si>
  <si>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</si>
  <si>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</si>
  <si>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</si>
  <si>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</si>
  <si>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</si>
  <si>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</si>
  <si>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</si>
  <si>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</si>
  <si>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</si>
  <si>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</si>
  <si>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</si>
  <si>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</si>
  <si>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</si>
  <si>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</si>
  <si>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</si>
  <si>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</si>
  <si>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</si>
  <si>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</si>
  <si>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</si>
  <si>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</si>
  <si>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</si>
  <si>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</si>
  <si>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</si>
  <si>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</si>
  <si>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</si>
  <si>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</si>
  <si>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</si>
  <si>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</si>
  <si>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</si>
  <si>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</si>
  <si>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</si>
  <si>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</si>
  <si>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</si>
  <si>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</si>
  <si>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</si>
  <si>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</si>
  <si>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</si>
  <si>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</si>
  <si>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</si>
  <si>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</si>
  <si>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</si>
  <si>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</si>
  <si>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</si>
  <si>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</si>
  <si>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</si>
  <si>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</si>
  <si>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</si>
  <si>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</si>
  <si>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</si>
  <si>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</si>
  <si>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</si>
  <si>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</si>
  <si>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</si>
  <si>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</si>
  <si>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</si>
  <si>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</si>
  <si>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</si>
  <si>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</si>
  <si>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</si>
  <si>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</si>
  <si>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</si>
  <si>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</si>
  <si>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</si>
  <si>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</si>
  <si>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</si>
  <si>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</si>
  <si>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</si>
  <si>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</si>
  <si>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</si>
  <si>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</si>
  <si>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</si>
  <si>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</si>
  <si>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</si>
  <si>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</si>
  <si>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</si>
  <si>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</si>
  <si>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</si>
  <si>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</si>
  <si>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</si>
  <si>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</si>
  <si>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</si>
  <si>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</si>
  <si>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</si>
  <si>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</si>
  <si>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</si>
  <si>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</si>
  <si>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</si>
  <si>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</si>
  <si>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</si>
  <si>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</si>
  <si>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</si>
  <si>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</si>
  <si>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</si>
  <si>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</si>
  <si>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</si>
  <si>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</si>
  <si>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</si>
  <si>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</si>
  <si>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</si>
  <si>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</si>
  <si>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</si>
  <si>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</si>
  <si>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</si>
  <si>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</si>
  <si>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</si>
  <si>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</si>
  <si>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</si>
  <si>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</si>
  <si>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</si>
  <si>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</si>
  <si>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</si>
  <si>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</si>
  <si>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</si>
  <si>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</si>
  <si>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</si>
  <si>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</si>
  <si>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</si>
  <si>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</si>
  <si>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</si>
  <si>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</si>
  <si>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</si>
  <si>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</si>
  <si>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</si>
  <si>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</si>
  <si>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</si>
  <si>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</si>
  <si>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</si>
  <si>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</si>
  <si>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</si>
  <si>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</si>
  <si>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</si>
  <si>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</si>
  <si>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</si>
  <si>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</si>
  <si>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</si>
  <si>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</si>
  <si>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</si>
  <si>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</si>
  <si>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</si>
  <si>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</si>
  <si>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</si>
  <si>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</si>
  <si>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</si>
  <si>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</si>
  <si>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</si>
  <si>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</si>
  <si>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</si>
  <si>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</si>
  <si>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</si>
  <si>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</si>
  <si>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</si>
  <si>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</si>
  <si>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</si>
  <si>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</si>
  <si>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</si>
  <si>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</si>
  <si>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</si>
  <si>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</si>
  <si>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</si>
  <si>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</si>
  <si>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</si>
  <si>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</si>
  <si>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</si>
  <si>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</si>
  <si>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</si>
  <si>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</si>
  <si>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</si>
  <si>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</si>
  <si>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</si>
  <si>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</si>
  <si>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</si>
  <si>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</si>
  <si>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</si>
  <si>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</si>
  <si>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</si>
  <si>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</si>
  <si>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</si>
  <si>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</si>
  <si>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</si>
  <si>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</si>
  <si>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</si>
  <si>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</si>
  <si>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</si>
  <si>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</si>
  <si>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</si>
  <si>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</si>
  <si>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</si>
  <si>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</si>
  <si>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</si>
  <si>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</si>
  <si>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</si>
  <si>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</si>
  <si>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</si>
  <si>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</si>
  <si>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</si>
  <si>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</si>
  <si>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</si>
  <si>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</si>
  <si>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</si>
  <si>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</si>
  <si>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</si>
  <si>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</si>
  <si>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</si>
  <si>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</si>
  <si>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</si>
  <si>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</si>
  <si>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</si>
  <si>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</si>
  <si>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</si>
  <si>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</si>
  <si>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</si>
  <si>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</si>
  <si>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</si>
  <si>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</si>
  <si>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</si>
  <si>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</si>
  <si>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</si>
  <si>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</si>
  <si>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</si>
  <si>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</si>
  <si>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</si>
  <si>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</si>
  <si>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</si>
  <si>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</si>
  <si>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</si>
  <si>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</si>
  <si>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</si>
  <si>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</si>
  <si>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</si>
  <si>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</si>
  <si>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</si>
  <si>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</si>
  <si>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</si>
  <si>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</si>
  <si>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</si>
  <si>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</si>
  <si>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</si>
  <si>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</si>
  <si>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</si>
  <si>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</si>
  <si>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</si>
  <si>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</si>
  <si>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</si>
  <si>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</si>
  <si>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</si>
  <si>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</si>
  <si>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</si>
  <si>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</si>
  <si>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</si>
  <si>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</si>
  <si>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</si>
  <si>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</si>
  <si>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</si>
  <si>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</si>
  <si>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</si>
  <si>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</si>
  <si>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</si>
  <si>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</si>
  <si>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</si>
  <si>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</si>
  <si>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</si>
  <si>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</si>
  <si>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</si>
  <si>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</si>
  <si>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</si>
  <si>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</si>
  <si>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</si>
  <si>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</si>
  <si>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</si>
  <si>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</si>
  <si>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</si>
  <si>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</si>
  <si>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</si>
  <si>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</si>
  <si>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</si>
  <si>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</si>
  <si>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</si>
  <si>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</si>
  <si>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</si>
  <si>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</si>
  <si>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</si>
  <si>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</si>
  <si>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</si>
  <si>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</si>
  <si>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</si>
  <si>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</si>
  <si>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</si>
  <si>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</si>
  <si>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</si>
  <si>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</si>
  <si>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</si>
  <si>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</si>
  <si>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</si>
  <si>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</si>
  <si>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</si>
  <si>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</si>
  <si>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</si>
  <si>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</si>
  <si>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</si>
  <si>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</si>
  <si>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</si>
  <si>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</si>
  <si>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</si>
  <si>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</si>
  <si>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</si>
  <si>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</si>
  <si>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</si>
  <si>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</si>
  <si>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</si>
  <si>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</si>
  <si>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</si>
  <si>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</si>
  <si>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</si>
  <si>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</si>
  <si>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</si>
  <si>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</si>
  <si>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</si>
  <si>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</si>
  <si>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</si>
  <si>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</si>
  <si>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</si>
  <si>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</si>
  <si>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</si>
  <si>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</si>
  <si>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</si>
  <si>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</si>
  <si>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</si>
  <si>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</si>
  <si>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</si>
  <si>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</si>
  <si>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</si>
  <si>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</si>
  <si>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</si>
  <si>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</si>
  <si>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</si>
  <si>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</si>
  <si>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</si>
  <si>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</si>
  <si>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</si>
  <si>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</si>
  <si>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</si>
  <si>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</si>
  <si>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</si>
  <si>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</si>
  <si>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</si>
  <si>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</si>
  <si>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</si>
  <si>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</si>
  <si>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</si>
  <si>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</si>
  <si>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</si>
  <si>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</si>
  <si>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</si>
  <si>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</si>
  <si>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</si>
  <si>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</si>
  <si>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</si>
  <si>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</si>
  <si>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</si>
  <si>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</si>
  <si>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</si>
  <si>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</si>
  <si>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</si>
  <si>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</si>
  <si>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</si>
  <si>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</si>
  <si>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</si>
  <si>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</si>
  <si>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</si>
  <si>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</si>
  <si>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</si>
  <si>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</si>
  <si>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</si>
  <si>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</si>
  <si>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</si>
  <si>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</si>
  <si>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</si>
  <si>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</si>
  <si>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</si>
  <si>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</si>
  <si>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</si>
  <si>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</si>
  <si>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</si>
  <si>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</si>
  <si>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</si>
  <si>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</si>
  <si>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</si>
  <si>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</si>
  <si>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</si>
  <si>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</si>
  <si>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</si>
  <si>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</si>
  <si>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</si>
  <si>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</si>
  <si>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</si>
  <si>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</si>
  <si>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</si>
  <si>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</si>
  <si>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</si>
  <si>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</si>
  <si>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</si>
  <si>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</si>
  <si>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</si>
  <si>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</si>
  <si>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</si>
  <si>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</si>
  <si>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</si>
  <si>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</si>
  <si>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</si>
  <si>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</si>
  <si>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</si>
  <si>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</si>
  <si>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</si>
  <si>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</si>
  <si>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</si>
  <si>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</si>
  <si>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</si>
  <si>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</si>
  <si>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</si>
  <si>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</si>
  <si>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</si>
  <si>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</si>
  <si>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</si>
  <si>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</si>
  <si>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</si>
  <si>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</si>
  <si>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</si>
  <si>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</si>
  <si>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</si>
  <si>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</si>
  <si>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</si>
  <si>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</si>
  <si>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</si>
  <si>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</si>
  <si>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</si>
  <si>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</si>
  <si>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</si>
  <si>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</si>
  <si>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</si>
  <si>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</si>
  <si>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</si>
  <si>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</si>
  <si>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</si>
  <si>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</si>
  <si>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</si>
  <si>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</si>
  <si>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</si>
  <si>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</si>
  <si>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</si>
  <si>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</si>
  <si>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</si>
  <si>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</si>
  <si>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</si>
  <si>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</si>
  <si>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</si>
  <si>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</si>
  <si>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</si>
  <si>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</si>
  <si>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</si>
  <si>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</si>
  <si>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</si>
  <si>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</si>
  <si>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</si>
  <si>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</si>
  <si>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</si>
  <si>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</si>
  <si>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</si>
  <si>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</si>
  <si>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</si>
  <si>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</si>
  <si>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</si>
  <si>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</si>
  <si>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</si>
  <si>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</si>
  <si>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</si>
  <si>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</si>
  <si>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</si>
  <si>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</si>
  <si>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</si>
  <si>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</si>
  <si>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</si>
  <si>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</si>
  <si>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</si>
  <si>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</si>
  <si>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</si>
  <si>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</si>
  <si>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</si>
  <si>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</si>
  <si>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</si>
  <si>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</si>
  <si>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</si>
  <si>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</si>
  <si>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</si>
  <si>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</si>
  <si>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</si>
  <si>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</si>
  <si>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</si>
  <si>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</si>
  <si>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</si>
  <si>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</si>
  <si>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</si>
  <si>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</si>
  <si>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</si>
  <si>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</si>
  <si>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</si>
  <si>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</si>
  <si>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</si>
  <si>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</si>
  <si>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</si>
  <si>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</si>
  <si>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</si>
  <si>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</si>
  <si>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</si>
  <si>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</si>
  <si>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</si>
  <si>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</si>
  <si>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</si>
  <si>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</si>
  <si>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</si>
  <si>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</si>
  <si>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</si>
  <si>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</si>
  <si>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</si>
  <si>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</si>
  <si>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</si>
  <si>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</si>
  <si>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</si>
  <si>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</si>
  <si>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</si>
  <si>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</si>
  <si>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</si>
  <si>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</si>
  <si>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</si>
  <si>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</si>
  <si>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</si>
  <si>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</si>
  <si>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</si>
  <si>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</si>
  <si>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</si>
  <si>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</si>
  <si>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</si>
  <si>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</si>
  <si>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</si>
  <si>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</si>
  <si>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</si>
  <si>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</si>
  <si>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</si>
  <si>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</si>
  <si>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</si>
  <si>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</si>
  <si>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</si>
  <si>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</si>
  <si>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</si>
  <si>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</si>
  <si>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</si>
  <si>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</si>
  <si>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</si>
  <si>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</si>
  <si>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</si>
  <si>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</si>
  <si>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</si>
  <si>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</si>
  <si>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</si>
  <si>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</si>
  <si>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</si>
  <si>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</si>
  <si>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</si>
  <si>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</si>
  <si>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</si>
  <si>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</si>
  <si>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</si>
  <si>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</si>
  <si>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</si>
  <si>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</si>
  <si>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</si>
  <si>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</si>
  <si>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</si>
  <si>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</si>
  <si>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</si>
  <si>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</si>
  <si>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</si>
  <si>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</si>
  <si>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</si>
  <si>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</si>
  <si>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</si>
  <si>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</si>
  <si>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</si>
  <si>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</si>
  <si>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</si>
  <si>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</si>
  <si>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</si>
  <si>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</si>
  <si>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</si>
  <si>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</si>
  <si>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</si>
  <si>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</si>
  <si>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</si>
  <si>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</si>
  <si>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</si>
  <si>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</si>
  <si>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</si>
  <si>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</si>
  <si>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</si>
  <si>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</si>
  <si>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</si>
  <si>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</si>
  <si>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</si>
  <si>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</si>
  <si>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</si>
  <si>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</si>
  <si>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</si>
  <si>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</si>
  <si>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</si>
  <si>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</si>
  <si>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</si>
  <si>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</si>
  <si>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</si>
  <si>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</si>
  <si>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</si>
  <si>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</si>
  <si>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</si>
  <si>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</si>
  <si>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</si>
  <si>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</si>
  <si>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</si>
  <si>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</si>
  <si>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</si>
  <si>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</si>
  <si>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</si>
  <si>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</si>
  <si>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</si>
  <si>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</si>
  <si>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</si>
  <si>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</si>
  <si>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</si>
  <si>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</si>
  <si>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</si>
  <si>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</si>
  <si>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</si>
  <si>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</si>
  <si>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</si>
  <si>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</si>
  <si>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</si>
  <si>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</si>
  <si>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</si>
  <si>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</si>
  <si>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</si>
  <si>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</si>
  <si>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</si>
  <si>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</si>
  <si>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</si>
  <si>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</si>
  <si>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</si>
  <si>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</si>
  <si>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</si>
  <si>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</si>
  <si>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</si>
  <si>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</si>
  <si>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</si>
  <si>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</si>
  <si>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</si>
  <si>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</si>
  <si>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</si>
  <si>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</si>
  <si>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</si>
  <si>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</si>
  <si>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</si>
  <si>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</si>
  <si>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</si>
  <si>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</si>
  <si>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</si>
  <si>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</si>
  <si>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</si>
  <si>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</si>
  <si>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</si>
  <si>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</si>
  <si>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</si>
  <si>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</si>
  <si>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</si>
  <si>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</si>
  <si>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</si>
  <si>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</si>
  <si>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</si>
  <si>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</si>
  <si>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</si>
  <si>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</si>
  <si>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</si>
  <si>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</si>
  <si>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</si>
  <si>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</si>
  <si>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</si>
  <si>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</si>
  <si>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</si>
  <si>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</si>
  <si>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</si>
  <si>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</si>
  <si>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</si>
  <si>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</si>
  <si>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</si>
  <si>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</si>
  <si>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</si>
  <si>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</si>
  <si>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</si>
  <si>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</si>
  <si>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</si>
  <si>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</si>
  <si>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</si>
  <si>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</si>
  <si>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</si>
  <si>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</si>
  <si>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</si>
  <si>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</si>
  <si>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</si>
  <si>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</si>
  <si>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</si>
  <si>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</si>
  <si>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</si>
  <si>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</si>
  <si>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</si>
  <si>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</si>
  <si>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</si>
  <si>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</si>
  <si>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</si>
  <si>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</si>
  <si>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</si>
  <si>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</si>
  <si>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</si>
  <si>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</si>
  <si>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</si>
  <si>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</si>
  <si>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</si>
  <si>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</si>
  <si>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</si>
  <si>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</si>
  <si>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</si>
  <si>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</si>
  <si>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</si>
  <si>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</si>
  <si>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</si>
  <si>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</si>
  <si>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</si>
  <si>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</si>
  <si>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</si>
  <si>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</si>
  <si>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</si>
  <si>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</si>
  <si>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</si>
  <si>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</si>
  <si>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</si>
  <si>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</si>
  <si>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</si>
  <si>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</si>
  <si>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</si>
  <si>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</si>
  <si>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</si>
  <si>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</si>
  <si>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</si>
  <si>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</si>
  <si>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</si>
  <si>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</si>
  <si>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</si>
  <si>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</si>
  <si>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</si>
  <si>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</si>
  <si>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</si>
  <si>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</si>
  <si>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</si>
  <si>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</si>
  <si>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</si>
  <si>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</si>
  <si>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</si>
  <si>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</si>
  <si>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</si>
  <si>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</si>
  <si>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</si>
  <si>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</si>
  <si>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</si>
  <si>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</si>
  <si>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</si>
  <si>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</si>
  <si>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</si>
  <si>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</si>
  <si>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</si>
  <si>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</si>
  <si>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</si>
  <si>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</si>
  <si>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</si>
  <si>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</si>
  <si>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</si>
  <si>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</si>
  <si>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</si>
  <si>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</si>
  <si>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</si>
  <si>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</si>
  <si>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</si>
  <si>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</si>
  <si>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</si>
  <si>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</si>
  <si>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</si>
  <si>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</si>
  <si>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</si>
  <si>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</si>
  <si>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</si>
  <si>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</si>
  <si>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</si>
  <si>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</si>
  <si>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</si>
  <si>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</si>
  <si>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</si>
  <si>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</si>
  <si>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</si>
  <si>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</si>
  <si>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</si>
  <si>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</si>
  <si>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</si>
  <si>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</si>
  <si>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</si>
  <si>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</si>
  <si>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</si>
  <si>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</si>
  <si>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</si>
  <si>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</si>
  <si>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</si>
  <si>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</si>
  <si>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</si>
  <si>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</si>
  <si>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</si>
  <si>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</si>
  <si>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</si>
  <si>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</si>
  <si>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</si>
  <si>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</si>
  <si>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</si>
  <si>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</si>
  <si>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</si>
  <si>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</si>
  <si>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</si>
  <si>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</si>
  <si>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</si>
  <si>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</si>
  <si>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</si>
  <si>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</si>
  <si>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</si>
  <si>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</si>
  <si>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</si>
  <si>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</si>
  <si>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</si>
  <si>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</si>
  <si>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</si>
  <si>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</si>
  <si>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</si>
  <si>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</si>
  <si>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</si>
  <si>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</si>
  <si>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</si>
  <si>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</si>
  <si>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</si>
  <si>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</si>
  <si>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</si>
  <si>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</si>
  <si>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</si>
  <si>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</si>
  <si>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</si>
  <si>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</si>
  <si>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</si>
  <si>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</si>
  <si>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</si>
  <si>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</si>
  <si>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</si>
  <si>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</si>
  <si>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</si>
  <si>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</si>
  <si>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</si>
  <si>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</si>
  <si>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</si>
  <si>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</si>
  <si>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</si>
  <si>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</si>
  <si>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</si>
  <si>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</si>
  <si>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</si>
  <si>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</si>
  <si>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</si>
  <si>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</si>
  <si>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</si>
  <si>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</si>
  <si>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</si>
  <si>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</si>
  <si>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</si>
  <si>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</si>
  <si>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</si>
  <si>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</si>
  <si>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</si>
  <si>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</si>
  <si>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</si>
  <si>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</si>
  <si>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</si>
  <si>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</si>
  <si>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</si>
  <si>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</si>
  <si>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</si>
  <si>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</si>
  <si>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</si>
  <si>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</si>
  <si>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</si>
  <si>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</si>
  <si>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</si>
  <si>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</si>
  <si>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</si>
  <si>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</si>
  <si>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</si>
  <si>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</si>
  <si>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</si>
  <si>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</si>
  <si>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</si>
  <si>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</si>
  <si>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</si>
  <si>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</si>
  <si>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</si>
  <si>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</si>
  <si>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</si>
  <si>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</si>
  <si>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</si>
  <si>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</si>
  <si>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</si>
  <si>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</si>
  <si>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</si>
  <si>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</si>
  <si>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</si>
  <si>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</si>
  <si>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</si>
  <si>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</si>
  <si>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</si>
  <si>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</si>
  <si>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</si>
  <si>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</si>
  <si>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</si>
  <si>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</si>
  <si>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</si>
  <si>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</si>
  <si>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</si>
  <si>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</si>
  <si>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</si>
  <si>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</si>
  <si>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</si>
  <si>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</si>
  <si>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</si>
  <si>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</si>
  <si>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</si>
  <si>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</si>
  <si>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</si>
  <si>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</si>
  <si>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</si>
  <si>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</si>
  <si>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</si>
  <si>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</si>
  <si>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</si>
  <si>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</si>
  <si>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</si>
  <si>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</si>
  <si>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</si>
  <si>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</si>
  <si>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</si>
  <si>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</si>
  <si>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</si>
  <si>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</si>
  <si>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</si>
  <si>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</si>
  <si>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</si>
  <si>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</si>
  <si>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</si>
  <si>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</si>
  <si>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</si>
  <si>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</si>
  <si>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</si>
  <si>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</si>
  <si>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</si>
  <si>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</si>
  <si>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</si>
  <si>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</si>
  <si>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</si>
  <si>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</si>
  <si>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</si>
  <si>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</si>
  <si>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</si>
  <si>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</si>
  <si>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</si>
  <si>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</si>
  <si>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</si>
  <si>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</si>
  <si>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</si>
  <si>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</si>
  <si>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</si>
  <si>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</si>
  <si>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</si>
  <si>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</si>
  <si>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</si>
  <si>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</si>
  <si>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</si>
  <si>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</si>
  <si>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</si>
  <si>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</si>
  <si>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</si>
  <si>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</si>
  <si>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</si>
  <si>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</si>
  <si>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</si>
  <si>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</si>
  <si>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</si>
  <si>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</si>
  <si>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</si>
  <si>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</si>
  <si>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</si>
  <si>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</si>
  <si>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</si>
  <si>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</si>
  <si>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</si>
  <si>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</si>
  <si>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</si>
  <si>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</si>
  <si>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</si>
  <si>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</si>
  <si>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</si>
  <si>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</si>
  <si>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</si>
  <si>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</si>
  <si>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</si>
  <si>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</si>
  <si>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</si>
  <si>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</si>
  <si>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</si>
  <si>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</si>
  <si>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</si>
  <si>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</si>
  <si>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</si>
  <si>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</si>
  <si>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</si>
  <si>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</si>
  <si>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</si>
  <si>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</si>
  <si>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</si>
  <si>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</si>
  <si>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</si>
  <si>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</si>
  <si>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</si>
  <si>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</si>
  <si>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</si>
  <si>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</si>
  <si>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</si>
  <si>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</si>
  <si>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</si>
  <si>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</si>
  <si>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</si>
  <si>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</si>
  <si>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</si>
  <si>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</si>
  <si>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</si>
  <si>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</si>
  <si>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</si>
  <si>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</si>
  <si>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</si>
  <si>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</si>
  <si>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</si>
  <si>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</si>
  <si>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</si>
  <si>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</si>
  <si>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</si>
  <si>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</si>
  <si>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</si>
  <si>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</si>
  <si>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</si>
  <si>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</si>
  <si>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</si>
  <si>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</si>
  <si>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</si>
  <si>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</si>
  <si>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</si>
  <si>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</si>
  <si>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</si>
  <si>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</si>
  <si>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</si>
  <si>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</si>
  <si>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</si>
  <si>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</si>
  <si>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</si>
  <si>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</si>
  <si>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</si>
  <si>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</si>
  <si>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</si>
  <si>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</si>
  <si>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</si>
  <si>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</si>
  <si>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</si>
  <si>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</si>
  <si>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</si>
  <si>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</si>
  <si>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</si>
  <si>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</si>
  <si>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</si>
  <si>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</si>
  <si>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</si>
  <si>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</si>
  <si>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</si>
  <si>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</si>
  <si>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</si>
  <si>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</si>
  <si>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</si>
  <si>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</si>
  <si>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</si>
  <si>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</si>
  <si>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</si>
  <si>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</si>
  <si>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</si>
  <si>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</si>
  <si>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</si>
  <si>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</si>
  <si>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</si>
  <si>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</si>
  <si>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</si>
  <si>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</si>
  <si>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</si>
  <si>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</si>
  <si>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</si>
  <si>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</si>
  <si>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</si>
  <si>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</si>
  <si>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</si>
  <si>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</si>
  <si>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</si>
  <si>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</si>
  <si>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</si>
  <si>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</si>
  <si>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</si>
  <si>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</si>
  <si>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</si>
  <si>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</si>
  <si>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</si>
  <si>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</si>
  <si>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</si>
  <si>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</si>
  <si>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</si>
  <si>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</si>
  <si>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</si>
  <si>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</si>
  <si>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</si>
  <si>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</si>
  <si>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</si>
  <si>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</si>
  <si>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</si>
  <si>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</si>
  <si>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</si>
  <si>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</si>
  <si>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</si>
  <si>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</si>
  <si>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</si>
  <si>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</si>
  <si>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</si>
  <si>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</si>
  <si>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</si>
  <si>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</si>
  <si>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</si>
  <si>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</si>
  <si>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</si>
  <si>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</si>
  <si>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</si>
  <si>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</si>
  <si>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</si>
  <si>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</si>
  <si>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</si>
  <si>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</si>
  <si>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</si>
  <si>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</si>
  <si>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</si>
  <si>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</si>
  <si>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</si>
  <si>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</si>
  <si>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</si>
  <si>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</si>
  <si>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</si>
  <si>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</si>
  <si>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</si>
  <si>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</si>
  <si>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</si>
  <si>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</si>
  <si>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</si>
  <si>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</si>
  <si>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</si>
  <si>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</si>
  <si>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</si>
  <si>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</si>
  <si>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</si>
  <si>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</si>
  <si>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</si>
  <si>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</si>
  <si>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</si>
  <si>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</si>
  <si>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</si>
  <si>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</si>
  <si>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</si>
  <si>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</si>
  <si>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</si>
  <si>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</si>
  <si>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</si>
  <si>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</si>
  <si>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</si>
  <si>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</si>
  <si>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</si>
  <si>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</si>
  <si>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</si>
  <si>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</si>
  <si>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</si>
  <si>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</si>
  <si>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</si>
  <si>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</si>
  <si>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</si>
  <si>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</si>
  <si>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</si>
  <si>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</si>
  <si>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</si>
  <si>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</si>
  <si>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</si>
  <si>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</si>
  <si>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</si>
  <si>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</si>
  <si>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</si>
  <si>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</si>
  <si>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</si>
  <si>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</si>
  <si>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</si>
  <si>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</si>
  <si>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</si>
  <si>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</si>
  <si>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</si>
  <si>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</si>
  <si>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</si>
  <si>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</si>
  <si>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</si>
  <si>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</si>
  <si>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</si>
  <si>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</si>
  <si>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</si>
  <si>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</si>
  <si>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</si>
  <si>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</si>
  <si>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</si>
  <si>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</si>
  <si>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</si>
  <si>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</si>
  <si>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</si>
  <si>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</si>
  <si>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</si>
  <si>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</si>
  <si>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</si>
  <si>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</si>
  <si>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</si>
  <si>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</si>
  <si>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</si>
  <si>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</si>
  <si>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</si>
  <si>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</si>
  <si>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</si>
  <si>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</si>
  <si>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</si>
  <si>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</si>
  <si>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</si>
  <si>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</si>
  <si>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</si>
  <si>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</si>
  <si>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</si>
  <si>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</si>
  <si>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</si>
  <si>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</si>
  <si>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</si>
  <si>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</si>
  <si>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</si>
  <si>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</si>
  <si>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</si>
  <si>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</si>
  <si>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</si>
  <si>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</si>
  <si>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</si>
  <si>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</si>
  <si>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</si>
  <si>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</si>
  <si>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</si>
  <si>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</si>
  <si>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</si>
  <si>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</si>
  <si>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</si>
  <si>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</si>
  <si>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</si>
  <si>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</si>
  <si>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</si>
  <si>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</si>
  <si>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</si>
  <si>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</si>
  <si>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</si>
  <si>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</si>
  <si>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</si>
  <si>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</si>
  <si>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</si>
  <si>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</si>
  <si>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</si>
  <si>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</si>
  <si>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</si>
  <si>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</si>
  <si>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</si>
  <si>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</si>
  <si>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</si>
  <si>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</si>
  <si>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</si>
  <si>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</si>
  <si>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</si>
  <si>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</si>
  <si>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</si>
  <si>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</si>
  <si>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</si>
  <si>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</si>
  <si>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</si>
  <si>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</si>
  <si>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</si>
  <si>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</si>
  <si>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</si>
  <si>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</si>
  <si>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</si>
  <si>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</si>
  <si>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</si>
  <si>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</si>
  <si>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</si>
  <si>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</si>
  <si>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</si>
  <si>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</si>
  <si>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</si>
  <si>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</si>
  <si>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</si>
  <si>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</si>
  <si>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</si>
  <si>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</si>
  <si>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</si>
  <si>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</si>
  <si>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</si>
  <si>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</si>
  <si>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</si>
  <si>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</si>
  <si>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</si>
  <si>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</si>
  <si>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</si>
  <si>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</si>
  <si>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</si>
  <si>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</si>
  <si>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</si>
  <si>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</si>
  <si>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</si>
  <si>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</si>
  <si>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</si>
  <si>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</si>
  <si>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</si>
  <si>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</si>
  <si>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</si>
  <si>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</si>
  <si>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</si>
  <si>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</si>
  <si>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</si>
  <si>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</si>
  <si>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</si>
  <si>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</si>
  <si>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</si>
  <si>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</si>
  <si>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</si>
  <si>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</si>
  <si>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</si>
  <si>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</si>
  <si>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</si>
  <si>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</si>
  <si>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</si>
  <si>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</si>
  <si>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</si>
  <si>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</si>
  <si>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</si>
  <si>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</si>
  <si>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</si>
  <si>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</si>
  <si>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</si>
  <si>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</si>
  <si>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</si>
  <si>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</si>
  <si>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</si>
  <si>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</si>
  <si>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</si>
  <si>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</si>
  <si>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</si>
  <si>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</si>
  <si>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</si>
  <si>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</si>
  <si>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</si>
  <si>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</si>
  <si>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</si>
  <si>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</si>
  <si>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</si>
  <si>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</si>
  <si>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</si>
  <si>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</si>
  <si>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</si>
  <si>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</si>
  <si>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</si>
  <si>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</si>
  <si>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</si>
  <si>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</si>
  <si>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</si>
  <si>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</si>
  <si>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</si>
  <si>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</si>
  <si>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</si>
  <si>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</si>
  <si>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</si>
  <si>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</si>
  <si>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</si>
  <si>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</si>
  <si>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</si>
  <si>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</si>
  <si>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</si>
  <si>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</si>
  <si>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</si>
  <si>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</si>
  <si>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</si>
  <si>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</si>
  <si>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</si>
  <si>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</si>
  <si>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</si>
  <si>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</si>
  <si>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</si>
  <si>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</si>
  <si>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</si>
  <si>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</si>
  <si>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</si>
  <si>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</si>
  <si>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</si>
  <si>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</si>
  <si>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</si>
  <si>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</si>
  <si>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</si>
  <si>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</si>
  <si>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</si>
  <si>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</si>
  <si>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</si>
  <si>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</si>
  <si>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</si>
  <si>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</si>
  <si>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</si>
  <si>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</si>
  <si>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</si>
  <si>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</si>
  <si>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</si>
  <si>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</si>
  <si>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</si>
  <si>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</si>
  <si>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</si>
  <si>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</si>
  <si>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</si>
  <si>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</si>
  <si>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</si>
  <si>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</si>
  <si>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</si>
  <si>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</si>
  <si>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</si>
  <si>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</si>
  <si>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</si>
  <si>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</si>
  <si>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</si>
  <si>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</si>
  <si>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</si>
  <si>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</si>
  <si>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</si>
  <si>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</si>
  <si>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</si>
  <si>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</si>
  <si>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</si>
  <si>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</si>
  <si>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</si>
  <si>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</si>
  <si>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</si>
  <si>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</si>
  <si>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</si>
  <si>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</si>
  <si>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</si>
  <si>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</si>
  <si>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</si>
  <si>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</si>
  <si>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</si>
  <si>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</si>
  <si>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</si>
  <si>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</si>
  <si>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</si>
  <si>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</si>
  <si>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</si>
  <si>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</si>
  <si>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</si>
  <si>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</si>
  <si>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</si>
  <si>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</si>
  <si>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</si>
  <si>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</si>
  <si>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</si>
  <si>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</si>
  <si>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</si>
  <si>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</si>
  <si>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</si>
  <si>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</si>
  <si>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</si>
  <si>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</si>
  <si>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</si>
  <si>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</si>
  <si>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</si>
  <si>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</si>
  <si>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</si>
  <si>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</si>
  <si>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</si>
  <si>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</si>
  <si>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</si>
  <si>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</si>
  <si>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</si>
  <si>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</si>
  <si>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</si>
  <si>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</si>
  <si>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</si>
  <si>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</si>
  <si>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</si>
  <si>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</si>
  <si>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</si>
  <si>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</si>
  <si>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</si>
  <si>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</si>
  <si>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</si>
  <si>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</si>
  <si>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</si>
  <si>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</si>
  <si>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</si>
  <si>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</si>
  <si>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</si>
  <si>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</si>
  <si>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</si>
  <si>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</si>
  <si>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</si>
  <si>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</si>
  <si>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</si>
  <si>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</si>
  <si>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</si>
  <si>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</si>
  <si>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</si>
  <si>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</si>
  <si>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</si>
  <si>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</si>
  <si>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</si>
  <si>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</si>
  <si>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</si>
  <si>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</si>
  <si>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</si>
  <si>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</si>
  <si>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</si>
  <si>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</si>
  <si>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</si>
  <si>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</si>
  <si>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</si>
  <si>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</si>
  <si>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</si>
  <si>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</si>
  <si>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</si>
  <si>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</si>
  <si>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</si>
  <si>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</si>
  <si>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</si>
  <si>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</si>
  <si>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</si>
  <si>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</si>
  <si>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</si>
  <si>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</si>
  <si>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</si>
  <si>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</si>
  <si>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</si>
  <si>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</si>
  <si>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</si>
  <si>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</si>
  <si>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</si>
  <si>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</si>
  <si>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</si>
  <si>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</si>
  <si>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</si>
  <si>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</si>
  <si>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</si>
  <si>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</si>
  <si>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</si>
  <si>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</si>
  <si>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</si>
  <si>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</si>
  <si>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</si>
  <si>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</si>
  <si>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</si>
  <si>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</si>
  <si>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</si>
  <si>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</si>
  <si>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</si>
  <si>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</si>
  <si>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</si>
  <si>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</si>
  <si>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</si>
  <si>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</si>
  <si>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</si>
  <si>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</si>
  <si>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</si>
  <si>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</si>
  <si>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</si>
  <si>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</si>
  <si>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</si>
  <si>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</si>
  <si>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</si>
  <si>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</si>
  <si>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</si>
  <si>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</si>
  <si>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</si>
  <si>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</si>
  <si>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</si>
  <si>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</si>
  <si>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</si>
  <si>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</si>
  <si>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</si>
  <si>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</si>
  <si>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</si>
  <si>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</si>
  <si>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</si>
  <si>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</si>
  <si>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</si>
  <si>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</si>
  <si>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</si>
  <si>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</si>
  <si>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</si>
  <si>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</si>
  <si>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</si>
  <si>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</si>
  <si>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</si>
  <si>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</si>
  <si>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</si>
  <si>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</si>
  <si>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</si>
  <si>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</si>
  <si>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</si>
  <si>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</si>
  <si>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</si>
  <si>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</si>
  <si>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</si>
  <si>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</si>
  <si>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</si>
  <si>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</si>
  <si>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</si>
  <si>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</si>
  <si>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</si>
  <si>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</si>
  <si>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</si>
  <si>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</si>
  <si>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</si>
  <si>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</si>
  <si>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</si>
  <si>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</si>
  <si>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</si>
  <si>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</si>
  <si>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</si>
  <si>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</si>
  <si>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</si>
  <si>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</si>
  <si>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</si>
  <si>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</si>
  <si>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</si>
  <si>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</si>
  <si>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</si>
  <si>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</si>
  <si>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</si>
  <si>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</si>
  <si>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</si>
  <si>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</si>
  <si>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</si>
  <si>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</si>
  <si>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</si>
  <si>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</si>
  <si>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</si>
  <si>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</si>
  <si>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</si>
  <si>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</si>
  <si>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</si>
  <si>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</si>
  <si>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</si>
  <si>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</si>
  <si>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</si>
  <si>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</si>
  <si>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</si>
  <si>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</si>
  <si>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</si>
  <si>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</si>
  <si>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</si>
  <si>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</si>
  <si>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</si>
  <si>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</si>
  <si>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</si>
  <si>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</si>
  <si>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</si>
  <si>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</si>
  <si>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</si>
  <si>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</si>
  <si>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</si>
  <si>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</si>
  <si>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</si>
  <si>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</si>
  <si>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</si>
  <si>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</si>
  <si>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</si>
  <si>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</si>
  <si>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</si>
  <si>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</si>
  <si>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</si>
  <si>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</si>
  <si>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</si>
  <si>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</si>
  <si>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</si>
  <si>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</si>
  <si>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</si>
  <si>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</si>
  <si>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</si>
  <si>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</si>
  <si>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</si>
  <si>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</si>
  <si>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</si>
  <si>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</si>
  <si>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</si>
  <si>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</si>
  <si>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</si>
  <si>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</si>
  <si>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</si>
  <si>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</si>
  <si>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</si>
  <si>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</si>
  <si>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</si>
  <si>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</si>
  <si>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</si>
  <si>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</si>
  <si>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</si>
  <si>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</si>
  <si>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</si>
  <si>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</si>
  <si>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</si>
  <si>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</si>
  <si>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</si>
  <si>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</si>
  <si>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</si>
  <si>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</si>
  <si>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</si>
  <si>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</si>
  <si>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</si>
  <si>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</si>
  <si>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</si>
  <si>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</si>
  <si>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</si>
  <si>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</si>
  <si>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</si>
  <si>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</si>
  <si>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</si>
  <si>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</si>
  <si>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</si>
  <si>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</si>
  <si>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</si>
  <si>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</si>
  <si>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</si>
  <si>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</si>
  <si>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</si>
  <si>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</si>
  <si>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</si>
  <si>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</si>
  <si>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</si>
  <si>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</si>
  <si>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</si>
  <si>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</si>
  <si>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</si>
  <si>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</si>
  <si>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</si>
  <si>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</si>
  <si>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</si>
  <si>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</si>
  <si>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</si>
  <si>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</si>
  <si>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</si>
  <si>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</si>
  <si>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</si>
  <si>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</si>
  <si>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</si>
  <si>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</si>
  <si>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</si>
  <si>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</si>
  <si>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</si>
  <si>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</si>
  <si>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</si>
  <si>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</si>
  <si>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</si>
  <si>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</si>
  <si>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</si>
  <si>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</si>
  <si>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</si>
  <si>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</si>
  <si>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</si>
  <si>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</si>
  <si>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</si>
  <si>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</si>
  <si>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</si>
  <si>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</si>
  <si>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</si>
  <si>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</si>
  <si>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</si>
  <si>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</si>
  <si>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</si>
  <si>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</si>
  <si>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</si>
  <si>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</si>
  <si>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</si>
  <si>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</si>
  <si>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</si>
  <si>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</si>
  <si>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</si>
  <si>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</si>
  <si>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</si>
  <si>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</si>
  <si>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</si>
  <si>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</si>
  <si>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</si>
  <si>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</si>
  <si>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</si>
  <si>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</si>
  <si>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</si>
  <si>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</si>
  <si>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</si>
  <si>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</si>
  <si>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</si>
  <si>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</si>
  <si>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</si>
  <si>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</si>
  <si>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</si>
  <si>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</si>
  <si>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</si>
  <si>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</si>
  <si>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</si>
  <si>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</si>
  <si>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</si>
  <si>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</si>
  <si>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</si>
  <si>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</si>
  <si>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</si>
  <si>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</si>
  <si>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</si>
  <si>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</si>
  <si>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</si>
  <si>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</si>
  <si>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</si>
  <si>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</si>
  <si>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</si>
  <si>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</si>
  <si>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</si>
  <si>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</si>
  <si>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</si>
  <si>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</si>
  <si>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</si>
  <si>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</si>
  <si>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</si>
  <si>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</si>
  <si>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</si>
  <si>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</si>
  <si>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</si>
  <si>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</si>
  <si>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</si>
  <si>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</si>
  <si>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</si>
  <si>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</si>
  <si>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</si>
  <si>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</si>
  <si>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</si>
  <si>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</si>
  <si>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</si>
  <si>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</si>
  <si>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</si>
  <si>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</si>
  <si>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</si>
  <si>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</si>
  <si>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</si>
  <si>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</si>
  <si>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</si>
  <si>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</si>
  <si>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</si>
  <si>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</si>
  <si>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</si>
  <si>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</si>
  <si>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</si>
  <si>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</si>
  <si>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</si>
  <si>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</si>
  <si>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</si>
  <si>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</si>
  <si>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</si>
  <si>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</si>
  <si>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</si>
  <si>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</si>
  <si>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</si>
  <si>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</si>
  <si>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</si>
  <si>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</si>
  <si>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</si>
  <si>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</si>
  <si>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</si>
  <si>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</si>
  <si>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</si>
  <si>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</si>
  <si>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</si>
  <si>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</si>
  <si>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</si>
  <si>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</si>
  <si>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</si>
  <si>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</si>
  <si>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</si>
  <si>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</si>
  <si>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</si>
  <si>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</si>
  <si>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</si>
  <si>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</si>
  <si>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</si>
  <si>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</si>
  <si>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</si>
  <si>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</si>
  <si>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</si>
  <si>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</si>
  <si>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</si>
  <si>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</si>
  <si>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</si>
  <si>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</si>
  <si>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</si>
  <si>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</si>
  <si>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</si>
  <si>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</si>
  <si>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</si>
  <si>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</si>
  <si>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</si>
  <si>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</si>
  <si>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</si>
  <si>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</si>
  <si>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</si>
  <si>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</si>
  <si>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</si>
  <si>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</si>
  <si>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</si>
  <si>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</si>
  <si>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</si>
  <si>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</si>
  <si>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</si>
  <si>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</si>
  <si>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</si>
  <si>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</si>
  <si>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</si>
  <si>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</si>
  <si>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</si>
  <si>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</si>
  <si>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</si>
  <si>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</si>
  <si>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</si>
  <si>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</si>
  <si>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</si>
  <si>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</si>
  <si>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</si>
  <si>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</si>
  <si>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</si>
  <si>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</si>
  <si>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</si>
  <si>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</si>
  <si>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</si>
  <si>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</si>
  <si>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</si>
  <si>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</si>
  <si>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</si>
  <si>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</si>
  <si>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</si>
  <si>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</si>
  <si>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</si>
  <si>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</si>
  <si>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</si>
  <si>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</si>
  <si>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</si>
  <si>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</si>
  <si>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</si>
  <si>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</si>
  <si>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</si>
  <si>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</si>
  <si>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</si>
  <si>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</si>
  <si>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</si>
  <si>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</si>
  <si>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</si>
  <si>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</si>
  <si>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</si>
  <si>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</si>
  <si>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</si>
  <si>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</si>
  <si>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</si>
  <si>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</si>
  <si>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</si>
  <si>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</si>
  <si>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</si>
  <si>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</si>
  <si>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</si>
  <si>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</si>
  <si>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</si>
  <si>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</si>
  <si>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</si>
  <si>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</si>
  <si>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</si>
  <si>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</si>
  <si>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</si>
  <si>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</si>
  <si>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</si>
  <si>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</si>
  <si>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</si>
  <si>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</si>
  <si>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</si>
  <si>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</si>
  <si>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</si>
  <si>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</si>
  <si>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</si>
  <si>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</si>
  <si>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</si>
  <si>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</si>
  <si>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</si>
  <si>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</si>
  <si>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</si>
  <si>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</si>
  <si>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</si>
  <si>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</si>
  <si>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</si>
  <si>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</si>
  <si>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</si>
  <si>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</si>
  <si>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</si>
  <si>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</si>
  <si>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</si>
  <si>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</si>
  <si>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</si>
  <si>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</si>
  <si>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</si>
  <si>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</si>
  <si>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</si>
  <si>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</si>
  <si>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</si>
  <si>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</si>
  <si>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</si>
  <si>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</si>
  <si>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</si>
  <si>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</si>
  <si>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</si>
  <si>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</si>
  <si>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</si>
  <si>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</si>
  <si>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</si>
  <si>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</si>
  <si>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</si>
  <si>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</si>
  <si>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</si>
  <si>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</si>
  <si>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</si>
  <si>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</si>
  <si>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</si>
  <si>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</si>
  <si>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</si>
  <si>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</si>
  <si>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</si>
  <si>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</si>
  <si>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</si>
  <si>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</si>
  <si>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</si>
  <si>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</si>
  <si>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</si>
  <si>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</si>
  <si>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</si>
  <si>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</si>
  <si>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</si>
  <si>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</si>
  <si>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</si>
  <si>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</si>
  <si>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</si>
  <si>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</si>
  <si>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</si>
  <si>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</si>
  <si>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</si>
  <si>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</si>
  <si>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</si>
  <si>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</si>
  <si>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</si>
  <si>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</si>
  <si>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</si>
  <si>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</si>
  <si>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</si>
  <si>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</si>
  <si>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</si>
  <si>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</si>
  <si>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</si>
  <si>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</si>
  <si>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</si>
  <si>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</si>
  <si>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</si>
  <si>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</si>
  <si>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</si>
  <si>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</si>
  <si>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</si>
  <si>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</si>
  <si>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</si>
  <si>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</si>
  <si>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</si>
  <si>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</si>
  <si>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</si>
  <si>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</si>
  <si>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</si>
  <si>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</si>
  <si>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</si>
  <si>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</si>
  <si>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</si>
  <si>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</si>
  <si>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</si>
  <si>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</si>
  <si>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</si>
  <si>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</si>
  <si>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</si>
  <si>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</si>
  <si>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</si>
  <si>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</si>
  <si>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</si>
  <si>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</si>
  <si>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</si>
  <si>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</si>
  <si>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</si>
  <si>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</si>
  <si>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</si>
  <si>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</si>
  <si>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</si>
  <si>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</si>
  <si>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</si>
  <si>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</si>
  <si>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</si>
  <si>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</si>
  <si>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</si>
  <si>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</si>
  <si>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</si>
  <si>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</si>
  <si>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</si>
  <si>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</si>
  <si>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</si>
  <si>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</si>
  <si>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</si>
  <si>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</si>
  <si>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</si>
  <si>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</si>
  <si>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</si>
  <si>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</si>
  <si>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</si>
  <si>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</si>
  <si>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</si>
  <si>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</si>
  <si>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</si>
  <si>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</si>
  <si>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</si>
  <si>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</si>
  <si>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</si>
  <si>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</si>
  <si>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</si>
  <si>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</si>
  <si>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</si>
  <si>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</si>
  <si>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</si>
  <si>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</si>
  <si>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</si>
  <si>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</si>
  <si>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</si>
  <si>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</si>
  <si>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</si>
  <si>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</si>
  <si>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</si>
  <si>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</si>
  <si>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</si>
  <si>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</si>
  <si>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</si>
  <si>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</si>
  <si>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</si>
  <si>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</si>
  <si>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</si>
  <si>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</si>
  <si>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</si>
  <si>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</si>
  <si>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</si>
  <si>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</si>
  <si>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</si>
  <si>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</si>
  <si>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</si>
  <si>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</si>
  <si>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</si>
  <si>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</si>
  <si>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</si>
  <si>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</si>
  <si>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</si>
  <si>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</si>
  <si>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</si>
  <si>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</si>
  <si>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</si>
  <si>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</si>
  <si>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</si>
  <si>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</si>
  <si>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</si>
  <si>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</si>
  <si>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</si>
  <si>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</si>
  <si>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</si>
  <si>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</si>
  <si>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</si>
  <si>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</si>
  <si>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</si>
  <si>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</si>
  <si>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</si>
  <si>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</si>
  <si>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</si>
  <si>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</si>
  <si>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</si>
  <si>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</si>
  <si>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</si>
  <si>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</si>
  <si>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</si>
  <si>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</si>
  <si>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</si>
  <si>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</si>
  <si>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</si>
  <si>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</si>
  <si>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</si>
  <si>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</si>
  <si>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</si>
  <si>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</si>
  <si>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</si>
  <si>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</si>
  <si>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</si>
  <si>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</si>
  <si>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</si>
  <si>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</si>
  <si>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</si>
  <si>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</si>
  <si>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</si>
  <si>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</si>
  <si>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</si>
  <si>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</si>
  <si>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</si>
  <si>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</si>
  <si>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</si>
  <si>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</si>
  <si>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</si>
  <si>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</si>
  <si>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</si>
  <si>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</si>
  <si>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</si>
  <si>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</si>
  <si>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</si>
  <si>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</si>
  <si>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</si>
  <si>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</si>
  <si>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</si>
  <si>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</si>
  <si>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</si>
  <si>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</si>
  <si>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住宅</t>
    <phoneticPr fontId="3" type="noConversion"/>
  </si>
  <si>
    <t>是</t>
  </si>
  <si>
    <t>地上</t>
  </si>
  <si>
    <t>住宅</t>
    <phoneticPr fontId="7" type="noConversion"/>
  </si>
  <si>
    <t>橡树湾</t>
    <phoneticPr fontId="3" type="noConversion"/>
  </si>
  <si>
    <t>中铁兴创·逸境</t>
    <phoneticPr fontId="3" type="noConversion"/>
  </si>
  <si>
    <t>星光都荟合苑</t>
    <phoneticPr fontId="3" type="noConversion"/>
  </si>
  <si>
    <t>正常</t>
  </si>
  <si>
    <t>住宅</t>
    <phoneticPr fontId="26" type="noConversion"/>
  </si>
  <si>
    <t>较规则</t>
  </si>
  <si>
    <t>较规则</t>
    <phoneticPr fontId="26" type="noConversion"/>
  </si>
  <si>
    <t>较适宜</t>
  </si>
  <si>
    <t>较适宜</t>
    <phoneticPr fontId="26" type="noConversion"/>
  </si>
  <si>
    <t>七通一平</t>
  </si>
  <si>
    <t>七通一平</t>
    <phoneticPr fontId="26" type="noConversion"/>
  </si>
  <si>
    <t>较好</t>
  </si>
  <si>
    <t>较好</t>
    <phoneticPr fontId="26" type="noConversion"/>
  </si>
  <si>
    <t>七通</t>
  </si>
  <si>
    <t>楼面地价</t>
  </si>
  <si>
    <t>售价</t>
  </si>
  <si>
    <t>高层</t>
  </si>
  <si>
    <t>高层</t>
    <phoneticPr fontId="21" type="noConversion"/>
  </si>
  <si>
    <t>钢混</t>
  </si>
  <si>
    <t>钢混</t>
    <phoneticPr fontId="21" type="noConversion"/>
  </si>
  <si>
    <t>高档</t>
  </si>
  <si>
    <t>高档</t>
    <phoneticPr fontId="21" type="noConversion"/>
  </si>
  <si>
    <t>精装修</t>
    <phoneticPr fontId="21" type="noConversion"/>
  </si>
  <si>
    <t>品牌</t>
  </si>
  <si>
    <t>品牌</t>
    <phoneticPr fontId="21" type="noConversion"/>
  </si>
  <si>
    <t>七通</t>
    <phoneticPr fontId="21" type="noConversion"/>
  </si>
  <si>
    <t>平层</t>
  </si>
  <si>
    <t>平层</t>
    <phoneticPr fontId="21" type="noConversion"/>
  </si>
  <si>
    <t>精装</t>
  </si>
  <si>
    <t>精装</t>
    <phoneticPr fontId="21" type="noConversion"/>
  </si>
  <si>
    <t>项目全部</t>
  </si>
  <si>
    <t>土地</t>
  </si>
  <si>
    <t>比较法-住宅、综合</t>
  </si>
  <si>
    <t>剩余法-待开发</t>
  </si>
  <si>
    <t>地下车库</t>
  </si>
  <si>
    <t>地下</t>
  </si>
  <si>
    <t>地下车库</t>
    <phoneticPr fontId="3" type="noConversion"/>
  </si>
  <si>
    <t>否</t>
  </si>
  <si>
    <t>地下车库</t>
    <phoneticPr fontId="7" type="noConversion"/>
  </si>
  <si>
    <t>押一</t>
  </si>
  <si>
    <t>限售价</t>
    <phoneticPr fontId="26" type="noConversion"/>
  </si>
  <si>
    <t>否</t>
    <phoneticPr fontId="26" type="noConversion"/>
  </si>
  <si>
    <t>是</t>
    <phoneticPr fontId="26" type="noConversion"/>
  </si>
  <si>
    <t>北京市大兴区大兴新城核心区土地一级开发项目DX00-0101-053、DX00-0101-055地块二类居住用地</t>
    <phoneticPr fontId="3" type="noConversion"/>
  </si>
  <si>
    <t>北京市大兴区西红门镇DX04-0102-6013地块R2二类居住用地</t>
    <phoneticPr fontId="3" type="noConversion"/>
  </si>
  <si>
    <t>北京市大兴区黄村镇DX00-0102-0208-6026、6020地块R2二类居住用地、A334托幼用地</t>
    <phoneticPr fontId="3"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</si>
  <si>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1"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</si>
  <si>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1"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</si>
  <si>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1"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</si>
  <si>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1" type="noConversion"/>
  </si>
  <si>
    <t>中骏金辉·未来云城</t>
    <phoneticPr fontId="3" type="noConversion"/>
  </si>
  <si>
    <t>熙悦宸著</t>
    <phoneticPr fontId="3" type="noConversion"/>
  </si>
  <si>
    <t>地下车库</t>
    <phoneticPr fontId="27" type="noConversion"/>
  </si>
  <si>
    <t>50</t>
    <phoneticPr fontId="27" type="noConversion"/>
  </si>
  <si>
    <t>普通装修</t>
  </si>
  <si>
    <t>普通装修</t>
    <phoneticPr fontId="27" type="noConversion"/>
  </si>
  <si>
    <t>品牌</t>
    <phoneticPr fontId="27" type="noConversion"/>
  </si>
  <si>
    <t>平面车位</t>
  </si>
  <si>
    <t>平面车位</t>
    <phoneticPr fontId="27" type="noConversion"/>
  </si>
  <si>
    <t>否</t>
    <phoneticPr fontId="27" type="noConversion"/>
  </si>
  <si>
    <t>橡树湾</t>
    <phoneticPr fontId="3" type="noConversion"/>
  </si>
  <si>
    <t>元/车位</t>
  </si>
  <si>
    <t>抵押价格</t>
  </si>
  <si>
    <t>企业</t>
  </si>
  <si>
    <t>居住项目</t>
  </si>
  <si>
    <t>无</t>
  </si>
  <si>
    <t>正常操作</t>
  </si>
  <si>
    <t>出让金</t>
    <phoneticPr fontId="224" type="noConversion"/>
  </si>
  <si>
    <t>保证金</t>
    <phoneticPr fontId="224" type="noConversion"/>
  </si>
  <si>
    <t>契税</t>
    <phoneticPr fontId="224" type="noConversion"/>
  </si>
  <si>
    <t>地块名称</t>
  </si>
  <si>
    <t>城市</t>
  </si>
  <si>
    <t>地块编号</t>
  </si>
  <si>
    <t>省份</t>
  </si>
  <si>
    <t>区县</t>
  </si>
  <si>
    <t>板块</t>
  </si>
  <si>
    <t>土地位置</t>
  </si>
  <si>
    <t>用地性质</t>
  </si>
  <si>
    <t>建设用地面积(㎡)</t>
  </si>
  <si>
    <t>规划建筑面积(㎡)</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</si>
  <si>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</si>
  <si>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</si>
  <si>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</si>
  <si>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</si>
  <si>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</si>
  <si>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</si>
  <si>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</si>
  <si>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</si>
  <si>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</si>
  <si>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</si>
  <si>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</si>
  <si>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</si>
  <si>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</si>
  <si>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</si>
  <si>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</si>
  <si>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</si>
  <si>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</si>
  <si>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</si>
  <si>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</si>
  <si>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</si>
  <si>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</si>
  <si>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</si>
  <si>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</si>
  <si>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</si>
  <si>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</si>
  <si>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</si>
  <si>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</si>
  <si>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</si>
  <si>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</si>
  <si>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</si>
  <si>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</si>
  <si>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</si>
  <si>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</si>
  <si>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</si>
  <si>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</si>
  <si>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</si>
  <si>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</si>
  <si>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</si>
  <si>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</si>
  <si>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</si>
  <si>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</si>
  <si>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</si>
  <si>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</si>
  <si>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</si>
  <si>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</si>
  <si>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</si>
  <si>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北京市大兴区三合庄改造区土地一级开发项目DX00-0202-6018、6019、6026地块R2二类居住用地和6022 地块A334托幼用地 4</t>
  </si>
  <si>
    <t>京土储挂(兴)[2023]037号</t>
  </si>
  <si>
    <t xml:space="preserve"> 北京</t>
  </si>
  <si>
    <t xml:space="preserve"> 大兴区</t>
  </si>
  <si>
    <t xml:space="preserve"> 兴丰街道</t>
  </si>
  <si>
    <t xml:space="preserve"> 大兴区黄村镇</t>
  </si>
  <si>
    <t xml:space="preserve"> 综合用地(含住宅)</t>
  </si>
  <si>
    <t xml:space="preserve"> 6018、6019、6026容积率2、6022容积率0.8</t>
  </si>
  <si>
    <t xml:space="preserve"> 挂牌</t>
  </si>
  <si>
    <t xml:space="preserve"> R2二类居住用地、A334托幼用地</t>
  </si>
  <si>
    <t xml:space="preserve">-- </t>
  </si>
  <si>
    <t xml:space="preserve"> -- </t>
  </si>
  <si>
    <t xml:space="preserve"> 6018、6019、6026建筑高度45米、6022建筑高度18米</t>
  </si>
  <si>
    <t xml:space="preserve"> 限地价,摇号/摇珠/抽签,限房价</t>
  </si>
  <si>
    <t xml:space="preserve"> 限地价,限房价,摇号/摇珠/抽签</t>
  </si>
  <si>
    <t xml:space="preserve"> --</t>
  </si>
  <si>
    <t xml:space="preserve"> 京土储挂(兴)[2023]037号</t>
  </si>
  <si>
    <t xml:space="preserve"> 已成交</t>
  </si>
  <si>
    <t xml:space="preserve"> 湖州中石房地产开发有限公司  </t>
  </si>
  <si>
    <t xml:space="preserve"> 宇诚集团</t>
  </si>
  <si>
    <t xml:space="preserve"> 民营企业</t>
  </si>
  <si>
    <t xml:space="preserve"> 居住70年商业40年办公50年</t>
  </si>
  <si>
    <t xml:space="preserve"> 触达</t>
  </si>
  <si>
    <t xml:space="preserve"> 已开工</t>
  </si>
  <si>
    <t>北京市大兴区大兴新城核心区土地一级开发项目DX00-0101-053、DX00-0101-055地块二类居住用地 4</t>
  </si>
  <si>
    <t>京土储挂(兴)[2023]038号</t>
  </si>
  <si>
    <t xml:space="preserve"> 林校路街道</t>
  </si>
  <si>
    <t xml:space="preserve"> 住宅用地</t>
  </si>
  <si>
    <t xml:space="preserve"> R2二类居住用地</t>
  </si>
  <si>
    <t xml:space="preserve"> 45米</t>
  </si>
  <si>
    <t xml:space="preserve"> 京土储挂(兴)[2023]038号</t>
  </si>
  <si>
    <t xml:space="preserve"> 中建壹品投资发展有限公司  </t>
  </si>
  <si>
    <t xml:space="preserve"> 中建三局</t>
  </si>
  <si>
    <t xml:space="preserve"> 中央国有企业</t>
  </si>
  <si>
    <t>北京市大兴区西红门镇DX04-0102-6004 地块A334 托幼用地、DX04-0102-6006 地块R2二类居住用地 4</t>
  </si>
  <si>
    <t>京土储挂(兴)[2023]035号</t>
  </si>
  <si>
    <t xml:space="preserve"> 西红门</t>
  </si>
  <si>
    <t xml:space="preserve"> 大兴区西红门镇北</t>
  </si>
  <si>
    <t xml:space="preserve"> 6005地块容积率≤2.5,6007地块容积率≤0.8</t>
  </si>
  <si>
    <t xml:space="preserve"> 6005地块限高45米,6007地块限高15米</t>
  </si>
  <si>
    <t xml:space="preserve"> 京土储挂(兴)[2023]035号</t>
  </si>
  <si>
    <t xml:space="preserve"> 中建玖合发展集团有限公司  </t>
  </si>
  <si>
    <t xml:space="preserve"> 中建二局</t>
  </si>
  <si>
    <t>2023-07-25 15:00</t>
  </si>
  <si>
    <t>北京市大兴区大兴新城西片区一期A组团土地一级开发项目DX00-0407-0002地块R2二类居住用地 3</t>
  </si>
  <si>
    <t>京土储挂(兴)[2023]022号</t>
  </si>
  <si>
    <t xml:space="preserve"> 黄村北</t>
  </si>
  <si>
    <t xml:space="preserve"> ≤30%</t>
  </si>
  <si>
    <t xml:space="preserve"> 限地价,限房价</t>
  </si>
  <si>
    <t xml:space="preserve"> 京土储挂(兴)[2023]022号</t>
  </si>
  <si>
    <t xml:space="preserve"> 中建三局城市投资运营有限公司 、北京市大兴城镇建设综合开发集团有限公司  </t>
  </si>
  <si>
    <t xml:space="preserve"> 北京兴创投资,中建三局</t>
  </si>
  <si>
    <t xml:space="preserve"> 地方国有企业,中央国有企业</t>
  </si>
  <si>
    <t xml:space="preserve"> 住宅70年</t>
  </si>
  <si>
    <t xml:space="preserve"> 未触达</t>
  </si>
  <si>
    <t>北京经济技术开发区亦庄新城0202街区YZ00-0202-X47R1地块R2二类居住用地 3</t>
  </si>
  <si>
    <t>京土储挂(开)[2023]019号</t>
  </si>
  <si>
    <t xml:space="preserve"> 瀛海</t>
  </si>
  <si>
    <t xml:space="preserve"> 亦庄新城0202街区YZ00-0202-X47R1地块</t>
  </si>
  <si>
    <t xml:space="preserve"> ≤30</t>
  </si>
  <si>
    <t xml:space="preserve"> ≤80</t>
  </si>
  <si>
    <t xml:space="preserve"> 限地价,摇号/摇珠/抽签,限房价,现房销售</t>
  </si>
  <si>
    <t xml:space="preserve"> 限地价,限房价,摇号/摇珠/抽签,现房销售</t>
  </si>
  <si>
    <t xml:space="preserve"> 京土储挂(开)[2023]019号</t>
  </si>
  <si>
    <t xml:space="preserve"> 中皋置业有限公司  </t>
  </si>
  <si>
    <t xml:space="preserve"> 富皋万泰投资</t>
  </si>
  <si>
    <t xml:space="preserve"> 地方国有企业</t>
  </si>
  <si>
    <t xml:space="preserve"> 居住70年、商业40年、办公50年</t>
  </si>
  <si>
    <t xml:space="preserve"> 未开工</t>
  </si>
  <si>
    <t>北京经济技术开发区亦庄新城0510街区YZ00-0510-0032地块R2二类居住用地 3</t>
  </si>
  <si>
    <t>京土储挂(开)[2023]009号</t>
  </si>
  <si>
    <t xml:space="preserve"> 台湖</t>
  </si>
  <si>
    <t xml:space="preserve"> 亦庄新城0510街区YZ00-0510-0032地块</t>
  </si>
  <si>
    <t xml:space="preserve"> 限地价,摇号/摇珠/抽签</t>
  </si>
  <si>
    <t xml:space="preserve"> 限地价</t>
  </si>
  <si>
    <t xml:space="preserve"> 京土储挂(开)[2023]009号</t>
  </si>
  <si>
    <t xml:space="preserve"> 招商局地产(北京)有限公司  </t>
  </si>
  <si>
    <t xml:space="preserve"> 招商蛇口</t>
  </si>
  <si>
    <t>北京市大兴区西红门镇DX04-0102-6005地块R2二类居住用地、DX04-0102-6007地块A334托幼用地 4</t>
  </si>
  <si>
    <t>京土储挂(兴)[2023]008号</t>
  </si>
  <si>
    <t xml:space="preserve"> 大兴区西红门镇北部</t>
  </si>
  <si>
    <t xml:space="preserve"> dx04-0102-6005容积率2.5、dx04-0102-6007容积率0.8</t>
  </si>
  <si>
    <t xml:space="preserve"> 京土储挂(兴)[2023]008号</t>
  </si>
  <si>
    <t xml:space="preserve"> 华润置地开发(北京)有限公司 、中铁置业集团北京有限公司  </t>
  </si>
  <si>
    <t xml:space="preserve"> 中国中铁,华润置地</t>
  </si>
  <si>
    <t xml:space="preserve"> 中央国有企业,中央国有企业</t>
  </si>
  <si>
    <t>大兴区瀛海镇区级统筹集建地YZ00-0803-2019、2057地块F81集体产业用地 3</t>
  </si>
  <si>
    <t>京规自集使挂(兴)[2023]005号</t>
  </si>
  <si>
    <t xml:space="preserve"> 大兴区瀛海镇域西侧,京台高速公路以西</t>
  </si>
  <si>
    <t xml:space="preserve"> F81集体产业用地(建设共有产权住房)</t>
  </si>
  <si>
    <t xml:space="preserve"> 京规自集使挂(兴)[2023]005号</t>
  </si>
  <si>
    <t xml:space="preserve"> 湖北文旅园区建设发展集团有限公司 、中建壹品投资发展有限公司  </t>
  </si>
  <si>
    <t xml:space="preserve"> 湖北文化旅游,中建三局</t>
  </si>
  <si>
    <t xml:space="preserve"> 70年</t>
  </si>
  <si>
    <t>大兴区瀛海镇区级统筹集建地YZ00-0803-2006、2029、2031地块F81集体产业用地 3</t>
  </si>
  <si>
    <t>京规自集使挂(兴)[2023]004号</t>
  </si>
  <si>
    <t xml:space="preserve"> 瀛海镇</t>
  </si>
  <si>
    <t xml:space="preserve"> 京规自集使挂(兴)[2023]004号</t>
  </si>
  <si>
    <t xml:space="preserve"> 北京大兴发展集地开发有限公司  </t>
  </si>
  <si>
    <t xml:space="preserve"> 北京万兴建筑集团有限公司,北京兴创投资</t>
  </si>
  <si>
    <t>大兴区魏善庄镇集体经营性建设用地入市试点(北部组团)项目DX07-0303-0012地块 2</t>
  </si>
  <si>
    <t>京规自集使挂(兴)[2023]001号</t>
  </si>
  <si>
    <t xml:space="preserve"> 魏善庄</t>
  </si>
  <si>
    <t xml:space="preserve"> 魏善庄镇</t>
  </si>
  <si>
    <t xml:space="preserve"> F81绿隔产业用地(建设共有产权住房)</t>
  </si>
  <si>
    <t xml:space="preserve"> 京规自集使挂(兴)[2023]001号</t>
  </si>
  <si>
    <t xml:space="preserve"> 流拍</t>
  </si>
  <si>
    <t>北京经济技术开发区亦庄新城0303街区F1C-1、F1S-1、F1R-1、F1A-1地块B4综合性商业金融服务业用地、S4社会停车场用地、R2二类居住用地、A334托幼用地 4</t>
  </si>
  <si>
    <t>京土储挂(开)[2022]078号</t>
  </si>
  <si>
    <t xml:space="preserve"> 亦庄新城0303街区F1C-1、F1S-1、F1R-1、F1A-1地块</t>
  </si>
  <si>
    <t xml:space="preserve"> f1c-1容积率3.5、f1r-1容积率2.5、f1a-1容积率0.8</t>
  </si>
  <si>
    <t xml:space="preserve"> B4综合性商业金融服务业用地、S4社会停车场用地、R2二类居住用地、A334托幼用地</t>
  </si>
  <si>
    <t xml:space="preserve">2022年第5批次 </t>
  </si>
  <si>
    <t xml:space="preserve"> F1C-1、F1R-1建筑密度≤40%、F1A-1建筑密度≤35%</t>
  </si>
  <si>
    <t xml:space="preserve"> F1C-1限高80米、F1R-1限高60米、F1A-1限高18米</t>
  </si>
  <si>
    <t xml:space="preserve"> 限地价,摇号/摇珠/抽签,90/70,限房价</t>
  </si>
  <si>
    <t xml:space="preserve"> 京土储挂(开)[2022]078号</t>
  </si>
  <si>
    <t xml:space="preserve"> 北京越新房地产开发有限公司  </t>
  </si>
  <si>
    <t xml:space="preserve"> 京东集团股份</t>
  </si>
  <si>
    <t xml:space="preserve"> 居住70年,教育50年,办公50年</t>
  </si>
  <si>
    <t>北京经济技术开发区亦庄新城0510街区YZ00-0510-0033地块R2二类居住用地 3</t>
  </si>
  <si>
    <t>京土储挂(开)[2022]059号</t>
  </si>
  <si>
    <t xml:space="preserve"> 亦庄新城0510街区YZ00-0510-0033地块</t>
  </si>
  <si>
    <t xml:space="preserve"> ≤2.0</t>
  </si>
  <si>
    <t xml:space="preserve">2022年第3批次 </t>
  </si>
  <si>
    <t xml:space="preserve"> 限地价,摇号/摇珠/抽签,90/70</t>
  </si>
  <si>
    <t xml:space="preserve"> 限地价,90/70</t>
  </si>
  <si>
    <t xml:space="preserve"> 京土储挂(开)[2022]059号</t>
  </si>
  <si>
    <t xml:space="preserve"> 北京亦庄博润置业有限公司 、北京亦庄久筑工程管理有限公司  </t>
  </si>
  <si>
    <t xml:space="preserve"> 亦庄投资</t>
  </si>
  <si>
    <t>2022-09-21 15:00</t>
  </si>
  <si>
    <t>北京市大兴区西红门镇DX04-0102-6013地块R2二类居住用地 4</t>
  </si>
  <si>
    <t>京土储挂(兴)[2022]052号</t>
  </si>
  <si>
    <t xml:space="preserve"> 大兴区西红门镇</t>
  </si>
  <si>
    <t xml:space="preserve"> R2二类居住用地,商业</t>
  </si>
  <si>
    <t xml:space="preserve"> 限地价,现房销售,摇号/摇珠/抽签</t>
  </si>
  <si>
    <t xml:space="preserve"> 京土储挂(兴)[2022]052号</t>
  </si>
  <si>
    <t xml:space="preserve"> 华润置地开发(北京)有限公司 、中铁置业集团北京有限公司 、北京兴创置地房地产开发有限公司  </t>
  </si>
  <si>
    <t xml:space="preserve"> 北京兴创投资,华润置地,中国中铁</t>
  </si>
  <si>
    <t xml:space="preserve"> 地方国有企业,中央国有企业,中央国有企业</t>
  </si>
  <si>
    <t xml:space="preserve"> 住宅70年,商业40年</t>
  </si>
  <si>
    <t>北京经济技术开发区亦庄新城0510街区YZ00-0510-0017地块R2二类居住用地 4</t>
  </si>
  <si>
    <t>京土储挂(开)[2022] 017 号</t>
  </si>
  <si>
    <t xml:space="preserve"> 亦庄新城0510街区YZ00-0510-0017地块</t>
  </si>
  <si>
    <t xml:space="preserve">2022年第1批次 </t>
  </si>
  <si>
    <t xml:space="preserve"> 限房价,限地价,90/70,摇号/摇珠/抽签</t>
  </si>
  <si>
    <t xml:space="preserve"> 限房价,限地价,90/70</t>
  </si>
  <si>
    <t xml:space="preserve"> 京土储挂(开)[2022] 017 号</t>
  </si>
  <si>
    <t xml:space="preserve"> 长春创诚房地产开发有限公司  </t>
  </si>
  <si>
    <t xml:space="preserve"> 绿城中国</t>
  </si>
  <si>
    <t xml:space="preserve"> 混合所有制</t>
  </si>
  <si>
    <t>2022-02-15 15:00</t>
  </si>
  <si>
    <t>北京市大兴区旧宫镇绿化隔离地区建设旧村二期1号地土地一级开发项目A2-2地块R2二类居住用地 3</t>
  </si>
  <si>
    <t>京土储挂(开)[2022]016号</t>
  </si>
  <si>
    <t xml:space="preserve"> 东南四至五环沿线</t>
  </si>
  <si>
    <t xml:space="preserve"> 大兴区旧宫镇</t>
  </si>
  <si>
    <t xml:space="preserve"> 限房价,限地价,报高标准商品住宅建设方案,摇号/摇珠/抽签</t>
  </si>
  <si>
    <t xml:space="preserve"> 限房价,限地价</t>
  </si>
  <si>
    <t xml:space="preserve"> 京土储挂(开)[2022] 016 号</t>
  </si>
  <si>
    <t xml:space="preserve"> 中海企业发展集团有限公司  </t>
  </si>
  <si>
    <t xml:space="preserve"> 中海地产</t>
  </si>
  <si>
    <t>北京市大兴区黄村镇DX00-0202-6007、6014、6011、6002地块R2二类居住用地、F3其他类多功能用地、A334托幼用地 4</t>
  </si>
  <si>
    <t>京土储挂(兴)[2022]008号</t>
  </si>
  <si>
    <t xml:space="preserve"> dx00-0202-6007地块容积率2.3,dx00-0202-6014地块和dx00-0202-6011地块容积率2.5,dx00-0202-6002地块容积率0.8</t>
  </si>
  <si>
    <t xml:space="preserve"> R2二类居住用地、F3其他类多功能用地、A334托幼用地</t>
  </si>
  <si>
    <t xml:space="preserve"> DX00-0202-6007地块、DX00-0202-6014地块和DX00-0202-6011地块建筑高度45米,DX00-0202-6002地块建筑高度16米</t>
  </si>
  <si>
    <t xml:space="preserve"> 限房价,限地价,报高标准商品住宅建设方案,摇号/摇珠/抽签,现房销售</t>
  </si>
  <si>
    <t xml:space="preserve"> 京土储挂(兴)[2022]008号</t>
  </si>
  <si>
    <t xml:space="preserve"> 北京兴创置地房地产开发有限公司  </t>
  </si>
  <si>
    <t xml:space="preserve"> 湖北联投集团,北京兴创投资</t>
  </si>
  <si>
    <t xml:space="preserve"> 地方国有企业,地方国有企业</t>
  </si>
  <si>
    <t xml:space="preserve"> 住宅70年、办公50年,教育50年</t>
  </si>
  <si>
    <t>北京市大兴区西红门镇B2-08、DX04-0101-6004、6006、6008地块R2二类居住用地、F3其他类多功能用地、U17邮政设施用地 3</t>
  </si>
  <si>
    <t>京土储挂(兴)[2022]009号</t>
  </si>
  <si>
    <t xml:space="preserve"> b2-08地块容积率2.1,dx04-0101-6004地块和dx04-0101-6006地块容积率2.0,,dx04-0101-6008地块容积率0.8</t>
  </si>
  <si>
    <t xml:space="preserve"> R2二类居住用地、F3其他类多功能用地、U17邮政设施用地</t>
  </si>
  <si>
    <t xml:space="preserve"> B2-08地块建筑密度30%,DX04-0101-6004地块和DX04-0101-6006地块建筑密度45%,DX04-0101-6008地块建筑密度35%。</t>
  </si>
  <si>
    <t xml:space="preserve"> B2-08地块建筑高度45米,DX04-0101-6004地块和DX04-0101-6006地块建筑高度30米,局部36米,DX04-0101-6008地块建筑高度18米</t>
  </si>
  <si>
    <t xml:space="preserve"> 京土储挂(兴)[2022]009号</t>
  </si>
  <si>
    <t xml:space="preserve"> 中建壹品投资发展有限公司 、北京兴创房地产开发有限公司  </t>
  </si>
  <si>
    <t xml:space="preserve"> 中建三局,北京兴创投资</t>
  </si>
  <si>
    <t xml:space="preserve"> 中央国有企业,地方国有企业</t>
  </si>
  <si>
    <t xml:space="preserve"> 居住70年,办公50年,服务设施50年</t>
  </si>
  <si>
    <t>北京市大兴区瀛海镇集体经营性建设用地入市试点(一期) YZ00-0803-0012 地块 3</t>
  </si>
  <si>
    <t>YZ00-0803-0012</t>
  </si>
  <si>
    <t xml:space="preserve"> 大兴区瀛海镇,东至瀛坤路,西至瀛达路,北至瀛元街,南至瀛成路</t>
  </si>
  <si>
    <t xml:space="preserve"> F81绿隔产业用地(建设人才公寓)</t>
  </si>
  <si>
    <t xml:space="preserve"> 京规自集使挂 (兴) [2021]002 号</t>
  </si>
  <si>
    <t xml:space="preserve"> 北京博大新元房地产开发有限公司  </t>
  </si>
  <si>
    <t xml:space="preserve"> 北京亦庄国际人才发展</t>
  </si>
  <si>
    <t>北京市大兴区黄村镇DX00-0102-0208-6026、6020地块R2二类居住用地、A334托幼用地 4</t>
  </si>
  <si>
    <t>京土整储挂(兴)[2021]060号</t>
  </si>
  <si>
    <t xml:space="preserve"> 观音寺街道</t>
  </si>
  <si>
    <t xml:space="preserve"> 6026&lt;2.5;6020&lt;0.9</t>
  </si>
  <si>
    <t xml:space="preserve"> 6026:R2二类居住用地;6020:A334托幼用地</t>
  </si>
  <si>
    <t xml:space="preserve">2021年第2批次 </t>
  </si>
  <si>
    <t xml:space="preserve"> &lt;30%</t>
  </si>
  <si>
    <t xml:space="preserve"> 6026&lt;60米;6020&lt;16米</t>
  </si>
  <si>
    <t xml:space="preserve"> 限房价,限地价,报高标准商品住宅建设方案,现房销售</t>
  </si>
  <si>
    <t xml:space="preserve"> 限房价,限地价,现房销售</t>
  </si>
  <si>
    <t xml:space="preserve"> 京土整储挂(兴)[2021]060号</t>
  </si>
  <si>
    <t xml:space="preserve"> 中铁置业集团北京有限公司 、北京兴创置地房地产开发有限公司  </t>
  </si>
  <si>
    <t xml:space="preserve"> 北京兴创投资,中国中铁</t>
  </si>
  <si>
    <t>2021-10-11 15:00</t>
  </si>
  <si>
    <t xml:space="preserve"> 居住70年,商业40年,办公50年</t>
  </si>
  <si>
    <t>北京市大兴区西红门镇DX04-0102-6011、6014地块R2二类居住用地(配建“保障性租赁住房”) 4</t>
  </si>
  <si>
    <t>京土整储挂(兴)[2021]061号</t>
  </si>
  <si>
    <t xml:space="preserve"> &lt;2.5</t>
  </si>
  <si>
    <t xml:space="preserve"> &lt;45米</t>
  </si>
  <si>
    <t xml:space="preserve"> 限房价,限地价,报高标准商品住宅建设方案</t>
  </si>
  <si>
    <t xml:space="preserve"> 配建保障房用地,配建租赁住房用地</t>
  </si>
  <si>
    <t xml:space="preserve"> 保障性租赁住房</t>
  </si>
  <si>
    <t xml:space="preserve"> 京土整储挂(兴)[2021]061号</t>
  </si>
  <si>
    <t xml:space="preserve"> 华润置地,中国中铁</t>
  </si>
  <si>
    <t xml:space="preserve"> 居住70年</t>
  </si>
  <si>
    <t>北京市大兴区旧宫镇DX05-0200-0013、0018、0019、0020地块F3其他类多功能用地、R2二类居住用地、A334托幼用地(配建“保障性租赁住房”) 国有建设用地使用权出让 4</t>
  </si>
  <si>
    <t>京土整储挂(开)[2021]073号</t>
  </si>
  <si>
    <t xml:space="preserve"> 0013≤3.0;0018,0019≤2.5;0020≤0.8</t>
  </si>
  <si>
    <t xml:space="preserve"> F3其他类多功能用地、R2二类居住用地、A334托幼用地</t>
  </si>
  <si>
    <t xml:space="preserve"> 0013≤40%;0018,0019,0020≤30%</t>
  </si>
  <si>
    <t xml:space="preserve"> 限房价,限地价,报高标准商品住宅建设方案,90/70</t>
  </si>
  <si>
    <t xml:space="preserve"> 配建租赁住房用地,配建保障房用地</t>
  </si>
  <si>
    <t xml:space="preserve"> 京土整储挂(开)[2021]073号</t>
  </si>
  <si>
    <t xml:space="preserve"> 中止交易</t>
  </si>
  <si>
    <t>北京市大兴区大兴新城核心区H组团DX00-0106-001a、001b地块R2二类居住用地、A334基础教育用地 4</t>
  </si>
  <si>
    <t>京土整储挂(兴)[2021]030号</t>
  </si>
  <si>
    <t xml:space="preserve"> 大兴新城核心区</t>
  </si>
  <si>
    <t xml:space="preserve"> R2二类居住用地、A334基础教育用地</t>
  </si>
  <si>
    <t xml:space="preserve">2021年第1批次 </t>
  </si>
  <si>
    <t xml:space="preserve"> 60米,12米</t>
  </si>
  <si>
    <t xml:space="preserve"> 限地价,竞配建,报高标准商品住宅建设方案</t>
  </si>
  <si>
    <t xml:space="preserve"> 限地价,竞配建</t>
  </si>
  <si>
    <t xml:space="preserve"> 配建保障房用地</t>
  </si>
  <si>
    <t xml:space="preserve"> 公共租赁房</t>
  </si>
  <si>
    <t xml:space="preserve"> 京土整储挂(兴)[2021]030号</t>
  </si>
  <si>
    <t xml:space="preserve"> 中冶置业集团有限公司 、宁波雨航企业管理合伙企业(有限合伙)  </t>
  </si>
  <si>
    <t xml:space="preserve"> 中冶置业</t>
  </si>
  <si>
    <t>2021-05-07 15:00</t>
  </si>
  <si>
    <t xml:space="preserve"> 已竣工</t>
  </si>
  <si>
    <t>北京市大兴区旧宫镇DX05-0102-6101、6102、YZ00-0801-0015、0016地块B4综合性商业金融服务业用地、U17邮政设施用地、R2二类居住用地(配建“公共租赁住房”)国有建设用地使用权出让 3</t>
  </si>
  <si>
    <t>京土整储挂(开)[2021]31号</t>
  </si>
  <si>
    <t xml:space="preserve"> 北京市大兴区旧宫镇DX05-0102-6101、6102、YZ00-0801-0015、0016地块</t>
  </si>
  <si>
    <t xml:space="preserve"> 6101≤1.5;6102≤1;0015;0016≤2.5</t>
  </si>
  <si>
    <t xml:space="preserve"> B4综合性商业金融服务业用地、U17邮政设施用地、R2二类居住用地</t>
  </si>
  <si>
    <t xml:space="preserve"> 6101≤45%;6102≤40%;0015;0016≤30%</t>
  </si>
  <si>
    <t xml:space="preserve"> 6101≤18米;6102≤13米;0015;0016≤45米</t>
  </si>
  <si>
    <t xml:space="preserve"> 限地价,竞配建,报高标准商品住宅建设方案,90/70</t>
  </si>
  <si>
    <t xml:space="preserve"> 限地价,竞配建,90/70</t>
  </si>
  <si>
    <t xml:space="preserve"> 京土整储挂(开)[2021]31号</t>
  </si>
  <si>
    <t xml:space="preserve"> 北京住总房地产开发有限责任公司 、北京首都开发股份有限公司  </t>
  </si>
  <si>
    <t xml:space="preserve"> 北京住总集团,首开股份</t>
  </si>
  <si>
    <t>北京市大兴区大兴新城核心区D、K组团土地一级开发DX00-0102-6006、6010、6018、6024、6026地块R2二类居住用地等 3</t>
  </si>
  <si>
    <t>京土整储挂(兴)[2021]017号</t>
  </si>
  <si>
    <t xml:space="preserve"> ≤2.42</t>
  </si>
  <si>
    <t xml:space="preserve"> R2二类居住用地、F3其他类多功能用地、B1商业设施用地、A334基础教育用地</t>
  </si>
  <si>
    <t xml:space="preserve"> 京土整储挂(兴)[2021]017号</t>
  </si>
  <si>
    <t xml:space="preserve"> 北京骏盛企业管理咨询有限公司 、北京骏磊企业管理咨询有限公司 、天津兴辉企业管理咨询有限公司  </t>
  </si>
  <si>
    <t xml:space="preserve"> 金辉控股,中骏集团控股</t>
  </si>
  <si>
    <t xml:space="preserve"> 民营企业,民营企业</t>
  </si>
  <si>
    <t>北京市大兴区榆垡镇中心区DX09-0102-0027、0044地块R2二类居住用地 2</t>
  </si>
  <si>
    <t>京土整储挂(兴)[2021]018号</t>
  </si>
  <si>
    <t xml:space="preserve"> 榆垡</t>
  </si>
  <si>
    <t xml:space="preserve"> 大兴区榆垡镇</t>
  </si>
  <si>
    <t xml:space="preserve"> 限地价,报高标准商品住宅建设方案</t>
  </si>
  <si>
    <t xml:space="preserve"> 京土整储挂(兴)[2021]018号</t>
  </si>
  <si>
    <t xml:space="preserve"> 保利(北京)房地产开发有限公司 、北京新航城建设实业发展有限公司 、北京首都开发股份有限公司  </t>
  </si>
  <si>
    <t xml:space="preserve"> 保利发展,亦庄投资,首开股份</t>
  </si>
  <si>
    <t xml:space="preserve"> 中央国有企业,地方国有企业,地方国有企业</t>
  </si>
  <si>
    <t>北京市大兴区旧宫镇南郊农场棚户区改造项目DX05-0200-0037、0038、6002等地块R2二类居住用地 4</t>
  </si>
  <si>
    <t>京土整储挂(开)【2020】056号</t>
  </si>
  <si>
    <t xml:space="preserve"> 旧宫</t>
  </si>
  <si>
    <t xml:space="preserve"> ≤2.3</t>
  </si>
  <si>
    <t xml:space="preserve"> 限地价,竞自持,报高标准商品住宅建设方案</t>
  </si>
  <si>
    <t xml:space="preserve"> 京土整储挂(开)【2020】056号</t>
  </si>
  <si>
    <t xml:space="preserve"> 北京盛宏辰悦房地产开发有限公司  </t>
  </si>
  <si>
    <t xml:space="preserve"> 合生创展</t>
  </si>
  <si>
    <t>2021-01-25 15:00</t>
  </si>
  <si>
    <t>北京市大兴区旧宫镇绿隔地区农村集体经营性建设用地试点项目用地 4</t>
  </si>
  <si>
    <t>京土集使挂(兴)[2020]002号</t>
  </si>
  <si>
    <t xml:space="preserve"> 新发地</t>
  </si>
  <si>
    <t xml:space="preserve"> 东至规划旧宫地区十五号路,西至庑殿路,南至现状小区,北至通久路</t>
  </si>
  <si>
    <t xml:space="preserve"> ≤2.5</t>
  </si>
  <si>
    <t xml:space="preserve"> F81绿隔产业用地</t>
  </si>
  <si>
    <t xml:space="preserve"> 京土集使挂(兴)[2020]002号</t>
  </si>
  <si>
    <t xml:space="preserve"> 50年</t>
  </si>
  <si>
    <t>北京市大兴区黄村镇狼垡地区集体产业用地2号地DX00-1002-L06地块 3</t>
  </si>
  <si>
    <t>京土集使挂(兴)[2020]001号</t>
  </si>
  <si>
    <t xml:space="preserve"> 东至区界,西至芦花路,南至横三路,北至横四路</t>
  </si>
  <si>
    <t xml:space="preserve"> 配建人才住房(可售)</t>
  </si>
  <si>
    <t xml:space="preserve"> 人才住房(可售)</t>
  </si>
  <si>
    <t xml:space="preserve"> 京土集使挂(兴)[2020]001号</t>
  </si>
  <si>
    <t xml:space="preserve"> 北京兴业恒盛置业有限公司  </t>
  </si>
  <si>
    <t xml:space="preserve"> 北京兴业利民置业</t>
  </si>
  <si>
    <t>2020-12-17 17:00</t>
  </si>
  <si>
    <t>北京经济技术开发区河西区X46R1、X46R2地块R2二类居住用地、A334托幼用地国有建设用地 3</t>
  </si>
  <si>
    <t>京土整储挂(开)[2020]028号</t>
  </si>
  <si>
    <t xml:space="preserve"> 北京经济技术开发区河西区X46R1、X46R2地块</t>
  </si>
  <si>
    <t xml:space="preserve"> r2≤2.5,a33≤0.8</t>
  </si>
  <si>
    <t xml:space="preserve"> R2≤80米,A33≤18米</t>
  </si>
  <si>
    <t xml:space="preserve"> 京土整储挂(开)[2020]028号</t>
  </si>
  <si>
    <t xml:space="preserve"> 北京中海地产有限公司  </t>
  </si>
  <si>
    <t>2020-07-31 15:00</t>
  </si>
  <si>
    <t>北京市大兴区采育镇01-0129地块R2二类居住用地、01-0115地块R53托幼用地 2</t>
  </si>
  <si>
    <t>京土整储挂(兴)[2020]017号</t>
  </si>
  <si>
    <t xml:space="preserve"> 采育</t>
  </si>
  <si>
    <t xml:space="preserve"> 大兴区采育镇</t>
  </si>
  <si>
    <t xml:space="preserve"> r2≤1.05,a53≤0.8</t>
  </si>
  <si>
    <t xml:space="preserve"> R2二类居住用地、R53托幼用地</t>
  </si>
  <si>
    <t xml:space="preserve"> R2≤30米,R53≤9米</t>
  </si>
  <si>
    <t xml:space="preserve"> 京土整储挂(兴)[2020]017号</t>
  </si>
  <si>
    <t xml:space="preserve"> 北京路劲隽御房地产开发有限公司 、北京首都开发股份有限公司联合体  </t>
  </si>
  <si>
    <t xml:space="preserve"> 路劲基建</t>
  </si>
  <si>
    <t>2020-05-14 15:00</t>
  </si>
  <si>
    <t>北京市大兴区西红门镇B1-05-(3)地块R2二类居住用地 3</t>
  </si>
  <si>
    <t>京土整储挂(兴)[2020]011号</t>
  </si>
  <si>
    <t xml:space="preserve"> ≤2.1</t>
  </si>
  <si>
    <t xml:space="preserve"> ≤30米</t>
  </si>
  <si>
    <t xml:space="preserve"> 限地价,限房价,竞自持,报高标准商品住宅建设方案,90/70</t>
  </si>
  <si>
    <t xml:space="preserve"> 限地价,限房价,90/70</t>
  </si>
  <si>
    <t xml:space="preserve"> 京土整储挂(兴)[2020]011号</t>
  </si>
  <si>
    <t xml:space="preserve"> 北京尚恒龙端商业运营管理有限公司 、北京首都开发股份有限公司联合体  </t>
  </si>
  <si>
    <t xml:space="preserve"> 龙湖集团,首开股份</t>
  </si>
  <si>
    <t xml:space="preserve"> 民营企业,地方国有企业</t>
  </si>
  <si>
    <t>2020-04-28 15:00</t>
  </si>
  <si>
    <t>北京市大兴区西红门镇B1-05-(2)地块R2二类居住用地、B2-02地块S4社会停车场用地 3</t>
  </si>
  <si>
    <t>京土整储挂(兴)[2020]010号</t>
  </si>
  <si>
    <t xml:space="preserve"> r2≤2.1</t>
  </si>
  <si>
    <t xml:space="preserve"> R2二类居住用地、S4社会停车场用地</t>
  </si>
  <si>
    <t xml:space="preserve"> 限房价,竞自持,限地价,报高标准商品住宅建设方案,90/70</t>
  </si>
  <si>
    <t xml:space="preserve"> 京土整储挂(兴)[2020]010号</t>
  </si>
  <si>
    <t xml:space="preserve"> 北京新城万隆房地产开发有限公司  </t>
  </si>
  <si>
    <t xml:space="preserve"> 新城控股</t>
  </si>
  <si>
    <t>北京市大兴区采育镇DX10-0001-6004地块R2二类居住用地 2</t>
  </si>
  <si>
    <t>京土整储挂(兴)[2019]054号</t>
  </si>
  <si>
    <t xml:space="preserve"> ≤60米</t>
  </si>
  <si>
    <t xml:space="preserve"> 京土整储挂(兴)[2019]054号</t>
  </si>
  <si>
    <t xml:space="preserve"> 北京住总房地产开发有限责任公司 、北京兴创置地房地产开发有限公司联合体  </t>
  </si>
  <si>
    <t xml:space="preserve"> 北京兴创投资,北京住总集团</t>
  </si>
  <si>
    <t>2020-02-17 15:00</t>
  </si>
  <si>
    <t>北京市大兴区旧宫镇YZ00-0801-0018、0019、0024、0025、0026地块二类居住用地、基础教育用地 4</t>
  </si>
  <si>
    <t>京土整储挂(兴)[2019]055号</t>
  </si>
  <si>
    <t xml:space="preserve"> 基础教育≤0.8,二类居住≤2.5</t>
  </si>
  <si>
    <t xml:space="preserve"> 二类居住用地、基础教育用地</t>
  </si>
  <si>
    <t xml:space="preserve"> 二类居住≤45米,基础教育≤12米</t>
  </si>
  <si>
    <t xml:space="preserve"> 京土整储挂(兴)[2019]055号</t>
  </si>
  <si>
    <t xml:space="preserve"> 北京昱意房地产开发有限公司  </t>
  </si>
  <si>
    <t xml:space="preserve"> 绿城中国,保利发展</t>
  </si>
  <si>
    <t xml:space="preserve"> 混合所有制,中央国有企业</t>
  </si>
  <si>
    <t>北京市大兴区采育镇01-0042地块R2二类居住用地 2</t>
  </si>
  <si>
    <t>京土整储挂(兴)[2019]052号</t>
  </si>
  <si>
    <t xml:space="preserve"> ≤1.05</t>
  </si>
  <si>
    <t xml:space="preserve"> 京土整储挂(兴)[2019]052号</t>
  </si>
  <si>
    <t xml:space="preserve"> 京能置业股份有限公司  </t>
  </si>
  <si>
    <t xml:space="preserve"> 京能置业</t>
  </si>
  <si>
    <t>2020-02-10 15:00</t>
  </si>
  <si>
    <t>北京经济技术开发区路东区E9R2、E9A2地块R2二类居住用地、A33基础教育用地 4</t>
  </si>
  <si>
    <t>京土整储挂(开)[2019]030号</t>
  </si>
  <si>
    <t xml:space="preserve"> 北京经济技术开发区路东区E9R2、E9A2地块</t>
  </si>
  <si>
    <t xml:space="preserve"> r2≤2.8,a33≤0.8</t>
  </si>
  <si>
    <t xml:space="preserve"> R2二类居住用地、A33基础教育用地</t>
  </si>
  <si>
    <t xml:space="preserve"> 京土整储挂(开)[2019]030号</t>
  </si>
  <si>
    <t xml:space="preserve"> 山西通建房地产开发有限公司  </t>
  </si>
  <si>
    <t xml:space="preserve"> 山西交通</t>
  </si>
  <si>
    <t>2019-11-12 15:00</t>
  </si>
  <si>
    <t>北京经济技术开发区路东区E9R3、E9R4地块R2二类居住用地 4</t>
  </si>
  <si>
    <t>京土整储挂(开)[2019]031号</t>
  </si>
  <si>
    <t xml:space="preserve"> 北京经济技术开发区路东区E9R3、E9R4地块</t>
  </si>
  <si>
    <t xml:space="preserve"> ≤2.8</t>
  </si>
  <si>
    <t xml:space="preserve"> ≤80米</t>
  </si>
  <si>
    <t xml:space="preserve"> 京土整储挂(开)[2019]031号</t>
  </si>
  <si>
    <t>北京市大兴区黄村镇孙村组团DX00-0009-6010地块R2二类居住用地、DX00-0009-6009地块A33基础教育用地 2</t>
  </si>
  <si>
    <t>京土整储挂(兴)[2019]025号</t>
  </si>
  <si>
    <t xml:space="preserve"> 黄村南</t>
  </si>
  <si>
    <t xml:space="preserve"> r2≤1.8,a33≤0.8</t>
  </si>
  <si>
    <t xml:space="preserve"> R2≤24米,A33≤18米</t>
  </si>
  <si>
    <t xml:space="preserve"> 京土整储挂(兴)[2019]025号</t>
  </si>
  <si>
    <t xml:space="preserve"> 北京融创恒基地产有限公司 、北京昌政大道实业有限公司联合体  </t>
  </si>
  <si>
    <t xml:space="preserve"> 融创中国</t>
  </si>
  <si>
    <t>2019-10-14 15:00</t>
  </si>
  <si>
    <t>北京市大兴区地铁亦庄线旧宫东站2号地项目DX05-0102-6003、6004、6005地块R2居住用地、A334基础教育用地及S1城市道路用地 4</t>
  </si>
  <si>
    <t>京土整储挂(兴)[2019]026号</t>
  </si>
  <si>
    <t xml:space="preserve"> r2≤2.5,幼儿园≤0.8,a33≤0.8</t>
  </si>
  <si>
    <t xml:space="preserve"> R2居住用地及A334基础教育用地及S1城市道路用地</t>
  </si>
  <si>
    <t xml:space="preserve"> R2≤60米,幼儿园≤12米,A33≤24米</t>
  </si>
  <si>
    <t xml:space="preserve"> 京土整储挂(兴)[2019]026号</t>
  </si>
  <si>
    <t xml:space="preserve"> 中国电建地产集团有限公司 、京能置业股份有限公司联合体  </t>
  </si>
  <si>
    <t xml:space="preserve"> 电建地产,京能置业</t>
  </si>
  <si>
    <t>北京市大兴区庞各庄镇DX06-0103-6001、6002、6003地块R2二类居住用地、A33基础教育用地 2</t>
  </si>
  <si>
    <t>京土整储挂(兴)[2019]023号</t>
  </si>
  <si>
    <t xml:space="preserve"> 庞各庄</t>
  </si>
  <si>
    <t xml:space="preserve"> 大兴区庞各庄镇</t>
  </si>
  <si>
    <t xml:space="preserve"> r2≤2,a33≤0.8</t>
  </si>
  <si>
    <t xml:space="preserve"> A33≤12米</t>
  </si>
  <si>
    <t xml:space="preserve"> 限地价,90/70,限房价</t>
  </si>
  <si>
    <t xml:space="preserve"> 京土整储挂(兴)[2019]023号</t>
  </si>
  <si>
    <t xml:space="preserve"> 保利(北京)房地产开发有限公司  </t>
  </si>
  <si>
    <t xml:space="preserve"> 保利发展</t>
  </si>
  <si>
    <t>2019-09-24 15:00</t>
  </si>
  <si>
    <t>北京市大兴区瀛海镇YZ00-0803-0802、6021地块R2二类居住用地 4</t>
  </si>
  <si>
    <t>京土整储挂(兴)[2019]022号</t>
  </si>
  <si>
    <t xml:space="preserve"> 大兴区瀛海镇</t>
  </si>
  <si>
    <t xml:space="preserve"> ≤2.2</t>
  </si>
  <si>
    <t xml:space="preserve"> ≤45米</t>
  </si>
  <si>
    <t xml:space="preserve"> 京土整储挂(兴)[2019]022号</t>
  </si>
  <si>
    <t>集体建设用地区级统筹大兴区瀛海镇YZ00-0803-2010、2013A、2013B、2014、2016地块 3</t>
  </si>
  <si>
    <t>京土集使挂(兴)[2019]002号</t>
  </si>
  <si>
    <t xml:space="preserve"> f81≤2.5</t>
  </si>
  <si>
    <t xml:space="preserve"> F81绿隔产业用地(建设共有产权房)</t>
  </si>
  <si>
    <t xml:space="preserve"> 限房价</t>
  </si>
  <si>
    <t xml:space="preserve"> 配建自住房/共有产权房用地,纯自住房/共有产权房用地</t>
  </si>
  <si>
    <t xml:space="preserve"> 京土集使挂(兴)[2019]002号</t>
  </si>
  <si>
    <t xml:space="preserve"> 北京上瑞置业有限公司  </t>
  </si>
  <si>
    <t xml:space="preserve"> 正商集团</t>
  </si>
  <si>
    <t>集体建设用地区级统筹大兴区瀛海镇YZ00-0803-2009、2012A、2012B、2015地块 3</t>
  </si>
  <si>
    <t>京土集使挂(兴)[2019]001号</t>
  </si>
  <si>
    <t xml:space="preserve"> 京土集使挂(兴)[2019]001号</t>
  </si>
  <si>
    <t xml:space="preserve"> 中建三局房地产开发有限公司 、湖北省鄂旅投置业集团有限公司  </t>
  </si>
  <si>
    <t xml:space="preserve"> 湖北文化旅游</t>
  </si>
  <si>
    <t>集体建设用地区级统筹大兴区瀛海镇YZ00-0803-2003、2004、2005A、2005B、2008地块 3</t>
  </si>
  <si>
    <t>京土集使挂(兴)[2019]003号</t>
  </si>
  <si>
    <t xml:space="preserve"> 配建自住房/共有产权房用地</t>
  </si>
  <si>
    <t xml:space="preserve"> 京土集使挂(兴)[2019]003号</t>
  </si>
  <si>
    <t xml:space="preserve"> 北京北投如郡房地产开发有限公司  </t>
  </si>
  <si>
    <t xml:space="preserve"> 北投集团</t>
  </si>
  <si>
    <t>2020-12-24 17:00</t>
  </si>
  <si>
    <t>北京经济技术开发区河西区X92R1地块R2二类居住用地 3</t>
  </si>
  <si>
    <t>京土整储挂(开)[2019]010号</t>
  </si>
  <si>
    <t xml:space="preserve"> 北京经济技术开发区河西区X92R1地块</t>
  </si>
  <si>
    <t xml:space="preserve"> 京土整储挂(开)[2019]010号</t>
  </si>
  <si>
    <t xml:space="preserve"> 北京雅信房地产开发有限公司  </t>
  </si>
  <si>
    <t xml:space="preserve"> 雅居乐集团</t>
  </si>
  <si>
    <t>北京经济技术开发区河西区X92R2地块R2二类居住用地 3</t>
  </si>
  <si>
    <t>京土整储挂(开)[2019]011号</t>
  </si>
  <si>
    <t xml:space="preserve"> 北京经济技术开发区河西区X92R2地块</t>
  </si>
  <si>
    <t xml:space="preserve"> 京土整储挂(开)[2019]011号</t>
  </si>
  <si>
    <t xml:space="preserve"> 港中旅房地产开发有限公司  </t>
  </si>
  <si>
    <t xml:space="preserve"> 港中旅</t>
  </si>
  <si>
    <t>北京市大兴区瀛海镇YZ00-0803-6024、6025、6032、6035、6038地块F1住宅混合公建用地、A33基础教育用地、S32公交场站设施用地 3</t>
  </si>
  <si>
    <t>京土整储挂(兴)[2019]001号</t>
  </si>
  <si>
    <t xml:space="preserve"> f1=2.5,a33=0.8</t>
  </si>
  <si>
    <t xml:space="preserve"> F1住宅混合公建用地、A33基础教育用地、S32公交场站设施用地</t>
  </si>
  <si>
    <t xml:space="preserve"> F1≤60米,A33≤12米</t>
  </si>
  <si>
    <t xml:space="preserve"> 京土整储挂(兴)[2019]001号</t>
  </si>
  <si>
    <t>北京市大兴区黄村镇三合庄村DX00-0202-6009地块F1住宅混合公建用地 4</t>
  </si>
  <si>
    <t>京土整储挂(兴)[2019]002号</t>
  </si>
  <si>
    <t xml:space="preserve"> 大兴区黄村镇三合庄村</t>
  </si>
  <si>
    <t xml:space="preserve"> F1住宅混合公建用地</t>
  </si>
  <si>
    <t xml:space="preserve"> ≤50米</t>
  </si>
  <si>
    <t xml:space="preserve"> 京土整储挂(兴)[2019]002号</t>
  </si>
  <si>
    <t xml:space="preserve"> 北京金地达远企业管理咨询有限公司  </t>
  </si>
  <si>
    <t xml:space="preserve"> 金地集团</t>
  </si>
  <si>
    <t>京土整储挂(兴)[2018]063号</t>
  </si>
  <si>
    <t xml:space="preserve"> r2=2,a33=0.8</t>
  </si>
  <si>
    <t xml:space="preserve"> 京土整储挂(兴)[2018]063号</t>
  </si>
  <si>
    <t>京土集使挂(兴)[2018]003号</t>
  </si>
  <si>
    <t xml:space="preserve"> 京土集使挂(兴)[2018]003号</t>
  </si>
  <si>
    <t>不动产权证书编号</t>
  </si>
  <si>
    <t>项目类型</t>
  </si>
  <si>
    <t>土地面积</t>
  </si>
  <si>
    <t>合计</t>
  </si>
  <si>
    <t>DX00-0202-6018</t>
  </si>
  <si>
    <t>京（2023）大不动产权第0031048号</t>
  </si>
  <si>
    <t>公共配套及物业（住宅）</t>
  </si>
  <si>
    <t>小计</t>
    <phoneticPr fontId="224" type="noConversion"/>
  </si>
  <si>
    <t>合计</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</si>
</sst>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0_ ;[Red]\-0\ "/>
    <numFmt numFmtId="192" formatCode="yyyy/m/d;@"/>
    <numFmt numFmtId="193" formatCode="0.0000_);[Red]\(0.0000\)"/>
    <numFmt numFmtId="194" formatCode="[DBNum1][$-804]yyyy&quot;年&quot;m&quot;月&quot;d&quot;日&quot;;@"/>
  </numFmts>
  <fonts count="30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rgb="FF000000"/>
      <name val="仿宋_GB2312"/>
      <family val="3"/>
      <charset val="134"/>
    </font>
    <font>
      <b/>
      <sz val="11"/>
      <color rgb="FF000000"/>
      <name val="仿宋_GB2312"/>
      <family val="3"/>
      <charset val="134"/>
    </font>
    <font>
      <b/>
      <sz val="11"/>
      <color rgb="FF000000"/>
      <name val="Arial"/>
      <family val="2"/>
    </font>
    <font>
      <sz val="11"/>
      <color rgb="FF000000"/>
      <name val="宋体"/>
      <family val="3"/>
      <charset val="134"/>
    </font>
    <font>
      <sz val="11"/>
      <color rgb="FF000000"/>
      <name val="Arial"/>
      <family val="2"/>
    </font>
    <font>
      <b/>
      <sz val="11"/>
      <color rgb="FF000000"/>
      <name val="宋体"/>
      <family val="3"/>
      <charset val="134"/>
    </font>
    <font>
      <sz val="10"/>
      <color rgb="FF000000"/>
      <name val="楷体_GB2312"/>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BFBFBF"/>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4" fontId="141" fillId="0" borderId="0">
      <alignment vertical="center"/>
    </xf>
  </cellStyleXfs>
  <cellXfs count="40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79" fontId="72" fillId="0" borderId="2" xfId="0" applyNumberFormat="1" applyFont="1" applyBorder="1" applyAlignment="1" applyProtection="1">
      <alignment horizontal="center" vertical="center" wrapText="1"/>
      <protection locked="0"/>
    </xf>
    <xf numFmtId="179"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6"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6" fontId="72" fillId="5" borderId="6" xfId="0" applyNumberFormat="1" applyFont="1" applyFill="1" applyBorder="1" applyAlignment="1" applyProtection="1">
      <alignment horizontal="center" vertical="center" wrapText="1"/>
    </xf>
    <xf numFmtId="176" fontId="72" fillId="5" borderId="7" xfId="0" applyNumberFormat="1" applyFont="1" applyFill="1" applyBorder="1" applyAlignment="1" applyProtection="1">
      <alignment horizontal="center" vertical="center" wrapText="1"/>
    </xf>
    <xf numFmtId="176" fontId="72" fillId="5" borderId="8" xfId="0" applyNumberFormat="1" applyFont="1" applyFill="1" applyBorder="1" applyAlignment="1" applyProtection="1">
      <alignment horizontal="center" vertical="center" wrapText="1"/>
    </xf>
    <xf numFmtId="176" fontId="72" fillId="5" borderId="9"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5" borderId="5" xfId="0" applyNumberFormat="1" applyFont="1" applyFill="1" applyBorder="1" applyAlignment="1" applyProtection="1">
      <alignment horizontal="center" vertical="center" wrapText="1"/>
    </xf>
    <xf numFmtId="176" fontId="72" fillId="5" borderId="11" xfId="0" applyNumberFormat="1"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79"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79" fontId="72" fillId="5" borderId="8" xfId="0" applyNumberFormat="1" applyFont="1" applyFill="1" applyBorder="1" applyAlignment="1" applyProtection="1">
      <alignment horizontal="center" vertical="center"/>
    </xf>
    <xf numFmtId="179"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79"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79"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79"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79"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79" fontId="72" fillId="5" borderId="20" xfId="0" applyNumberFormat="1" applyFont="1" applyFill="1" applyBorder="1" applyAlignment="1" applyProtection="1">
      <alignment horizontal="center" vertical="center" wrapText="1"/>
    </xf>
    <xf numFmtId="179" fontId="72" fillId="5" borderId="21" xfId="0" applyNumberFormat="1" applyFont="1" applyFill="1" applyBorder="1" applyAlignment="1" applyProtection="1">
      <alignment horizontal="center" vertical="center" wrapText="1"/>
    </xf>
    <xf numFmtId="179"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79" fontId="72" fillId="5" borderId="2" xfId="0" applyNumberFormat="1" applyFont="1" applyFill="1" applyBorder="1" applyAlignment="1" applyProtection="1">
      <alignment horizontal="center" vertical="center"/>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6" fontId="67" fillId="5" borderId="2" xfId="0" applyNumberFormat="1" applyFont="1" applyFill="1" applyBorder="1" applyAlignment="1" applyProtection="1">
      <alignment horizontal="center" vertical="center" wrapText="1"/>
    </xf>
    <xf numFmtId="176" fontId="67" fillId="0" borderId="21" xfId="0" applyNumberFormat="1" applyFont="1" applyFill="1" applyBorder="1" applyAlignment="1" applyProtection="1">
      <alignment horizontal="center" vertical="center" wrapText="1"/>
      <protection locked="0"/>
    </xf>
    <xf numFmtId="176" fontId="67" fillId="5" borderId="21" xfId="0" applyNumberFormat="1" applyFont="1" applyFill="1" applyBorder="1" applyAlignment="1" applyProtection="1">
      <alignment horizontal="center" vertical="center" wrapText="1"/>
    </xf>
    <xf numFmtId="176" fontId="67" fillId="5" borderId="10" xfId="0" applyNumberFormat="1" applyFont="1" applyFill="1" applyBorder="1" applyAlignment="1" applyProtection="1">
      <alignment horizontal="center" vertical="center" wrapText="1"/>
    </xf>
    <xf numFmtId="176" fontId="67" fillId="0" borderId="2" xfId="0" applyNumberFormat="1" applyFont="1" applyBorder="1" applyAlignment="1" applyProtection="1">
      <alignment vertical="center" wrapText="1"/>
      <protection locked="0"/>
    </xf>
    <xf numFmtId="176" fontId="67" fillId="0" borderId="2" xfId="0" applyNumberFormat="1" applyFont="1" applyBorder="1" applyAlignment="1" applyProtection="1">
      <alignment horizontal="center" vertical="center" wrapText="1"/>
      <protection locked="0"/>
    </xf>
    <xf numFmtId="176"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6" fontId="67" fillId="5" borderId="12" xfId="0" applyNumberFormat="1" applyFont="1" applyFill="1" applyBorder="1" applyAlignment="1" applyProtection="1">
      <alignment horizontal="center" vertical="center" wrapText="1"/>
    </xf>
    <xf numFmtId="176"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6"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6"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6"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6"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6"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6" fontId="79" fillId="5" borderId="29" xfId="2" applyNumberFormat="1" applyFont="1" applyFill="1" applyBorder="1" applyAlignment="1" applyProtection="1">
      <alignment horizontal="center" vertical="center"/>
    </xf>
    <xf numFmtId="176"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6"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79"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6"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7" fontId="67" fillId="0" borderId="9" xfId="2" applyNumberFormat="1" applyFont="1" applyFill="1" applyBorder="1" applyAlignment="1" applyProtection="1">
      <alignment vertical="center"/>
      <protection locked="0"/>
    </xf>
    <xf numFmtId="176"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0"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79"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7"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79"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7" fontId="67" fillId="2" borderId="5" xfId="2" applyNumberFormat="1" applyFont="1" applyFill="1" applyBorder="1" applyAlignment="1" applyProtection="1">
      <alignment vertical="center"/>
      <protection locked="0"/>
    </xf>
    <xf numFmtId="179" fontId="80" fillId="5" borderId="2" xfId="2" applyNumberFormat="1" applyFont="1" applyFill="1" applyBorder="1" applyAlignment="1" applyProtection="1">
      <alignment horizontal="center" vertical="center"/>
    </xf>
    <xf numFmtId="180" fontId="80" fillId="5" borderId="2" xfId="2" applyNumberFormat="1" applyFont="1" applyFill="1" applyBorder="1" applyAlignment="1" applyProtection="1">
      <alignment horizontal="center" vertical="center"/>
    </xf>
    <xf numFmtId="181"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79"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1" fontId="67" fillId="0" borderId="2" xfId="0" applyNumberFormat="1" applyFont="1" applyBorder="1" applyAlignment="1" applyProtection="1">
      <alignment vertical="center"/>
      <protection locked="0"/>
    </xf>
    <xf numFmtId="181"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1"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2"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7"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1"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6"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79"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6" fontId="80" fillId="5" borderId="1" xfId="2" applyNumberFormat="1" applyFont="1" applyFill="1" applyBorder="1" applyAlignment="1" applyProtection="1">
      <alignment vertical="center" wrapText="1"/>
    </xf>
    <xf numFmtId="176" fontId="80" fillId="0" borderId="7" xfId="2" applyNumberFormat="1" applyFont="1" applyFill="1" applyBorder="1" applyAlignment="1" applyProtection="1">
      <alignment horizontal="center" vertical="center"/>
      <protection locked="0"/>
    </xf>
    <xf numFmtId="176" fontId="80" fillId="5" borderId="11" xfId="2" applyNumberFormat="1" applyFont="1" applyFill="1" applyBorder="1" applyAlignment="1" applyProtection="1">
      <alignment vertical="center" wrapText="1"/>
    </xf>
    <xf numFmtId="176" fontId="67" fillId="0" borderId="12" xfId="2" applyNumberFormat="1" applyFont="1" applyFill="1" applyBorder="1" applyAlignment="1" applyProtection="1">
      <alignment horizontal="center" vertical="center"/>
      <protection locked="0"/>
    </xf>
    <xf numFmtId="176" fontId="67" fillId="5" borderId="11" xfId="2" applyNumberFormat="1" applyFont="1" applyFill="1" applyBorder="1" applyAlignment="1" applyProtection="1">
      <alignment vertical="center" wrapText="1"/>
    </xf>
    <xf numFmtId="176" fontId="80" fillId="5" borderId="12" xfId="2" applyNumberFormat="1" applyFont="1" applyFill="1" applyBorder="1" applyAlignment="1" applyProtection="1">
      <alignment horizontal="center" vertical="center"/>
    </xf>
    <xf numFmtId="176" fontId="80" fillId="5" borderId="43" xfId="2" applyNumberFormat="1" applyFont="1" applyFill="1" applyBorder="1" applyAlignment="1" applyProtection="1">
      <alignment vertical="center" wrapText="1"/>
    </xf>
    <xf numFmtId="176"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1" fontId="72" fillId="0" borderId="12" xfId="0" applyNumberFormat="1" applyFont="1" applyFill="1" applyBorder="1" applyAlignment="1" applyProtection="1">
      <alignment horizontal="center" vertical="center"/>
      <protection locked="0"/>
    </xf>
    <xf numFmtId="181"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1"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2"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8"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79"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1"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7"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7"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7"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7"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7"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7"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89"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1"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89"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7"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4" fontId="72" fillId="6" borderId="2" xfId="0" applyNumberFormat="1" applyFont="1" applyFill="1" applyBorder="1" applyAlignment="1" applyProtection="1">
      <alignment horizontal="center" vertical="center" wrapText="1"/>
      <protection locked="0"/>
    </xf>
    <xf numFmtId="184"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4" fontId="72" fillId="0" borderId="2" xfId="0" applyNumberFormat="1" applyFont="1" applyFill="1" applyBorder="1" applyAlignment="1" applyProtection="1">
      <alignment horizontal="center"/>
      <protection locked="0"/>
    </xf>
    <xf numFmtId="184" fontId="72" fillId="0" borderId="12" xfId="0" applyNumberFormat="1" applyFont="1" applyFill="1" applyBorder="1" applyAlignment="1" applyProtection="1">
      <alignment horizontal="center"/>
      <protection locked="0"/>
    </xf>
    <xf numFmtId="176" fontId="148" fillId="5" borderId="2" xfId="0" applyNumberFormat="1" applyFont="1" applyFill="1" applyBorder="1" applyAlignment="1" applyProtection="1">
      <alignment horizontal="center" vertical="center"/>
    </xf>
    <xf numFmtId="176"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4"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7" fontId="72" fillId="5" borderId="2" xfId="0" applyNumberFormat="1" applyFont="1" applyFill="1" applyBorder="1" applyAlignment="1" applyProtection="1">
      <alignment horizontal="center" vertical="center"/>
    </xf>
    <xf numFmtId="179" fontId="72" fillId="5" borderId="2" xfId="2" applyNumberFormat="1" applyFont="1" applyFill="1" applyBorder="1" applyAlignment="1" applyProtection="1">
      <alignment horizontal="center"/>
    </xf>
    <xf numFmtId="181"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7" fontId="72" fillId="5" borderId="2" xfId="2" applyNumberFormat="1" applyFont="1" applyFill="1" applyBorder="1" applyAlignment="1" applyProtection="1">
      <alignment horizontal="center"/>
    </xf>
    <xf numFmtId="177"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7" fontId="71" fillId="5" borderId="2" xfId="2" applyNumberFormat="1" applyFont="1" applyFill="1" applyBorder="1" applyAlignment="1" applyProtection="1">
      <alignment horizontal="center"/>
    </xf>
    <xf numFmtId="0" fontId="71" fillId="5" borderId="2" xfId="2" applyFont="1" applyFill="1" applyBorder="1" applyAlignment="1" applyProtection="1"/>
    <xf numFmtId="177"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7" fontId="71" fillId="5" borderId="2" xfId="2" applyNumberFormat="1" applyFont="1" applyFill="1" applyBorder="1" applyAlignment="1" applyProtection="1">
      <alignment vertical="center"/>
    </xf>
    <xf numFmtId="177" fontId="71" fillId="5" borderId="8" xfId="2" applyNumberFormat="1" applyFont="1" applyFill="1" applyBorder="1" applyAlignment="1" applyProtection="1">
      <alignment vertical="center"/>
    </xf>
    <xf numFmtId="177"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177"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7"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5" fontId="71" fillId="5" borderId="2" xfId="0" applyNumberFormat="1" applyFont="1" applyFill="1" applyBorder="1" applyAlignment="1" applyProtection="1">
      <alignment horizontal="right" vertical="center"/>
    </xf>
    <xf numFmtId="177"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5" fontId="152" fillId="5" borderId="2" xfId="0" applyNumberFormat="1" applyFont="1" applyFill="1" applyBorder="1" applyAlignment="1" applyProtection="1">
      <alignment horizontal="center" vertical="center"/>
    </xf>
    <xf numFmtId="177"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7" fontId="97" fillId="5" borderId="14" xfId="0" applyNumberFormat="1" applyFont="1" applyFill="1" applyBorder="1" applyAlignment="1" applyProtection="1">
      <alignment horizontal="center" vertical="center"/>
    </xf>
    <xf numFmtId="177"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4"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7"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3"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3"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3"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4" fontId="79" fillId="5" borderId="56" xfId="0" applyNumberFormat="1" applyFont="1" applyFill="1" applyBorder="1" applyAlignment="1" applyProtection="1">
      <alignment vertical="center" wrapText="1"/>
    </xf>
    <xf numFmtId="184"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4"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1" fontId="80" fillId="5" borderId="5" xfId="0" applyNumberFormat="1" applyFont="1" applyFill="1" applyBorder="1" applyAlignment="1" applyProtection="1">
      <alignment horizontal="center" vertical="center"/>
    </xf>
    <xf numFmtId="181"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6"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4"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7"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79"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79"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7"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7"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7"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7"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7" fontId="82" fillId="5" borderId="2" xfId="2" applyNumberFormat="1" applyFont="1" applyFill="1" applyBorder="1" applyAlignment="1" applyProtection="1">
      <alignment horizontal="center" vertical="center"/>
    </xf>
    <xf numFmtId="177"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7"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79"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7" fontId="91" fillId="5" borderId="44" xfId="2" applyNumberFormat="1" applyFont="1" applyFill="1" applyBorder="1" applyAlignment="1" applyProtection="1">
      <alignment horizontal="center" vertical="center"/>
    </xf>
    <xf numFmtId="179"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7"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1"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1"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1"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79"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1" fontId="72" fillId="5" borderId="51" xfId="0" applyNumberFormat="1" applyFont="1" applyFill="1" applyBorder="1" applyAlignment="1" applyProtection="1">
      <alignment horizontal="center" vertical="center"/>
    </xf>
    <xf numFmtId="181" fontId="81" fillId="5" borderId="10"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2"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79"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79"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1"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4"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1"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1"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1"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7" fontId="67" fillId="5" borderId="57" xfId="0" applyNumberFormat="1" applyFont="1" applyFill="1" applyBorder="1" applyAlignment="1" applyProtection="1">
      <alignment horizontal="center" vertical="center" wrapText="1"/>
    </xf>
    <xf numFmtId="187"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79"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79"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6" fontId="67" fillId="5" borderId="43" xfId="0" applyNumberFormat="1" applyFont="1" applyFill="1" applyBorder="1" applyAlignment="1" applyProtection="1">
      <alignment vertical="center"/>
    </xf>
    <xf numFmtId="176"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79" fontId="39" fillId="5" borderId="2" xfId="5" applyNumberFormat="1" applyFont="1" applyFill="1" applyBorder="1" applyAlignment="1" applyProtection="1">
      <alignment horizontal="center" vertical="center" wrapText="1"/>
    </xf>
    <xf numFmtId="179" fontId="141" fillId="0" borderId="0" xfId="5" applyNumberFormat="1" applyProtection="1">
      <alignment vertical="center"/>
    </xf>
    <xf numFmtId="0" fontId="93" fillId="5" borderId="10" xfId="3" applyFont="1" applyFill="1" applyBorder="1" applyAlignment="1" applyProtection="1">
      <alignment horizontal="right" vertical="center"/>
    </xf>
    <xf numFmtId="179" fontId="80" fillId="5" borderId="2" xfId="3" applyNumberFormat="1" applyFont="1" applyFill="1" applyBorder="1" applyAlignment="1" applyProtection="1">
      <alignment horizontal="center" vertical="center" wrapText="1"/>
    </xf>
    <xf numFmtId="177"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5"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5"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4" fontId="160" fillId="5" borderId="2" xfId="3" applyNumberFormat="1" applyFont="1" applyFill="1" applyBorder="1" applyAlignment="1" applyProtection="1">
      <alignment horizontal="center" vertical="center"/>
    </xf>
    <xf numFmtId="185" fontId="160" fillId="5" borderId="2" xfId="3" applyNumberFormat="1" applyFont="1" applyFill="1" applyBorder="1" applyAlignment="1" applyProtection="1">
      <alignment horizontal="center" vertical="center"/>
    </xf>
    <xf numFmtId="177" fontId="166" fillId="5" borderId="2" xfId="3" applyNumberFormat="1" applyFont="1" applyFill="1" applyBorder="1" applyAlignment="1" applyProtection="1">
      <alignment horizontal="center" vertical="center"/>
    </xf>
    <xf numFmtId="185"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6"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79" fontId="72" fillId="5" borderId="0" xfId="0" applyNumberFormat="1" applyFont="1" applyFill="1" applyBorder="1" applyAlignment="1" applyProtection="1">
      <alignment horizontal="center" vertical="center" wrapText="1"/>
    </xf>
    <xf numFmtId="179" fontId="75" fillId="5" borderId="0" xfId="0" applyNumberFormat="1" applyFont="1" applyFill="1" applyBorder="1" applyAlignment="1" applyProtection="1">
      <alignment horizontal="center" vertical="center" wrapText="1"/>
    </xf>
    <xf numFmtId="176"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79"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79"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79"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79"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7"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0"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7" fontId="80" fillId="3" borderId="9" xfId="0" applyNumberFormat="1" applyFont="1" applyFill="1" applyBorder="1" applyAlignment="1" applyProtection="1">
      <alignment horizontal="center" vertical="center"/>
    </xf>
    <xf numFmtId="187" fontId="80" fillId="3" borderId="2" xfId="0" applyNumberFormat="1" applyFont="1" applyFill="1" applyBorder="1" applyAlignment="1" applyProtection="1">
      <alignment horizontal="center" vertical="center" wrapText="1"/>
    </xf>
    <xf numFmtId="187" fontId="80" fillId="0" borderId="0" xfId="0" applyNumberFormat="1" applyFont="1" applyFill="1" applyAlignment="1" applyProtection="1">
      <alignment horizontal="center" vertical="center"/>
    </xf>
    <xf numFmtId="181"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6"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79" fontId="71" fillId="5" borderId="47" xfId="0" applyNumberFormat="1" applyFont="1" applyFill="1" applyBorder="1" applyAlignment="1" applyProtection="1">
      <alignment vertical="center"/>
    </xf>
    <xf numFmtId="179" fontId="71" fillId="5" borderId="44" xfId="0" applyNumberFormat="1" applyFont="1" applyFill="1" applyBorder="1" applyAlignment="1" applyProtection="1">
      <alignment vertical="center"/>
    </xf>
    <xf numFmtId="179"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5" fontId="82" fillId="5" borderId="3" xfId="3" applyNumberFormat="1" applyFont="1" applyFill="1" applyBorder="1" applyAlignment="1" applyProtection="1">
      <alignment horizontal="center" vertical="center" wrapText="1"/>
    </xf>
    <xf numFmtId="185"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6"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6"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1"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7"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7" fontId="80" fillId="8" borderId="0" xfId="0" applyNumberFormat="1" applyFont="1" applyFill="1" applyAlignment="1" applyProtection="1">
      <alignment horizontal="center" vertical="center"/>
    </xf>
    <xf numFmtId="181" fontId="80" fillId="8" borderId="0" xfId="0" applyNumberFormat="1" applyFont="1" applyFill="1" applyAlignment="1" applyProtection="1">
      <alignment horizontal="center" vertical="center"/>
    </xf>
    <xf numFmtId="177"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7" fontId="80" fillId="5" borderId="16" xfId="0" applyNumberFormat="1" applyFont="1" applyFill="1" applyBorder="1" applyAlignment="1" applyProtection="1">
      <alignment horizontal="center" vertical="center"/>
    </xf>
    <xf numFmtId="187"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7" fontId="80" fillId="5" borderId="9" xfId="0" applyNumberFormat="1" applyFont="1" applyFill="1" applyBorder="1" applyAlignment="1" applyProtection="1">
      <alignment horizontal="center" vertical="center"/>
    </xf>
    <xf numFmtId="187"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4"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4" fontId="148" fillId="0" borderId="44" xfId="0" applyNumberFormat="1" applyFont="1" applyFill="1" applyBorder="1" applyAlignment="1" applyProtection="1">
      <alignment horizontal="center"/>
      <protection locked="0"/>
    </xf>
    <xf numFmtId="184" fontId="72" fillId="0" borderId="44" xfId="0" applyNumberFormat="1" applyFont="1" applyFill="1" applyBorder="1" applyAlignment="1" applyProtection="1">
      <alignment horizontal="center"/>
      <protection locked="0"/>
    </xf>
    <xf numFmtId="184" fontId="72" fillId="0" borderId="46" xfId="0" applyNumberFormat="1" applyFont="1" applyFill="1" applyBorder="1" applyAlignment="1" applyProtection="1">
      <alignment horizontal="center"/>
      <protection locked="0"/>
    </xf>
    <xf numFmtId="177" fontId="72" fillId="5" borderId="44" xfId="0" applyNumberFormat="1" applyFont="1" applyFill="1" applyBorder="1" applyAlignment="1" applyProtection="1">
      <alignment horizontal="center" vertical="center" wrapText="1"/>
    </xf>
    <xf numFmtId="185"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7" fontId="74" fillId="6" borderId="2" xfId="2" applyNumberFormat="1" applyFont="1" applyFill="1" applyBorder="1" applyAlignment="1" applyProtection="1">
      <alignment horizontal="center" vertical="center"/>
      <protection locked="0"/>
    </xf>
    <xf numFmtId="179"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3" fontId="182" fillId="0" borderId="12" xfId="0" applyNumberFormat="1" applyFont="1" applyFill="1" applyBorder="1" applyAlignment="1" applyProtection="1">
      <alignment horizontal="left" vertical="center" shrinkToFit="1"/>
      <protection locked="0"/>
    </xf>
    <xf numFmtId="183"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79"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3"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8"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5"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8" fontId="102" fillId="5" borderId="12" xfId="0" applyNumberFormat="1" applyFont="1" applyFill="1" applyBorder="1" applyAlignment="1" applyProtection="1">
      <alignment horizontal="center" vertical="center"/>
    </xf>
    <xf numFmtId="178"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8"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7"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7"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6"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79"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79"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79"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79"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8"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79"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7"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4"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1"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1"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7" fontId="80" fillId="5" borderId="0" xfId="0" applyNumberFormat="1" applyFont="1" applyFill="1" applyAlignment="1" applyProtection="1">
      <alignment horizontal="center" vertical="center"/>
      <protection locked="0"/>
    </xf>
    <xf numFmtId="181" fontId="80" fillId="5" borderId="0" xfId="0" applyNumberFormat="1" applyFont="1" applyFill="1" applyAlignment="1" applyProtection="1">
      <alignment horizontal="center" vertical="center"/>
      <protection locked="0"/>
    </xf>
    <xf numFmtId="176" fontId="80" fillId="5" borderId="0" xfId="0" applyNumberFormat="1" applyFont="1" applyFill="1" applyAlignment="1" applyProtection="1">
      <alignment horizontal="center" vertical="center"/>
      <protection locked="0"/>
    </xf>
    <xf numFmtId="187" fontId="101" fillId="5" borderId="0" xfId="0" applyNumberFormat="1" applyFont="1" applyFill="1" applyAlignment="1" applyProtection="1">
      <alignment horizontal="center" vertical="center"/>
      <protection locked="0"/>
    </xf>
    <xf numFmtId="181"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7" fontId="80" fillId="8" borderId="0" xfId="0" applyNumberFormat="1" applyFont="1" applyFill="1" applyAlignment="1" applyProtection="1">
      <alignment horizontal="center" vertical="center"/>
      <protection locked="0"/>
    </xf>
    <xf numFmtId="181"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7" fontId="80" fillId="0" borderId="0" xfId="0" applyNumberFormat="1" applyFont="1" applyFill="1" applyAlignment="1" applyProtection="1">
      <alignment horizontal="center" vertical="center"/>
      <protection locked="0"/>
    </xf>
    <xf numFmtId="181"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7" fontId="93" fillId="5" borderId="0" xfId="0" applyNumberFormat="1" applyFont="1" applyFill="1" applyBorder="1" applyAlignment="1" applyProtection="1">
      <alignment horizontal="center" vertical="center"/>
      <protection locked="0"/>
    </xf>
    <xf numFmtId="181"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7" fontId="80" fillId="5" borderId="0" xfId="0" applyNumberFormat="1" applyFont="1" applyFill="1" applyBorder="1" applyAlignment="1" applyProtection="1">
      <alignment horizontal="center"/>
      <protection locked="0"/>
    </xf>
    <xf numFmtId="181"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6" fontId="67" fillId="5" borderId="2" xfId="0" applyNumberFormat="1" applyFont="1" applyFill="1" applyBorder="1" applyProtection="1">
      <alignment vertical="center"/>
    </xf>
    <xf numFmtId="177" fontId="126" fillId="5" borderId="11" xfId="2" applyNumberFormat="1" applyFont="1" applyFill="1" applyBorder="1" applyAlignment="1" applyProtection="1">
      <alignment horizontal="left" vertical="center"/>
    </xf>
    <xf numFmtId="177"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7" fontId="67" fillId="5" borderId="2" xfId="2" applyNumberFormat="1" applyFont="1" applyFill="1" applyBorder="1" applyAlignment="1" applyProtection="1">
      <alignment vertical="center"/>
    </xf>
    <xf numFmtId="177" fontId="67" fillId="5" borderId="5" xfId="2" applyNumberFormat="1" applyFont="1" applyFill="1" applyBorder="1" applyAlignment="1" applyProtection="1">
      <alignment vertical="center"/>
    </xf>
    <xf numFmtId="177" fontId="67" fillId="5" borderId="11" xfId="2"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1" fontId="76" fillId="5" borderId="2" xfId="0" applyNumberFormat="1" applyFont="1" applyFill="1" applyBorder="1" applyAlignment="1" applyProtection="1">
      <alignment horizontal="center" vertical="center"/>
    </xf>
    <xf numFmtId="179" fontId="67" fillId="5" borderId="43" xfId="2" applyNumberFormat="1" applyFont="1" applyFill="1" applyBorder="1" applyAlignment="1" applyProtection="1">
      <alignment horizontal="center" vertical="center"/>
    </xf>
    <xf numFmtId="177"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7"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1" fontId="67" fillId="5" borderId="2" xfId="0" applyNumberFormat="1" applyFont="1" applyFill="1" applyBorder="1" applyAlignment="1" applyProtection="1">
      <alignment vertical="center"/>
    </xf>
    <xf numFmtId="181" fontId="67" fillId="5" borderId="5" xfId="0" applyNumberFormat="1" applyFont="1" applyFill="1" applyBorder="1" applyAlignment="1" applyProtection="1">
      <alignment vertical="center"/>
    </xf>
    <xf numFmtId="181" fontId="67" fillId="5" borderId="12" xfId="0" applyNumberFormat="1" applyFont="1" applyFill="1" applyBorder="1" applyAlignment="1" applyProtection="1">
      <alignment vertical="center"/>
    </xf>
    <xf numFmtId="181" fontId="67" fillId="5" borderId="2" xfId="0" applyNumberFormat="1" applyFont="1" applyFill="1" applyBorder="1" applyAlignment="1" applyProtection="1">
      <alignment horizontal="center" vertical="center"/>
    </xf>
    <xf numFmtId="181"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2" fontId="67" fillId="5" borderId="2" xfId="0" applyNumberFormat="1" applyFont="1" applyFill="1" applyBorder="1" applyAlignment="1" applyProtection="1">
      <alignment horizontal="center" vertical="center"/>
    </xf>
    <xf numFmtId="181"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7"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1"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1"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1"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79"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1"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1"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1"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1"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1" fontId="81" fillId="5" borderId="90" xfId="0" applyNumberFormat="1" applyFont="1" applyFill="1" applyBorder="1" applyAlignment="1" applyProtection="1">
      <alignment horizontal="center" vertical="center"/>
    </xf>
    <xf numFmtId="181"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5"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7" fontId="67" fillId="0" borderId="67" xfId="0" applyNumberFormat="1" applyFont="1" applyFill="1" applyBorder="1" applyAlignment="1" applyProtection="1">
      <alignment horizontal="center" vertical="center" wrapText="1"/>
      <protection locked="0"/>
    </xf>
    <xf numFmtId="178"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6"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8"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8"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7"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4"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4" fontId="72" fillId="0" borderId="2" xfId="0" applyNumberFormat="1" applyFont="1" applyFill="1" applyBorder="1" applyAlignment="1" applyProtection="1">
      <alignment horizontal="center" vertical="center"/>
      <protection locked="0"/>
    </xf>
    <xf numFmtId="184"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4" fontId="72" fillId="0" borderId="44" xfId="0" applyNumberFormat="1" applyFont="1" applyFill="1" applyBorder="1" applyAlignment="1" applyProtection="1">
      <alignment horizontal="center" vertical="center"/>
      <protection locked="0"/>
    </xf>
    <xf numFmtId="184"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9"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1"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7"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79"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7"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5" fontId="72" fillId="5" borderId="9" xfId="0" applyNumberFormat="1" applyFont="1" applyFill="1" applyBorder="1" applyAlignment="1" applyProtection="1">
      <alignment horizontal="center" vertical="center"/>
    </xf>
    <xf numFmtId="177"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7" fontId="72" fillId="5" borderId="56" xfId="2" applyNumberFormat="1" applyFont="1" applyFill="1" applyBorder="1" applyAlignment="1" applyProtection="1">
      <alignment vertical="center"/>
    </xf>
    <xf numFmtId="184"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0"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3"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0"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3"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79"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4" fontId="148" fillId="5" borderId="2" xfId="3" applyNumberFormat="1" applyFont="1" applyFill="1" applyBorder="1" applyAlignment="1" applyProtection="1">
      <alignment horizontal="center" vertical="center"/>
    </xf>
    <xf numFmtId="177" fontId="154" fillId="5" borderId="2" xfId="3" applyNumberFormat="1" applyFont="1" applyFill="1" applyBorder="1" applyAlignment="1" applyProtection="1">
      <alignment horizontal="center" vertical="center"/>
    </xf>
    <xf numFmtId="185"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7"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2"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48" fillId="0" borderId="2"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4"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1"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1"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1"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7"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1" fontId="102" fillId="5" borderId="6" xfId="0" applyNumberFormat="1" applyFont="1" applyFill="1" applyBorder="1" applyAlignment="1" applyProtection="1">
      <alignment horizontal="center" vertical="center"/>
    </xf>
    <xf numFmtId="181"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1"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1"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4"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7"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4" fontId="153" fillId="11" borderId="120" xfId="13" applyNumberFormat="1" applyFont="1" applyFill="1" applyBorder="1" applyAlignment="1" applyProtection="1">
      <alignment horizontal="left" vertical="center" wrapText="1"/>
    </xf>
    <xf numFmtId="184" fontId="153" fillId="11" borderId="127" xfId="13" applyNumberFormat="1" applyFont="1" applyFill="1" applyBorder="1" applyAlignment="1" applyProtection="1">
      <alignment horizontal="left" vertical="center" wrapText="1"/>
    </xf>
    <xf numFmtId="181" fontId="148" fillId="0" borderId="122" xfId="10" applyNumberFormat="1" applyFont="1" applyBorder="1" applyAlignment="1">
      <alignment horizontal="left" vertical="center"/>
    </xf>
    <xf numFmtId="181"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4" fontId="153" fillId="11" borderId="120" xfId="13" applyNumberFormat="1" applyFont="1" applyFill="1" applyBorder="1" applyAlignment="1">
      <alignment horizontal="left" vertical="center" wrapText="1"/>
    </xf>
    <xf numFmtId="184"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4" fontId="153" fillId="11" borderId="120" xfId="10" applyNumberFormat="1" applyFont="1" applyFill="1" applyBorder="1" applyAlignment="1">
      <alignment horizontal="left" vertical="center" wrapText="1"/>
    </xf>
    <xf numFmtId="184"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4" fontId="153" fillId="11" borderId="124" xfId="10" applyNumberFormat="1" applyFont="1" applyFill="1" applyBorder="1" applyAlignment="1">
      <alignment horizontal="left" vertical="center" wrapText="1"/>
    </xf>
    <xf numFmtId="184"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4"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7"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4" fontId="153" fillId="11" borderId="130" xfId="10" applyNumberFormat="1" applyFont="1" applyFill="1" applyBorder="1" applyAlignment="1">
      <alignment horizontal="left" vertical="center" wrapText="1"/>
    </xf>
    <xf numFmtId="184" fontId="153" fillId="11" borderId="134" xfId="10" applyNumberFormat="1" applyFont="1" applyFill="1" applyBorder="1" applyAlignment="1">
      <alignment horizontal="left" vertical="center" wrapText="1"/>
    </xf>
    <xf numFmtId="184" fontId="148" fillId="13" borderId="0" xfId="10" applyNumberFormat="1" applyFont="1" applyFill="1" applyAlignment="1">
      <alignment horizontal="left" vertical="center"/>
    </xf>
    <xf numFmtId="184"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7"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8"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8"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0" fontId="148" fillId="0" borderId="0" xfId="10" applyNumberFormat="1" applyFont="1" applyAlignment="1">
      <alignment horizontal="left" vertical="center"/>
    </xf>
    <xf numFmtId="180" fontId="148" fillId="0" borderId="122" xfId="10" applyNumberFormat="1" applyFont="1" applyBorder="1" applyAlignment="1">
      <alignment horizontal="left" vertical="center"/>
    </xf>
    <xf numFmtId="177"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0"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8"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0" fontId="154" fillId="0" borderId="0" xfId="10" applyNumberFormat="1" applyFont="1" applyAlignment="1">
      <alignment horizontal="left" vertical="center"/>
    </xf>
    <xf numFmtId="180"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1" fontId="79" fillId="16" borderId="48" xfId="0" applyNumberFormat="1" applyFont="1" applyFill="1" applyBorder="1" applyAlignment="1" applyProtection="1">
      <alignment horizontal="left" vertical="center" wrapText="1"/>
      <protection locked="0"/>
    </xf>
    <xf numFmtId="176"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1"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6"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3" fontId="269" fillId="0" borderId="2" xfId="7" applyNumberFormat="1" applyFont="1" applyFill="1" applyBorder="1" applyAlignment="1">
      <alignment horizontal="left" vertical="center"/>
    </xf>
    <xf numFmtId="190"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3"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0"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3"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79"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79"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79"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79"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79" fontId="149" fillId="12" borderId="0" xfId="0" applyNumberFormat="1" applyFont="1" applyFill="1" applyAlignment="1" applyProtection="1">
      <alignment vertical="center"/>
    </xf>
    <xf numFmtId="181"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4"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1"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7" fontId="80" fillId="12" borderId="0" xfId="0" applyNumberFormat="1" applyFont="1" applyFill="1" applyAlignment="1" applyProtection="1">
      <alignment horizontal="center" vertical="center"/>
      <protection locked="0"/>
    </xf>
    <xf numFmtId="187"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7"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7" fontId="97" fillId="5" borderId="19" xfId="0" applyNumberFormat="1" applyFont="1" applyFill="1" applyBorder="1" applyAlignment="1" applyProtection="1">
      <protection locked="0"/>
    </xf>
    <xf numFmtId="177"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7"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7"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79"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4" fontId="81" fillId="5" borderId="10" xfId="0" applyNumberFormat="1" applyFont="1" applyFill="1" applyBorder="1" applyAlignment="1" applyProtection="1">
      <alignment horizontal="center"/>
    </xf>
    <xf numFmtId="185" fontId="152" fillId="5" borderId="10" xfId="0" applyNumberFormat="1" applyFont="1" applyFill="1" applyBorder="1" applyAlignment="1" applyProtection="1">
      <alignment horizontal="center" vertical="center"/>
    </xf>
    <xf numFmtId="177"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4" fontId="81" fillId="5" borderId="83" xfId="0" applyNumberFormat="1" applyFont="1" applyFill="1" applyBorder="1" applyAlignment="1" applyProtection="1">
      <alignment horizontal="center"/>
    </xf>
    <xf numFmtId="185" fontId="152" fillId="5" borderId="83" xfId="0" applyNumberFormat="1" applyFont="1" applyFill="1" applyBorder="1" applyAlignment="1" applyProtection="1">
      <alignment horizontal="center" vertical="center"/>
    </xf>
    <xf numFmtId="177"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4"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4"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4"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7" fontId="148" fillId="0" borderId="2" xfId="2" applyNumberFormat="1" applyFont="1" applyBorder="1" applyAlignment="1" applyProtection="1">
      <alignment horizontal="left" vertical="center"/>
      <protection locked="0" hidden="1"/>
    </xf>
    <xf numFmtId="177" fontId="148" fillId="0" borderId="12" xfId="2" applyNumberFormat="1" applyFont="1" applyBorder="1" applyAlignment="1" applyProtection="1">
      <alignment horizontal="left" vertical="center"/>
      <protection locked="0" hidden="1"/>
    </xf>
    <xf numFmtId="177"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4"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4" fontId="91" fillId="5" borderId="63" xfId="6" applyNumberFormat="1" applyFont="1" applyFill="1" applyBorder="1" applyAlignment="1">
      <alignment horizontal="left" vertical="center"/>
    </xf>
    <xf numFmtId="184"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7"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4"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1"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4" fontId="82" fillId="5" borderId="2" xfId="6" applyNumberFormat="1" applyFont="1" applyFill="1" applyBorder="1" applyAlignment="1">
      <alignment horizontal="left" vertical="center"/>
    </xf>
    <xf numFmtId="181"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6" fontId="82" fillId="0" borderId="2" xfId="6" applyNumberFormat="1" applyFont="1" applyFill="1" applyBorder="1" applyAlignment="1" applyProtection="1">
      <alignment horizontal="left" vertical="center"/>
      <protection locked="0"/>
    </xf>
    <xf numFmtId="181"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7" fontId="91" fillId="5" borderId="2" xfId="6" applyNumberFormat="1" applyFont="1" applyFill="1" applyBorder="1" applyAlignment="1" applyProtection="1">
      <alignment horizontal="left" vertical="center"/>
      <protection locked="0"/>
    </xf>
    <xf numFmtId="177" fontId="82" fillId="0" borderId="12" xfId="6" applyNumberFormat="1" applyFont="1" applyFill="1" applyBorder="1" applyAlignment="1" applyProtection="1">
      <alignment horizontal="left" vertical="center"/>
      <protection locked="0"/>
    </xf>
    <xf numFmtId="184" fontId="82" fillId="0" borderId="2" xfId="6" applyNumberFormat="1" applyFont="1" applyFill="1" applyBorder="1" applyAlignment="1" applyProtection="1">
      <alignment horizontal="left" vertical="center"/>
      <protection locked="0"/>
    </xf>
    <xf numFmtId="181"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4" fontId="91" fillId="5" borderId="44" xfId="6" applyNumberFormat="1" applyFont="1" applyFill="1" applyBorder="1" applyAlignment="1">
      <alignment horizontal="left" vertical="center"/>
    </xf>
    <xf numFmtId="181"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4" fontId="91" fillId="5" borderId="19" xfId="6" applyNumberFormat="1" applyFont="1" applyFill="1" applyBorder="1" applyAlignment="1">
      <alignment horizontal="left" vertical="center"/>
    </xf>
    <xf numFmtId="181"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7"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4" fontId="82" fillId="5" borderId="5" xfId="6" applyNumberFormat="1" applyFont="1" applyFill="1" applyBorder="1" applyAlignment="1">
      <alignment horizontal="left" vertical="center"/>
    </xf>
    <xf numFmtId="184" fontId="82" fillId="5" borderId="157" xfId="6" applyNumberFormat="1" applyFont="1" applyFill="1" applyBorder="1" applyAlignment="1">
      <alignment horizontal="left" vertical="center"/>
    </xf>
    <xf numFmtId="184"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4" fontId="82" fillId="5" borderId="5" xfId="6" applyNumberFormat="1" applyFont="1" applyFill="1" applyBorder="1" applyAlignment="1">
      <alignment horizontal="right" vertical="center"/>
    </xf>
    <xf numFmtId="181" fontId="82" fillId="0" borderId="157" xfId="6" applyNumberFormat="1" applyFont="1" applyFill="1" applyBorder="1" applyAlignment="1" applyProtection="1">
      <alignment horizontal="right" vertical="center"/>
      <protection locked="0"/>
    </xf>
    <xf numFmtId="181"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1"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1"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1" fontId="82" fillId="5" borderId="157" xfId="6" applyNumberFormat="1" applyFont="1" applyFill="1" applyBorder="1" applyAlignment="1">
      <alignment horizontal="right" vertical="center"/>
    </xf>
    <xf numFmtId="181"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7"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1" fontId="82" fillId="0" borderId="5" xfId="6" applyNumberFormat="1" applyFont="1" applyFill="1" applyBorder="1" applyAlignment="1" applyProtection="1">
      <alignment horizontal="left" vertical="center"/>
      <protection locked="0"/>
    </xf>
    <xf numFmtId="181" fontId="82" fillId="0" borderId="157" xfId="6" applyNumberFormat="1" applyFont="1" applyFill="1" applyBorder="1" applyAlignment="1" applyProtection="1">
      <alignment horizontal="left" vertical="center"/>
      <protection locked="0"/>
    </xf>
    <xf numFmtId="181" fontId="82" fillId="0" borderId="9" xfId="6" applyNumberFormat="1" applyFont="1" applyFill="1" applyBorder="1" applyAlignment="1" applyProtection="1">
      <alignment horizontal="left" vertical="center"/>
      <protection locked="0"/>
    </xf>
    <xf numFmtId="176"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6" fontId="82" fillId="0" borderId="45" xfId="6" applyNumberFormat="1" applyFont="1" applyFill="1" applyBorder="1" applyAlignment="1" applyProtection="1">
      <alignment horizontal="left" vertical="center"/>
      <protection locked="0"/>
    </xf>
    <xf numFmtId="176" fontId="82" fillId="0" borderId="158" xfId="6" applyNumberFormat="1" applyFont="1" applyFill="1" applyBorder="1" applyAlignment="1" applyProtection="1">
      <alignment horizontal="left" vertical="center"/>
      <protection locked="0"/>
    </xf>
    <xf numFmtId="176" fontId="82" fillId="0" borderId="47" xfId="6" applyNumberFormat="1" applyFont="1" applyFill="1" applyBorder="1" applyAlignment="1" applyProtection="1">
      <alignment horizontal="left" vertical="center"/>
      <protection locked="0"/>
    </xf>
    <xf numFmtId="176"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4"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4"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8" fontId="0" fillId="5" borderId="6" xfId="0" applyNumberFormat="1" applyFill="1" applyBorder="1" applyAlignment="1" applyProtection="1">
      <alignment horizontal="left" vertical="center"/>
    </xf>
    <xf numFmtId="178" fontId="0" fillId="5" borderId="29" xfId="0" applyNumberFormat="1" applyFill="1" applyBorder="1" applyAlignment="1" applyProtection="1">
      <alignment horizontal="left" vertical="center"/>
    </xf>
    <xf numFmtId="178"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5" xfId="0" applyNumberFormat="1" applyFill="1" applyBorder="1" applyAlignment="1" applyProtection="1">
      <alignment horizontal="left" vertical="center"/>
    </xf>
    <xf numFmtId="178"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 xfId="0" applyNumberFormat="1" applyFill="1" applyBorder="1" applyAlignment="1" applyProtection="1">
      <alignment horizontal="left" vertical="center"/>
    </xf>
    <xf numFmtId="178"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8" fontId="0" fillId="5" borderId="45" xfId="0" applyNumberForma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3"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3"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3"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7"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6"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4"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5"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40" fillId="0" borderId="6"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29" fillId="8" borderId="63" xfId="0" applyFont="1" applyFill="1" applyBorder="1" applyAlignment="1" applyProtection="1">
      <alignment horizontal="left" vertical="center" wrapText="1"/>
      <protection locked="0"/>
    </xf>
    <xf numFmtId="0" fontId="140" fillId="0" borderId="11"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184" fontId="78" fillId="0" borderId="2" xfId="0" applyNumberFormat="1" applyFont="1" applyFill="1" applyBorder="1" applyAlignment="1" applyProtection="1">
      <alignment horizontal="center" vertical="center"/>
      <protection locked="0"/>
    </xf>
    <xf numFmtId="0" fontId="198" fillId="0" borderId="11" xfId="0" applyFont="1" applyBorder="1" applyAlignment="1" applyProtection="1">
      <alignment horizontal="center" vertical="center"/>
      <protection locked="0"/>
    </xf>
    <xf numFmtId="10" fontId="149" fillId="0" borderId="2" xfId="0" applyNumberFormat="1" applyFont="1" applyFill="1" applyBorder="1" applyAlignment="1" applyProtection="1">
      <alignment horizontal="center" vertical="center"/>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79" fontId="74" fillId="8" borderId="5" xfId="0" applyNumberFormat="1" applyFont="1" applyFill="1" applyBorder="1" applyAlignment="1" applyProtection="1">
      <alignment horizontal="center" vertical="center" wrapText="1"/>
      <protection locked="0"/>
    </xf>
    <xf numFmtId="179" fontId="74" fillId="8" borderId="8" xfId="0" applyNumberFormat="1" applyFont="1" applyFill="1" applyBorder="1" applyAlignment="1" applyProtection="1">
      <alignment horizontal="center" vertical="center" wrapText="1"/>
      <protection locked="0"/>
    </xf>
    <xf numFmtId="179"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4"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4"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4"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9" xfId="0" applyFont="1" applyFill="1" applyBorder="1" applyAlignment="1" applyProtection="1">
      <alignment horizontal="center" vertical="center" wrapText="1"/>
      <protection locked="0"/>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0" fillId="0" borderId="0" xfId="0" applyNumberFormat="1" applyAlignment="1"/>
    <xf numFmtId="14" fontId="0" fillId="0" borderId="0" xfId="0" applyNumberFormat="1" applyAlignment="1"/>
    <xf numFmtId="0" fontId="0" fillId="6" borderId="0" xfId="0" applyNumberFormat="1" applyFill="1" applyAlignment="1"/>
    <xf numFmtId="14" fontId="0" fillId="6" borderId="0" xfId="0" applyNumberFormat="1" applyFill="1" applyAlignment="1"/>
    <xf numFmtId="0" fontId="0" fillId="6" borderId="0" xfId="0" applyFill="1">
      <alignment vertical="center"/>
    </xf>
    <xf numFmtId="0" fontId="299" fillId="24" borderId="28" xfId="0" applyFont="1" applyFill="1" applyBorder="1">
      <alignment vertical="center"/>
    </xf>
    <xf numFmtId="0" fontId="300" fillId="24" borderId="82" xfId="0" applyFont="1" applyFill="1" applyBorder="1" applyAlignment="1">
      <alignment horizontal="center" vertical="center"/>
    </xf>
    <xf numFmtId="0" fontId="195" fillId="24" borderId="37" xfId="0" applyFont="1" applyFill="1" applyBorder="1" applyAlignment="1">
      <alignment horizontal="center" vertical="center"/>
    </xf>
    <xf numFmtId="0" fontId="164" fillId="24" borderId="37" xfId="0" applyFont="1" applyFill="1" applyBorder="1" applyAlignment="1">
      <alignment horizontal="center" vertical="center"/>
    </xf>
    <xf numFmtId="0" fontId="164" fillId="24" borderId="38" xfId="0" applyFont="1" applyFill="1" applyBorder="1" applyAlignment="1">
      <alignment horizontal="center" vertical="center"/>
    </xf>
    <xf numFmtId="0" fontId="302" fillId="24" borderId="0" xfId="0" applyFont="1" applyFill="1">
      <alignment vertical="center"/>
    </xf>
    <xf numFmtId="0" fontId="304" fillId="24" borderId="80" xfId="0" applyFont="1" applyFill="1" applyBorder="1" applyAlignment="1">
      <alignment horizontal="center" vertical="center"/>
    </xf>
    <xf numFmtId="0" fontId="156" fillId="24" borderId="66" xfId="0" applyFont="1" applyFill="1" applyBorder="1" applyAlignment="1">
      <alignment horizontal="center" vertical="center"/>
    </xf>
    <xf numFmtId="0" fontId="299" fillId="24" borderId="66" xfId="0" applyFont="1" applyFill="1" applyBorder="1" applyAlignment="1">
      <alignment horizontal="center" vertical="center"/>
    </xf>
    <xf numFmtId="0" fontId="305" fillId="0" borderId="38" xfId="0" applyFont="1" applyBorder="1">
      <alignment vertical="center"/>
    </xf>
    <xf numFmtId="0" fontId="303" fillId="24" borderId="65" xfId="0" applyFont="1" applyFill="1" applyBorder="1" applyAlignment="1">
      <alignment horizontal="right" vertical="center"/>
    </xf>
    <xf numFmtId="0" fontId="303" fillId="24" borderId="66" xfId="0" applyFont="1" applyFill="1" applyBorder="1" applyAlignment="1">
      <alignment horizontal="right" vertical="center"/>
    </xf>
    <xf numFmtId="0" fontId="252" fillId="0" borderId="66" xfId="0" applyFont="1" applyBorder="1" applyAlignment="1">
      <alignment horizontal="right" vertical="center"/>
    </xf>
    <xf numFmtId="0" fontId="253" fillId="0" borderId="66" xfId="0" applyFont="1" applyBorder="1">
      <alignment vertical="center"/>
    </xf>
    <xf numFmtId="0" fontId="305" fillId="0" borderId="66" xfId="0" applyFont="1" applyBorder="1">
      <alignment vertical="center"/>
    </xf>
    <xf numFmtId="0" fontId="299" fillId="24" borderId="66" xfId="0" applyFont="1" applyFill="1" applyBorder="1">
      <alignment vertical="center"/>
    </xf>
    <xf numFmtId="0" fontId="304" fillId="24" borderId="66" xfId="0" applyFont="1" applyFill="1" applyBorder="1">
      <alignment vertical="center"/>
    </xf>
    <xf numFmtId="0" fontId="301" fillId="24" borderId="66" xfId="0" applyFont="1" applyFill="1" applyBorder="1" applyAlignment="1">
      <alignment horizontal="right" vertical="center"/>
    </xf>
    <xf numFmtId="0" fontId="299" fillId="24" borderId="28" xfId="0" applyFont="1" applyFill="1" applyBorder="1" applyAlignment="1">
      <alignment vertical="center" wrapText="1"/>
    </xf>
    <xf numFmtId="0" fontId="299" fillId="24" borderId="61" xfId="0" applyFont="1" applyFill="1" applyBorder="1" applyAlignment="1">
      <alignment vertical="center" wrapText="1"/>
    </xf>
    <xf numFmtId="0" fontId="305" fillId="0" borderId="35" xfId="0" applyFont="1" applyBorder="1" applyAlignment="1">
      <alignment vertical="center" wrapText="1"/>
    </xf>
    <xf numFmtId="0" fontId="305" fillId="0" borderId="79" xfId="0" applyFont="1" applyBorder="1" applyAlignment="1">
      <alignment vertical="center" wrapText="1"/>
    </xf>
    <xf numFmtId="0" fontId="305" fillId="0" borderId="80" xfId="0" applyFont="1" applyBorder="1" applyAlignment="1">
      <alignment vertical="center" wrapText="1"/>
    </xf>
    <xf numFmtId="0" fontId="303" fillId="24" borderId="35" xfId="0" applyFont="1" applyFill="1" applyBorder="1" applyAlignment="1">
      <alignment horizontal="right" vertical="center"/>
    </xf>
    <xf numFmtId="0" fontId="303" fillId="24" borderId="79" xfId="0" applyFont="1" applyFill="1" applyBorder="1" applyAlignment="1">
      <alignment horizontal="right" vertical="center"/>
    </xf>
    <xf numFmtId="0" fontId="303" fillId="24" borderId="80" xfId="0" applyFont="1" applyFill="1" applyBorder="1" applyAlignment="1">
      <alignment horizontal="right" vertical="center"/>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161925</xdr:rowOff>
    </xdr:from>
    <xdr:to>
      <xdr:col>11</xdr:col>
      <xdr:colOff>232094</xdr:colOff>
      <xdr:row>62</xdr:row>
      <xdr:rowOff>27527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305425"/>
          <a:ext cx="7775894" cy="5352002"/>
        </a:xfrm>
        <a:prstGeom prst="rect">
          <a:avLst/>
        </a:prstGeom>
      </xdr:spPr>
    </xdr:pic>
    <xdr:clientData/>
  </xdr:twoCellAnchor>
  <xdr:twoCellAnchor editAs="oneCell">
    <xdr:from>
      <xdr:col>0</xdr:col>
      <xdr:colOff>0</xdr:colOff>
      <xdr:row>0</xdr:row>
      <xdr:rowOff>0</xdr:rowOff>
    </xdr:from>
    <xdr:to>
      <xdr:col>11</xdr:col>
      <xdr:colOff>247455</xdr:colOff>
      <xdr:row>31</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7791255" cy="5362575"/>
        </a:xfrm>
        <a:prstGeom prst="rect">
          <a:avLst/>
        </a:prstGeom>
      </xdr:spPr>
    </xdr:pic>
    <xdr:clientData/>
  </xdr:twoCellAnchor>
  <xdr:twoCellAnchor editAs="oneCell">
    <xdr:from>
      <xdr:col>0</xdr:col>
      <xdr:colOff>0</xdr:colOff>
      <xdr:row>61</xdr:row>
      <xdr:rowOff>123825</xdr:rowOff>
    </xdr:from>
    <xdr:to>
      <xdr:col>11</xdr:col>
      <xdr:colOff>411998</xdr:colOff>
      <xdr:row>93</xdr:row>
      <xdr:rowOff>113252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582275"/>
          <a:ext cx="7955798" cy="5475827"/>
        </a:xfrm>
        <a:prstGeom prst="rect">
          <a:avLst/>
        </a:prstGeom>
      </xdr:spPr>
    </xdr:pic>
    <xdr:clientData/>
  </xdr:twoCellAnchor>
  <xdr:twoCellAnchor editAs="oneCell">
    <xdr:from>
      <xdr:col>10</xdr:col>
      <xdr:colOff>552450</xdr:colOff>
      <xdr:row>0</xdr:row>
      <xdr:rowOff>0</xdr:rowOff>
    </xdr:from>
    <xdr:to>
      <xdr:col>23</xdr:col>
      <xdr:colOff>589432</xdr:colOff>
      <xdr:row>27</xdr:row>
      <xdr:rowOff>104184</xdr:rowOff>
    </xdr:to>
    <xdr:pic>
      <xdr:nvPicPr>
        <xdr:cNvPr id="5" name="图片 4"/>
        <xdr:cNvPicPr>
          <a:picLocks noChangeAspect="1"/>
        </xdr:cNvPicPr>
      </xdr:nvPicPr>
      <xdr:blipFill>
        <a:blip xmlns:r="http://schemas.openxmlformats.org/officeDocument/2006/relationships" r:embed="rId4"/>
        <a:stretch>
          <a:fillRect/>
        </a:stretch>
      </xdr:blipFill>
      <xdr:spPr>
        <a:xfrm>
          <a:off x="7410450" y="0"/>
          <a:ext cx="8952382" cy="4733334"/>
        </a:xfrm>
        <a:prstGeom prst="rect">
          <a:avLst/>
        </a:prstGeom>
      </xdr:spPr>
    </xdr:pic>
    <xdr:clientData/>
  </xdr:twoCellAnchor>
  <xdr:twoCellAnchor editAs="oneCell">
    <xdr:from>
      <xdr:col>10</xdr:col>
      <xdr:colOff>542925</xdr:colOff>
      <xdr:row>31</xdr:row>
      <xdr:rowOff>133350</xdr:rowOff>
    </xdr:from>
    <xdr:to>
      <xdr:col>26</xdr:col>
      <xdr:colOff>303459</xdr:colOff>
      <xdr:row>57</xdr:row>
      <xdr:rowOff>94698</xdr:rowOff>
    </xdr:to>
    <xdr:pic>
      <xdr:nvPicPr>
        <xdr:cNvPr id="6" name="图片 5"/>
        <xdr:cNvPicPr>
          <a:picLocks noChangeAspect="1"/>
        </xdr:cNvPicPr>
      </xdr:nvPicPr>
      <xdr:blipFill>
        <a:blip xmlns:r="http://schemas.openxmlformats.org/officeDocument/2006/relationships" r:embed="rId5"/>
        <a:stretch>
          <a:fillRect/>
        </a:stretch>
      </xdr:blipFill>
      <xdr:spPr>
        <a:xfrm>
          <a:off x="7400925" y="5448300"/>
          <a:ext cx="10733334" cy="4419048"/>
        </a:xfrm>
        <a:prstGeom prst="rect">
          <a:avLst/>
        </a:prstGeom>
      </xdr:spPr>
    </xdr:pic>
    <xdr:clientData/>
  </xdr:twoCellAnchor>
  <xdr:twoCellAnchor editAs="oneCell">
    <xdr:from>
      <xdr:col>10</xdr:col>
      <xdr:colOff>276225</xdr:colOff>
      <xdr:row>61</xdr:row>
      <xdr:rowOff>152400</xdr:rowOff>
    </xdr:from>
    <xdr:to>
      <xdr:col>26</xdr:col>
      <xdr:colOff>27235</xdr:colOff>
      <xdr:row>93</xdr:row>
      <xdr:rowOff>37429</xdr:rowOff>
    </xdr:to>
    <xdr:pic>
      <xdr:nvPicPr>
        <xdr:cNvPr id="7" name="图片 6"/>
        <xdr:cNvPicPr>
          <a:picLocks noChangeAspect="1"/>
        </xdr:cNvPicPr>
      </xdr:nvPicPr>
      <xdr:blipFill>
        <a:blip xmlns:r="http://schemas.openxmlformats.org/officeDocument/2006/relationships" r:embed="rId6"/>
        <a:stretch>
          <a:fillRect/>
        </a:stretch>
      </xdr:blipFill>
      <xdr:spPr>
        <a:xfrm>
          <a:off x="7134225" y="10610850"/>
          <a:ext cx="10723810" cy="53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31</xdr:row>
      <xdr:rowOff>34646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72400" cy="5349596"/>
        </a:xfrm>
        <a:prstGeom prst="rect">
          <a:avLst/>
        </a:prstGeom>
      </xdr:spPr>
    </xdr:pic>
    <xdr:clientData/>
  </xdr:twoCellAnchor>
  <xdr:twoCellAnchor editAs="oneCell">
    <xdr:from>
      <xdr:col>0</xdr:col>
      <xdr:colOff>0</xdr:colOff>
      <xdr:row>30</xdr:row>
      <xdr:rowOff>38100</xdr:rowOff>
    </xdr:from>
    <xdr:to>
      <xdr:col>12</xdr:col>
      <xdr:colOff>528850</xdr:colOff>
      <xdr:row>65</xdr:row>
      <xdr:rowOff>65627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81600"/>
          <a:ext cx="8758450" cy="6028277"/>
        </a:xfrm>
        <a:prstGeom prst="rect">
          <a:avLst/>
        </a:prstGeom>
      </xdr:spPr>
    </xdr:pic>
    <xdr:clientData/>
  </xdr:twoCellAnchor>
  <xdr:twoCellAnchor editAs="oneCell">
    <xdr:from>
      <xdr:col>0</xdr:col>
      <xdr:colOff>0</xdr:colOff>
      <xdr:row>65</xdr:row>
      <xdr:rowOff>66675</xdr:rowOff>
    </xdr:from>
    <xdr:to>
      <xdr:col>12</xdr:col>
      <xdr:colOff>252073</xdr:colOff>
      <xdr:row>99</xdr:row>
      <xdr:rowOff>75152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210925"/>
          <a:ext cx="8481673" cy="58377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85029</xdr:colOff>
      <xdr:row>34</xdr:row>
      <xdr:rowOff>18319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571429" cy="5847619"/>
        </a:xfrm>
        <a:prstGeom prst="rect">
          <a:avLst/>
        </a:prstGeom>
      </xdr:spPr>
    </xdr:pic>
    <xdr:clientData/>
  </xdr:twoCellAnchor>
  <xdr:twoCellAnchor editAs="oneCell">
    <xdr:from>
      <xdr:col>0</xdr:col>
      <xdr:colOff>0</xdr:colOff>
      <xdr:row>35</xdr:row>
      <xdr:rowOff>38100</xdr:rowOff>
    </xdr:from>
    <xdr:to>
      <xdr:col>9</xdr:col>
      <xdr:colOff>684943</xdr:colOff>
      <xdr:row>70</xdr:row>
      <xdr:rowOff>104017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38850"/>
          <a:ext cx="6857143" cy="6066667"/>
        </a:xfrm>
        <a:prstGeom prst="rect">
          <a:avLst/>
        </a:prstGeom>
      </xdr:spPr>
    </xdr:pic>
    <xdr:clientData/>
  </xdr:twoCellAnchor>
  <xdr:twoCellAnchor editAs="oneCell">
    <xdr:from>
      <xdr:col>11</xdr:col>
      <xdr:colOff>0</xdr:colOff>
      <xdr:row>20</xdr:row>
      <xdr:rowOff>0</xdr:rowOff>
    </xdr:from>
    <xdr:to>
      <xdr:col>26</xdr:col>
      <xdr:colOff>636746</xdr:colOff>
      <xdr:row>59</xdr:row>
      <xdr:rowOff>170593</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3429000"/>
          <a:ext cx="11438096" cy="6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比较法案例"/>
      <sheetName val="车位比较法"/>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
          <cell r="A3">
            <v>17625.59</v>
          </cell>
        </row>
      </sheetData>
      <sheetData sheetId="12">
        <row r="3">
          <cell r="E3">
            <v>56080.531999999999</v>
          </cell>
        </row>
        <row r="27">
          <cell r="G27">
            <v>13900</v>
          </cell>
        </row>
      </sheetData>
      <sheetData sheetId="13"/>
      <sheetData sheetId="14"/>
      <sheetData sheetId="15"/>
      <sheetData sheetId="16">
        <row r="19">
          <cell r="G19">
            <v>123889</v>
          </cell>
        </row>
        <row r="35">
          <cell r="G35">
            <v>1187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比较法案例"/>
      <sheetName val="车位比较法"/>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
          <cell r="A3">
            <v>23675.599999999999</v>
          </cell>
        </row>
      </sheetData>
      <sheetData sheetId="12">
        <row r="3">
          <cell r="E3">
            <v>65672.760000000009</v>
          </cell>
        </row>
        <row r="27">
          <cell r="G27">
            <v>13150</v>
          </cell>
        </row>
      </sheetData>
      <sheetData sheetId="13"/>
      <sheetData sheetId="14"/>
      <sheetData sheetId="15"/>
      <sheetData sheetId="16">
        <row r="19">
          <cell r="G19">
            <v>164463</v>
          </cell>
        </row>
        <row r="35">
          <cell r="G35">
            <v>1273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1938</v>
      </c>
      <c r="B1" s="2370" t="s">
        <v>2035</v>
      </c>
    </row>
    <row r="2" spans="1:55" s="2374" customFormat="1" ht="15" thickTop="1">
      <c r="A2" s="2372" t="s">
        <v>1942</v>
      </c>
      <c r="B2" s="2373" t="str">
        <f>'预评函-封皮'!B37</f>
        <v>北京市出让国有建设用地使用权抵押价格预评估</v>
      </c>
      <c r="AX2" s="2375"/>
      <c r="AZ2" s="2375"/>
      <c r="BA2" s="2376"/>
      <c r="BC2" s="2376"/>
    </row>
    <row r="3" spans="1:55" s="2377" customFormat="1">
      <c r="A3" s="2356" t="s">
        <v>1943</v>
      </c>
      <c r="B3" s="2359">
        <f>'预评函-封皮'!B40</f>
        <v>0</v>
      </c>
    </row>
    <row r="4" spans="1:55" s="2358" customFormat="1">
      <c r="A4" s="2356" t="s">
        <v>1944</v>
      </c>
      <c r="B4" s="2357" t="str">
        <f>'预评函-封皮'!B46</f>
        <v>土地估价师、土地估价师</v>
      </c>
      <c r="N4" s="2358" t="str">
        <f>'预评函-1'!A28</f>
        <v>本次估价的“抵押净值”是指估价对象“抵押价格”减去估价对象在估价期日以“土地销售收入”为基数计算的预计抵押权实现进行处置时需缴纳的各项费用、税金等相关费用后的价格。</v>
      </c>
    </row>
    <row r="5" spans="1:55" s="2371" customFormat="1" ht="15" thickBot="1">
      <c r="A5" s="2378" t="s">
        <v>1945</v>
      </c>
      <c r="B5" s="2379" t="str">
        <f>'预评函-封皮'!B49</f>
        <v>康正预评字号</v>
      </c>
    </row>
    <row r="6" spans="1:55" s="2380" customFormat="1" ht="15" thickTop="1">
      <c r="A6" s="2372" t="s">
        <v>1987</v>
      </c>
      <c r="B6" s="2373" t="str">
        <f>'预评函-1'!A4</f>
        <v>受贵公司委托，我公司对北京市出让国有建设用地使用权抵押价格进行了预评估。</v>
      </c>
      <c r="AM6" s="2381"/>
    </row>
    <row r="7" spans="1:55" s="2355" customFormat="1">
      <c r="A7" s="2356" t="s">
        <v>1939</v>
      </c>
      <c r="B7" s="2357" t="str">
        <f>'预评函-1'!A6</f>
        <v>估价对象为使用的、位于北京市出让国有建设用地使用权。根据《国有土地使用证》[]，估价对象（分摊）出让国有建设用地使用权面积为18265.05平方米。根据《建设工程规划许可证》[]、《出让合同》[]，估价对象规划建筑面积为59771.28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1941</v>
      </c>
      <c r="B10" s="2357" t="str">
        <f>'预评函-1'!A11</f>
        <v>2023年9月6日（评估专业人员勘察现场之日）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根据《国有土地使用证》[]，估价对象（分摊）出让国有建设用地使用权面积为18265.05平方米。根据《建设工程规划许可证》[]、《出让合同》[]，估价对象规划建筑面积为59771.28平方米。</v>
      </c>
    </row>
    <row r="16" spans="1:55" s="2355" customFormat="1">
      <c r="A16" s="2356" t="s">
        <v>1951</v>
      </c>
      <c r="B16" s="23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8月2日车库2073年8月2日。截至估价期日，出让国有建设用地使用权剩余土地使用年限为69.95。</v>
      </c>
    </row>
    <row r="17" spans="1:48" s="2355" customFormat="1">
      <c r="A17" s="2356" t="s">
        <v>1952</v>
      </c>
      <c r="B17" s="2357" t="str">
        <f>'预评函-1'!A23</f>
        <v>本次评估设定估价对象剩余土地使用年限为69.95。</v>
      </c>
    </row>
    <row r="18" spans="1:48" s="2355" customFormat="1">
      <c r="A18" s="2356" t="s">
        <v>1953</v>
      </c>
      <c r="B18" s="2357" t="str">
        <f>'预评函-1'!A25</f>
        <v>本次估价的“出让国有建设用地使用权价格”是指在估价对象土地所有权为国家所有，使用权性质为出让，在公开市场条件下、于估价期日2023年9月6日，在规划利用条件下、设定土地开发程度为红线外“七通”、宗地内场地，设定用途为，剩余土地使用年限为69.95的出让国有建设用地使用权价格。</v>
      </c>
    </row>
    <row r="19" spans="1:48" s="2355" customFormat="1">
      <c r="A19" s="2356" t="s">
        <v>1954</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1955</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1956</v>
      </c>
      <c r="B21" s="23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7" t="s">
        <v>1957</v>
      </c>
      <c r="B22" s="23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6" t="s">
        <v>1958</v>
      </c>
      <c r="B23" s="2357" t="str">
        <f>'预评函-2'!K2</f>
        <v>估价期日：2023年9月6日</v>
      </c>
    </row>
    <row r="24" spans="1:48">
      <c r="A24" s="2356" t="s">
        <v>1959</v>
      </c>
      <c r="B24" s="2357" t="str">
        <f>'预评函-2'!R2</f>
        <v>估价期日的国有建设用地使用权性质：出让</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f>'预评函-2'!M5</f>
        <v>69.95</v>
      </c>
    </row>
    <row r="42" spans="1:2">
      <c r="A42" s="2356" t="s">
        <v>2021</v>
      </c>
      <c r="B42" s="2357" t="str">
        <f>'预评函-2'!N3</f>
        <v>（分摊）出让国有建设用地使用权面积/㎡</v>
      </c>
    </row>
    <row r="43" spans="1:2">
      <c r="A43" s="2356" t="s">
        <v>2003</v>
      </c>
      <c r="B43" s="2357">
        <f>'预评函-2'!N5</f>
        <v>18265.05</v>
      </c>
    </row>
    <row r="44" spans="1:2">
      <c r="A44" s="2356" t="s">
        <v>2022</v>
      </c>
      <c r="B44" s="2357" t="str">
        <f>'预评函-2'!O3</f>
        <v>规划建筑面积/㎡</v>
      </c>
    </row>
    <row r="45" spans="1:2">
      <c r="A45" s="2356" t="s">
        <v>2004</v>
      </c>
      <c r="B45" s="2357">
        <f>'预评函-2'!O5</f>
        <v>59771.28</v>
      </c>
    </row>
    <row r="46" spans="1:2">
      <c r="A46" s="2356" t="s">
        <v>2005</v>
      </c>
      <c r="B46" s="2357">
        <f ca="1">'预评函-2'!P5</f>
        <v>74488</v>
      </c>
    </row>
    <row r="47" spans="1:2">
      <c r="A47" s="2356" t="s">
        <v>2006</v>
      </c>
      <c r="B47" s="2357">
        <f ca="1">'预评函-2'!Q5</f>
        <v>22762</v>
      </c>
    </row>
    <row r="48" spans="1:2">
      <c r="A48" s="2356" t="s">
        <v>2007</v>
      </c>
      <c r="B48" s="2357">
        <f ca="1">'预评函-2'!R5</f>
        <v>136053</v>
      </c>
    </row>
    <row r="49" spans="1:2">
      <c r="A49" s="2356" t="s">
        <v>2023</v>
      </c>
      <c r="B49" s="2357" t="str">
        <f>'预评函-2'!A6</f>
        <v>抵押价格</v>
      </c>
    </row>
    <row r="50" spans="1:2">
      <c r="A50" s="2356" t="s">
        <v>2008</v>
      </c>
      <c r="B50" s="2357">
        <f ca="1">'预评函-2'!R6</f>
        <v>134815</v>
      </c>
    </row>
    <row r="51" spans="1:2">
      <c r="A51" s="2356" t="s">
        <v>2024</v>
      </c>
      <c r="B51" s="2357" t="str">
        <f>'预评函-2'!A7</f>
        <v>——</v>
      </c>
    </row>
    <row r="52" spans="1:2">
      <c r="A52" s="2356" t="s">
        <v>2009</v>
      </c>
      <c r="B52" s="2357" t="str">
        <f>'预评函-2'!R7</f>
        <v>——</v>
      </c>
    </row>
    <row r="53" spans="1:2">
      <c r="A53" s="2356" t="s">
        <v>2025</v>
      </c>
      <c r="B53" s="2357" t="str">
        <f>'预评函-2'!A8</f>
        <v>抵押净值</v>
      </c>
    </row>
    <row r="54" spans="1:2" s="2371" customFormat="1" ht="15" thickBot="1">
      <c r="A54" s="2378" t="s">
        <v>2010</v>
      </c>
      <c r="B54" s="2379">
        <f ca="1">'预评函-2'!R8</f>
        <v>57741</v>
      </c>
    </row>
    <row r="55" spans="1:2" ht="15"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5" thickBot="1">
      <c r="A58" s="2378" t="s">
        <v>2011</v>
      </c>
      <c r="B58" s="2379" t="str">
        <f>'预评函-3'!A5</f>
        <v>4.影响价格的其他限定条件：无。</v>
      </c>
    </row>
    <row r="59" spans="1:2" ht="15" thickTop="1">
      <c r="A59" s="2367" t="s">
        <v>1963</v>
      </c>
      <c r="B59" s="2368" t="str">
        <f>'预评函-3'!A8</f>
        <v>2.本《评估意见函》仅供金融机构进行内部审核使用，不做其他目的之用。</v>
      </c>
    </row>
    <row r="60" spans="1:2">
      <c r="A60" s="2356" t="s">
        <v>1964</v>
      </c>
      <c r="B60" s="2357" t="str">
        <f>'预评函-3'!A9</f>
        <v>3.抵押双方在办理抵押登记手续时，应使用本公司出具的正式《土地估价报告》，特提请报告使用者注意。</v>
      </c>
    </row>
    <row r="61" spans="1:2">
      <c r="A61" s="2356" t="s">
        <v>1966</v>
      </c>
      <c r="B61" s="2357" t="str">
        <f>'预评函-3'!A10</f>
        <v>4.估价师所知悉的法定优先受偿款情况为：</v>
      </c>
    </row>
    <row r="62" spans="1:2">
      <c r="A62" s="2356" t="s">
        <v>1965</v>
      </c>
      <c r="B62" s="2357" t="str">
        <f>'预评函-3'!A11</f>
        <v>（1）根据估价对象《不动产权证书》原件、《国有土地使用权》复印件，截至估价期日，估价对象抵押权未见登记。</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 ca="1">'预评函-3'!A14</f>
        <v>综上，本次评估估价师知悉的法定优先受偿款为人民币1238万元整。</v>
      </c>
    </row>
    <row r="66" spans="1:2">
      <c r="A66" s="2356" t="s">
        <v>1970</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1974</v>
      </c>
      <c r="B68" s="2382">
        <f>'预评函-3'!D30</f>
        <v>42558</v>
      </c>
    </row>
    <row r="69" spans="1:2" ht="15" thickTop="1">
      <c r="A69" s="2367" t="s">
        <v>1972</v>
      </c>
      <c r="B69" s="2368" t="str">
        <f>'预评函-3'!A20</f>
        <v>土地估价师</v>
      </c>
    </row>
    <row r="70" spans="1:2">
      <c r="A70" s="2356" t="s">
        <v>1972</v>
      </c>
      <c r="B70" s="2363">
        <f>'预评函-3'!B20</f>
        <v>0</v>
      </c>
    </row>
    <row r="71" spans="1:2">
      <c r="A71" s="2356" t="s">
        <v>1973</v>
      </c>
      <c r="B71" s="2357" t="str">
        <f>'预评函-3'!A21</f>
        <v>土地估价师</v>
      </c>
    </row>
    <row r="72" spans="1:2" s="2371" customFormat="1" ht="15" thickBot="1">
      <c r="A72" s="2378" t="s">
        <v>1973</v>
      </c>
      <c r="B72" s="2384">
        <f>'预评函-3'!B21</f>
        <v>0</v>
      </c>
    </row>
    <row r="73" spans="1:2" ht="15"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2064</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5"/>
  </cols>
  <sheetData>
    <row r="1" spans="1:6">
      <c r="A1" s="3282" t="s">
        <v>2668</v>
      </c>
      <c r="B1" s="3283"/>
      <c r="C1" s="3283"/>
      <c r="D1" s="3283"/>
      <c r="E1" s="3283"/>
      <c r="F1" s="3284"/>
    </row>
    <row r="2" spans="1:6">
      <c r="A2" s="3286"/>
      <c r="B2" s="3287"/>
      <c r="C2" s="3287"/>
      <c r="D2" s="3287"/>
      <c r="E2" s="3287"/>
      <c r="F2" s="3288"/>
    </row>
    <row r="3" spans="1:6">
      <c r="A3" s="3289" t="s">
        <v>2669</v>
      </c>
      <c r="B3" s="3290">
        <f>项目基本情况!D3</f>
        <v>45175</v>
      </c>
      <c r="C3" s="3291"/>
      <c r="D3" s="3291"/>
      <c r="E3" s="3291"/>
      <c r="F3" s="3288"/>
    </row>
    <row r="4" spans="1:6">
      <c r="A4" s="3289" t="s">
        <v>2670</v>
      </c>
      <c r="B4" s="3292" t="s">
        <v>2671</v>
      </c>
      <c r="C4" s="3292" t="s">
        <v>2672</v>
      </c>
      <c r="D4" s="3292" t="s">
        <v>2673</v>
      </c>
      <c r="E4" s="3292" t="s">
        <v>2674</v>
      </c>
      <c r="F4" s="3288"/>
    </row>
    <row r="5" spans="1:6">
      <c r="A5" s="3293"/>
      <c r="B5" s="3290"/>
      <c r="C5" s="3292">
        <f>ROUNDDOWN(MIN((B5-B3)/365,A5),2)</f>
        <v>-123.76</v>
      </c>
      <c r="D5" s="3294">
        <f>IF(ISERROR(ROUND(POWER(1+E5,A5-C5)*(POWER(1+E5,C5)-1)/(POWER(1+E5,A5)-1),3)),0,ROUND(POWER(1+E5,A5-C5)*(POWER(1+E5,C5)-1)/(POWER(1+E5,A5)-1),4))</f>
        <v>0</v>
      </c>
      <c r="E5" s="3295"/>
      <c r="F5" s="3288"/>
    </row>
    <row r="6" spans="1:6">
      <c r="A6" s="3293"/>
      <c r="B6" s="3290"/>
      <c r="C6" s="3292">
        <f>ROUNDDOWN(MIN((B6-B3)/365,A6),2)</f>
        <v>-123.76</v>
      </c>
      <c r="D6" s="3294">
        <f>IF(ISERROR(ROUND(POWER(1+E6,A6-C6)*(POWER(1+E6,C6)-1)/(POWER(1+E6,A6)-1),3)),0,ROUND(POWER(1+E6,A6-C6)*(POWER(1+E6,C6)-1)/(POWER(1+E6,A6)-1),4))</f>
        <v>0</v>
      </c>
      <c r="E6" s="3295"/>
      <c r="F6" s="3288"/>
    </row>
    <row r="7" spans="1:6">
      <c r="A7" s="3293"/>
      <c r="B7" s="3290"/>
      <c r="C7" s="3292">
        <f>ROUNDDOWN(MIN((B7-B3)/365,A7),2)</f>
        <v>-123.76</v>
      </c>
      <c r="D7" s="3294">
        <f>IF(ISERROR(ROUND(POWER(1+E7,A7-C7)*(POWER(1+E7,C7)-1)/(POWER(1+E7,A7)-1),3)),0,ROUND(POWER(1+E7,A7-C7)*(POWER(1+E7,C7)-1)/(POWER(1+E7,A7)-1),4))</f>
        <v>0</v>
      </c>
      <c r="E7" s="3295"/>
      <c r="F7" s="3288"/>
    </row>
    <row r="8" spans="1:6">
      <c r="A8" s="3286"/>
      <c r="B8" s="3287"/>
      <c r="C8" s="3287"/>
      <c r="D8" s="3287"/>
      <c r="E8" s="3287"/>
      <c r="F8" s="3288"/>
    </row>
    <row r="9" spans="1:6">
      <c r="A9" s="3289" t="s">
        <v>2675</v>
      </c>
      <c r="B9" s="3292"/>
      <c r="C9" s="3292"/>
      <c r="D9" s="3292"/>
      <c r="E9" s="3292"/>
      <c r="F9" s="3296"/>
    </row>
    <row r="10" spans="1:6">
      <c r="A10" s="3289" t="s">
        <v>2676</v>
      </c>
      <c r="B10" s="3292"/>
      <c r="C10" s="3292"/>
      <c r="D10" s="3292" t="s">
        <v>2674</v>
      </c>
      <c r="E10" s="3292"/>
      <c r="F10" s="3296" t="s">
        <v>2673</v>
      </c>
    </row>
    <row r="11" spans="1:6">
      <c r="A11" s="3289" t="s">
        <v>2677</v>
      </c>
      <c r="B11" s="3297"/>
      <c r="C11" s="3292" t="s">
        <v>2678</v>
      </c>
      <c r="D11" s="3298"/>
      <c r="E11" s="3292" t="s">
        <v>2679</v>
      </c>
      <c r="F11" s="3299">
        <f>ROUND(1-(1/(POWER(1+D11,B11))),4)</f>
        <v>0</v>
      </c>
    </row>
    <row r="12" spans="1:6">
      <c r="A12" s="3289" t="s">
        <v>2680</v>
      </c>
      <c r="B12" s="3297"/>
      <c r="C12" s="3292" t="s">
        <v>2681</v>
      </c>
      <c r="D12" s="3298"/>
      <c r="E12" s="3292" t="s">
        <v>2682</v>
      </c>
      <c r="F12" s="3299">
        <f>ROUND(1-(1/(POWER(1+D12,B12))),4)</f>
        <v>0</v>
      </c>
    </row>
    <row r="13" spans="1:6">
      <c r="A13" s="3289" t="s">
        <v>2683</v>
      </c>
      <c r="B13" s="3292"/>
      <c r="C13" s="3291"/>
      <c r="D13" s="3287"/>
      <c r="E13" s="3287"/>
      <c r="F13" s="3288"/>
    </row>
    <row r="14" spans="1:6">
      <c r="A14" s="3289" t="s">
        <v>2684</v>
      </c>
      <c r="B14" s="3297"/>
      <c r="C14" s="3291"/>
      <c r="D14" s="3287"/>
      <c r="E14" s="3287"/>
      <c r="F14" s="3288"/>
    </row>
    <row r="15" spans="1:6">
      <c r="A15" s="3289" t="s">
        <v>2685</v>
      </c>
      <c r="B15" s="3292" t="e">
        <f>ROUND(B14*F12/F11,2)</f>
        <v>#DIV/0!</v>
      </c>
      <c r="C15" s="3292" t="e">
        <f>ROUND(F12/F11,4)</f>
        <v>#DIV/0!</v>
      </c>
      <c r="D15" s="3287"/>
      <c r="E15" s="3287"/>
      <c r="F15" s="3288"/>
    </row>
    <row r="16" spans="1:6">
      <c r="A16" s="3289" t="s">
        <v>2686</v>
      </c>
      <c r="B16" s="3292"/>
      <c r="C16" s="3291"/>
      <c r="D16" s="3287"/>
      <c r="E16" s="3287"/>
      <c r="F16" s="3288"/>
    </row>
    <row r="17" spans="1:7">
      <c r="A17" s="3289" t="s">
        <v>2685</v>
      </c>
      <c r="B17" s="3298"/>
      <c r="C17" s="3291"/>
      <c r="D17" s="3287"/>
      <c r="E17" s="3287"/>
      <c r="F17" s="3288"/>
    </row>
    <row r="18" spans="1:7" ht="14.25" thickBot="1">
      <c r="A18" s="3300" t="s">
        <v>2684</v>
      </c>
      <c r="B18" s="3301" t="e">
        <f>ROUND(B17*F11/F12,2)</f>
        <v>#DIV/0!</v>
      </c>
      <c r="C18" s="3301" t="e">
        <f>ROUND(F11/F12,4)</f>
        <v>#DIV/0!</v>
      </c>
      <c r="D18" s="3302"/>
      <c r="E18" s="3302"/>
      <c r="F18" s="3303"/>
    </row>
    <row r="19" spans="1:7" ht="14.25" thickBot="1"/>
    <row r="20" spans="1:7">
      <c r="A20" s="3304" t="s">
        <v>2687</v>
      </c>
      <c r="B20" s="3305"/>
      <c r="C20" s="3305"/>
      <c r="D20" s="3305"/>
      <c r="E20" s="3305"/>
      <c r="F20" s="3305"/>
      <c r="G20" s="3306"/>
    </row>
    <row r="21" spans="1:7">
      <c r="A21" s="3307"/>
      <c r="B21" s="3308" t="s">
        <v>2688</v>
      </c>
      <c r="C21" s="3308" t="s">
        <v>2689</v>
      </c>
      <c r="D21" s="3308" t="s">
        <v>2690</v>
      </c>
      <c r="E21" s="3308" t="s">
        <v>2691</v>
      </c>
      <c r="F21" s="3308" t="s">
        <v>2692</v>
      </c>
      <c r="G21" s="3309" t="s">
        <v>2693</v>
      </c>
    </row>
    <row r="22" spans="1:7">
      <c r="A22" s="3307" t="s">
        <v>2694</v>
      </c>
      <c r="B22" s="3310">
        <v>50</v>
      </c>
      <c r="C22" s="3310">
        <v>32</v>
      </c>
      <c r="D22" s="3311">
        <v>0.05</v>
      </c>
      <c r="E22" s="3308">
        <f>ROUND(POWER(1+D22,B22-C22)*(POWER(1+D22,C22)-1)/(POWER(1+D22,B22)-1),3)</f>
        <v>0.86599999999999999</v>
      </c>
      <c r="F22" s="3311">
        <v>0.6</v>
      </c>
      <c r="G22" s="3309">
        <f>ROUND(100*(1-(1-E22)*F22),1)</f>
        <v>92</v>
      </c>
    </row>
    <row r="23" spans="1:7">
      <c r="A23" s="3312" t="s">
        <v>2695</v>
      </c>
      <c r="B23" s="3310">
        <v>50</v>
      </c>
      <c r="C23" s="3310">
        <v>35</v>
      </c>
      <c r="D23" s="3311">
        <v>0.05</v>
      </c>
      <c r="E23" s="3308">
        <f>ROUND(POWER(1+D23,B23-C23)*(POWER(1+D23,C23)-1)/(POWER(1+D23,B23)-1),3)</f>
        <v>0.89700000000000002</v>
      </c>
      <c r="F23" s="3311">
        <f>F22</f>
        <v>0.6</v>
      </c>
      <c r="G23" s="3309">
        <f>ROUND(100*(1-(1-E23)*F23),1)</f>
        <v>93.8</v>
      </c>
    </row>
    <row r="24" spans="1:7">
      <c r="A24" s="3312" t="s">
        <v>2696</v>
      </c>
      <c r="B24" s="3310">
        <v>50</v>
      </c>
      <c r="C24" s="3310">
        <v>25</v>
      </c>
      <c r="D24" s="3311">
        <v>0.05</v>
      </c>
      <c r="E24" s="3308">
        <f>ROUND(POWER(1+D24,B24-C24)*(POWER(1+D24,C24)-1)/(POWER(1+D24,B24)-1),3)</f>
        <v>0.77200000000000002</v>
      </c>
      <c r="F24" s="3311">
        <f>F23</f>
        <v>0.6</v>
      </c>
      <c r="G24" s="3309">
        <f>ROUND(100*(1-(1-E24)*F24),1)</f>
        <v>86.3</v>
      </c>
    </row>
    <row r="25" spans="1:7">
      <c r="A25" s="3312" t="s">
        <v>2697</v>
      </c>
      <c r="B25" s="3310">
        <v>50</v>
      </c>
      <c r="C25" s="3310">
        <v>40</v>
      </c>
      <c r="D25" s="3311">
        <v>0.05</v>
      </c>
      <c r="E25" s="3308">
        <f>ROUND(POWER(1+D25,B25-C25)*(POWER(1+D25,C25)-1)/(POWER(1+D25,B25)-1),3)</f>
        <v>0.94</v>
      </c>
      <c r="F25" s="3311">
        <f>F24</f>
        <v>0.6</v>
      </c>
      <c r="G25" s="3309">
        <f>ROUND(100*(1-(1-E25)*F25),1)</f>
        <v>96.4</v>
      </c>
    </row>
    <row r="26" spans="1:7">
      <c r="A26" s="3313"/>
      <c r="B26" s="3314"/>
      <c r="C26" s="3314"/>
      <c r="D26" s="3314"/>
      <c r="E26" s="3314"/>
      <c r="F26" s="3314"/>
      <c r="G26" s="3315"/>
    </row>
    <row r="27" spans="1:7">
      <c r="A27" s="3316" t="s">
        <v>2698</v>
      </c>
      <c r="B27" s="3317"/>
      <c r="C27" s="3317"/>
      <c r="D27" s="3317"/>
      <c r="E27" s="3317"/>
      <c r="F27" s="3317"/>
      <c r="G27" s="3318"/>
    </row>
    <row r="28" spans="1:7">
      <c r="A28" s="3316" t="s">
        <v>2699</v>
      </c>
      <c r="B28" s="3317"/>
      <c r="C28" s="3317"/>
      <c r="D28" s="3317"/>
      <c r="E28" s="3317"/>
      <c r="F28" s="3317"/>
      <c r="G28" s="3318"/>
    </row>
    <row r="29" spans="1:7">
      <c r="A29" s="3316" t="s">
        <v>2700</v>
      </c>
      <c r="B29" s="3317"/>
      <c r="C29" s="3317"/>
      <c r="D29" s="3317"/>
      <c r="E29" s="3317"/>
      <c r="F29" s="3317"/>
      <c r="G29" s="3318"/>
    </row>
    <row r="30" spans="1:7">
      <c r="A30" s="3316" t="s">
        <v>2701</v>
      </c>
      <c r="B30" s="3317"/>
      <c r="C30" s="3317"/>
      <c r="D30" s="3317"/>
      <c r="E30" s="3317"/>
      <c r="F30" s="3317"/>
      <c r="G30" s="3318"/>
    </row>
    <row r="31" spans="1:7">
      <c r="A31" s="3316" t="s">
        <v>2702</v>
      </c>
      <c r="B31" s="3317"/>
      <c r="C31" s="3317"/>
      <c r="D31" s="3317"/>
      <c r="E31" s="3317"/>
      <c r="F31" s="3317"/>
      <c r="G31" s="3318"/>
    </row>
    <row r="32" spans="1:7">
      <c r="A32" s="3316" t="s">
        <v>2703</v>
      </c>
      <c r="B32" s="3317"/>
      <c r="C32" s="3317"/>
      <c r="D32" s="3317"/>
      <c r="E32" s="3317"/>
      <c r="F32" s="3317"/>
      <c r="G32" s="3318"/>
    </row>
    <row r="33" spans="1:7">
      <c r="A33" s="3316" t="s">
        <v>2704</v>
      </c>
      <c r="B33" s="3317"/>
      <c r="C33" s="3317"/>
      <c r="D33" s="3317"/>
      <c r="E33" s="3317"/>
      <c r="F33" s="3317"/>
      <c r="G33" s="3318"/>
    </row>
    <row r="34" spans="1:7">
      <c r="A34" s="3316" t="s">
        <v>2705</v>
      </c>
      <c r="B34" s="3317"/>
      <c r="C34" s="3317"/>
      <c r="D34" s="3317"/>
      <c r="E34" s="3317"/>
      <c r="F34" s="3317"/>
      <c r="G34" s="3318"/>
    </row>
    <row r="35" spans="1:7">
      <c r="A35" s="3316" t="s">
        <v>2706</v>
      </c>
      <c r="B35" s="3317"/>
      <c r="C35" s="3317"/>
      <c r="D35" s="3317"/>
      <c r="E35" s="3317"/>
      <c r="F35" s="3317"/>
      <c r="G35" s="3318"/>
    </row>
    <row r="36" spans="1:7">
      <c r="A36" s="3316" t="s">
        <v>2707</v>
      </c>
      <c r="B36" s="3317"/>
      <c r="C36" s="3317"/>
      <c r="D36" s="3317"/>
      <c r="E36" s="3317"/>
      <c r="F36" s="3317"/>
      <c r="G36" s="3318"/>
    </row>
    <row r="37" spans="1:7">
      <c r="A37" s="3316" t="s">
        <v>2708</v>
      </c>
      <c r="B37" s="3317"/>
      <c r="C37" s="3317"/>
      <c r="D37" s="3317"/>
      <c r="E37" s="3317"/>
      <c r="F37" s="3317"/>
      <c r="G37" s="3318"/>
    </row>
    <row r="38" spans="1:7">
      <c r="A38" s="3316" t="s">
        <v>2709</v>
      </c>
      <c r="B38" s="3317"/>
      <c r="C38" s="3317"/>
      <c r="D38" s="3317"/>
      <c r="E38" s="3317"/>
      <c r="F38" s="3317"/>
      <c r="G38" s="3318"/>
    </row>
    <row r="39" spans="1:7">
      <c r="A39" s="3316"/>
      <c r="B39" s="3317"/>
      <c r="C39" s="3317"/>
      <c r="D39" s="3317"/>
      <c r="E39" s="3317"/>
      <c r="F39" s="3317"/>
      <c r="G39" s="3318"/>
    </row>
    <row r="40" spans="1:7">
      <c r="A40" s="3319" t="s">
        <v>2710</v>
      </c>
      <c r="B40" s="3320"/>
      <c r="C40" s="3320"/>
      <c r="D40" s="3320"/>
      <c r="E40" s="3320"/>
      <c r="F40" s="3320"/>
      <c r="G40" s="3321"/>
    </row>
    <row r="41" spans="1:7">
      <c r="A41" s="3322" t="s">
        <v>2711</v>
      </c>
      <c r="B41" s="3323" t="s">
        <v>2712</v>
      </c>
      <c r="C41" s="3324" t="s">
        <v>2713</v>
      </c>
      <c r="D41" s="3324" t="s">
        <v>2714</v>
      </c>
      <c r="E41" s="3325"/>
      <c r="F41" s="3326"/>
      <c r="G41" s="3327"/>
    </row>
    <row r="42" spans="1:7">
      <c r="A42" s="3322" t="s">
        <v>2715</v>
      </c>
      <c r="B42" s="3323" t="s">
        <v>2716</v>
      </c>
      <c r="C42" s="3324" t="s">
        <v>2716</v>
      </c>
      <c r="D42" s="3328" t="s">
        <v>2717</v>
      </c>
      <c r="E42" s="3320" t="s">
        <v>2718</v>
      </c>
      <c r="F42" s="3320"/>
      <c r="G42" s="3321"/>
    </row>
    <row r="43" spans="1:7">
      <c r="A43" s="3322" t="s">
        <v>2719</v>
      </c>
      <c r="B43" s="3323" t="s">
        <v>2720</v>
      </c>
      <c r="C43" s="3324" t="s">
        <v>2721</v>
      </c>
      <c r="D43" s="3324" t="s">
        <v>2722</v>
      </c>
      <c r="E43" s="3325" t="s">
        <v>2723</v>
      </c>
      <c r="F43" s="3326"/>
      <c r="G43" s="3327"/>
    </row>
    <row r="44" spans="1:7">
      <c r="A44" s="3322" t="s">
        <v>2724</v>
      </c>
      <c r="B44" s="3323" t="s">
        <v>2725</v>
      </c>
      <c r="C44" s="3324" t="s">
        <v>2726</v>
      </c>
      <c r="D44" s="3328">
        <v>0.5</v>
      </c>
      <c r="E44" s="3325" t="s">
        <v>2727</v>
      </c>
      <c r="F44" s="3326"/>
      <c r="G44" s="3327"/>
    </row>
    <row r="45" spans="1:7" ht="14.25" thickBot="1">
      <c r="A45" s="3329" t="s">
        <v>2728</v>
      </c>
      <c r="B45" s="3330" t="s">
        <v>2716</v>
      </c>
      <c r="C45" s="3331" t="s">
        <v>2716</v>
      </c>
      <c r="D45" s="3331" t="s">
        <v>2729</v>
      </c>
      <c r="E45" s="3332" t="s">
        <v>2730</v>
      </c>
      <c r="F45" s="3332"/>
      <c r="G45" s="3333"/>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F17" sqref="F17"/>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5" thickBot="1">
      <c r="A1" s="1461" t="s">
        <v>1457</v>
      </c>
      <c r="B1" s="3717" t="str">
        <f>IF(B10="北京市","北京市",C10)&amp;F10&amp;A17&amp;"国有建设用地使用权"&amp;B9&amp;"预评估"</f>
        <v>北京市出让国有建设用地使用权抵押价格预评估</v>
      </c>
      <c r="C1" s="3718"/>
      <c r="D1" s="3718"/>
      <c r="E1" s="3718"/>
      <c r="F1" s="3718"/>
      <c r="G1" s="3718"/>
      <c r="H1" s="3718"/>
      <c r="I1" s="3719"/>
      <c r="J1" s="2815"/>
      <c r="K1" s="2106" t="str">
        <f>IF(B10="北京市","北京市",C10)&amp;F10&amp;A17&amp;"国有建设用地使用权"&amp;B9</f>
        <v>北京市出让国有建设用地使用权抵押价格</v>
      </c>
      <c r="L1" s="2794"/>
      <c r="M1" s="2794"/>
      <c r="N1" s="2795"/>
      <c r="O1" s="2796"/>
      <c r="P1" s="2795"/>
      <c r="Q1" s="2795"/>
      <c r="R1" s="2795"/>
      <c r="S1" s="2795"/>
      <c r="T1" s="2795"/>
      <c r="U1" s="2795"/>
    </row>
    <row r="2" spans="1:21">
      <c r="A2" s="1462" t="s">
        <v>1458</v>
      </c>
      <c r="B2" s="1625"/>
      <c r="D2" s="2815"/>
      <c r="E2" s="2815"/>
      <c r="F2" s="2815"/>
      <c r="G2" s="2815"/>
      <c r="H2" s="2816"/>
      <c r="I2" s="2817"/>
      <c r="J2" s="2815"/>
      <c r="K2" s="2106" t="str">
        <f>IF(B10="北京市","北京市",C10)&amp;F10&amp;A17&amp;"国有建设用地使用权"</f>
        <v>北京市出让国有建设用地使用权</v>
      </c>
      <c r="L2" s="2794"/>
      <c r="M2" s="2794"/>
      <c r="N2" s="2795"/>
      <c r="O2" s="2796"/>
      <c r="P2" s="2795"/>
      <c r="Q2" s="2795"/>
      <c r="R2" s="2795"/>
      <c r="S2" s="2795"/>
      <c r="T2" s="2795"/>
      <c r="U2" s="2795"/>
    </row>
    <row r="3" spans="1:21">
      <c r="A3" s="1463" t="s">
        <v>1459</v>
      </c>
      <c r="B3" s="1464">
        <v>45175</v>
      </c>
      <c r="C3" s="2738" t="s">
        <v>1513</v>
      </c>
      <c r="D3" s="1464">
        <f>B3</f>
        <v>45175</v>
      </c>
      <c r="E3" s="2815"/>
      <c r="F3" s="2815"/>
      <c r="G3" s="2815"/>
      <c r="H3" s="2816"/>
      <c r="I3" s="2817"/>
      <c r="J3" s="2815"/>
      <c r="K3" s="2798"/>
      <c r="L3" s="2794"/>
      <c r="M3" s="2794"/>
      <c r="N3" s="2795"/>
      <c r="O3" s="2796"/>
      <c r="P3" s="2795"/>
      <c r="Q3" s="2795"/>
      <c r="R3" s="2795"/>
      <c r="S3" s="2795"/>
      <c r="T3" s="2795"/>
      <c r="U3" s="2795"/>
    </row>
    <row r="4" spans="1:21" ht="15" thickBot="1">
      <c r="A4" s="1466" t="s">
        <v>1460</v>
      </c>
      <c r="B4" s="1626" t="s">
        <v>2162</v>
      </c>
      <c r="C4" s="1629">
        <f>SUMIF(土地估价师,B4,估价师及机构信息!E3:E17)</f>
        <v>0</v>
      </c>
      <c r="D4" s="1626" t="s">
        <v>2162</v>
      </c>
      <c r="E4" s="1629">
        <f>SUMIF(土地估价师,D4,估价师及机构信息!E3:E17)</f>
        <v>0</v>
      </c>
      <c r="F4" s="1626" t="s">
        <v>877</v>
      </c>
      <c r="G4" s="1629">
        <f>SUMIF(土地估价师,F4,估价师及机构信息!E3:E17)</f>
        <v>0</v>
      </c>
      <c r="H4" s="1626" t="s">
        <v>877</v>
      </c>
      <c r="I4" s="1629">
        <f>SUMIF(土地估价师,H4,估价师及机构信息!E3:E17)</f>
        <v>0</v>
      </c>
      <c r="J4" s="2815"/>
      <c r="K4" s="2106" t="str">
        <f>IF(AND(F4="——",H4="——"),B4&amp;"、"&amp;D4,IF(AND(F4&lt;&gt;"——",H4="——"),B4&amp;"、"&amp;D4&amp;"、"&amp;F4,B4&amp;"、"&amp;D4&amp;"、"&amp;F4&amp;"、"&amp;H4))</f>
        <v>土地估价师、土地估价师</v>
      </c>
      <c r="L4" s="2794"/>
      <c r="M4" s="2794"/>
      <c r="N4" s="2795"/>
      <c r="O4" s="2796"/>
      <c r="P4" s="2795"/>
      <c r="Q4" s="2795"/>
      <c r="R4" s="2795"/>
      <c r="S4" s="2795"/>
      <c r="T4" s="2795"/>
      <c r="U4" s="2795"/>
    </row>
    <row r="5" spans="1:21" ht="15" thickTop="1">
      <c r="A5" s="1467" t="s">
        <v>1461</v>
      </c>
      <c r="B5" s="1574"/>
      <c r="C5" s="1468"/>
      <c r="D5" s="1469"/>
      <c r="E5" s="2815"/>
      <c r="F5" s="2815"/>
      <c r="G5" s="2815"/>
      <c r="H5" s="2816"/>
      <c r="I5" s="2817"/>
      <c r="J5" s="2815"/>
      <c r="K5" s="2798"/>
      <c r="L5" s="2794"/>
      <c r="M5" s="2794"/>
      <c r="N5" s="2795"/>
      <c r="O5" s="2796"/>
      <c r="P5" s="2795"/>
      <c r="Q5" s="2795"/>
      <c r="R5" s="2795"/>
      <c r="S5" s="2795"/>
      <c r="T5" s="2795"/>
      <c r="U5" s="2795"/>
    </row>
    <row r="6" spans="1:21" ht="26.25">
      <c r="A6" s="1465" t="s">
        <v>1988</v>
      </c>
      <c r="B6" s="1574"/>
      <c r="C6" s="1549"/>
      <c r="D6" s="1470"/>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1" t="s">
        <v>1989</v>
      </c>
      <c r="B7" s="1574"/>
      <c r="C7" s="1549"/>
      <c r="D7" s="1470"/>
      <c r="E7" s="2815"/>
      <c r="F7" s="2815"/>
      <c r="G7" s="2815"/>
      <c r="H7" s="2816"/>
      <c r="I7" s="2817"/>
      <c r="J7" s="2815"/>
      <c r="K7" s="2798"/>
      <c r="L7" s="2794"/>
      <c r="M7" s="2794"/>
      <c r="N7" s="2795"/>
      <c r="O7" s="2796"/>
      <c r="P7" s="2795"/>
      <c r="Q7" s="2795"/>
      <c r="R7" s="2795"/>
      <c r="S7" s="2795"/>
      <c r="T7" s="2795"/>
      <c r="U7" s="2795"/>
    </row>
    <row r="8" spans="1:21">
      <c r="A8" s="2739" t="s">
        <v>1462</v>
      </c>
      <c r="B8" s="1472" t="s">
        <v>3208</v>
      </c>
      <c r="C8" s="1473"/>
      <c r="D8" s="3723" t="s">
        <v>1464</v>
      </c>
      <c r="E8" s="1627" t="s">
        <v>3321</v>
      </c>
      <c r="F8" s="1474"/>
      <c r="G8" s="2816"/>
      <c r="H8" s="2816"/>
      <c r="I8" s="2819"/>
      <c r="J8" s="2815"/>
      <c r="K8" s="2798"/>
      <c r="L8" s="2794"/>
      <c r="M8" s="2794"/>
      <c r="N8" s="2795"/>
      <c r="O8" s="2796"/>
      <c r="P8" s="2795"/>
      <c r="Q8" s="2795"/>
      <c r="R8" s="2795"/>
      <c r="S8" s="2795"/>
      <c r="T8" s="2795"/>
      <c r="U8" s="2795"/>
    </row>
    <row r="9" spans="1:21" ht="15" thickBot="1">
      <c r="A9" s="2740" t="s">
        <v>1463</v>
      </c>
      <c r="B9" s="1475" t="s">
        <v>3321</v>
      </c>
      <c r="C9" s="1476"/>
      <c r="D9" s="3724"/>
      <c r="E9" s="1475" t="s">
        <v>2128</v>
      </c>
      <c r="F9" s="1535"/>
      <c r="G9" s="2820"/>
      <c r="H9" s="2820"/>
      <c r="I9" s="2821"/>
      <c r="J9" s="2815"/>
      <c r="K9" s="2798"/>
      <c r="L9" s="2794"/>
      <c r="M9" s="2794"/>
      <c r="N9" s="2795"/>
      <c r="O9" s="2796"/>
      <c r="P9" s="2795"/>
      <c r="Q9" s="2795"/>
      <c r="R9" s="2795"/>
      <c r="S9" s="2795"/>
      <c r="T9" s="2795"/>
      <c r="U9" s="2795"/>
    </row>
    <row r="10" spans="1:21" ht="15" thickTop="1">
      <c r="A10" s="2741" t="s">
        <v>1517</v>
      </c>
      <c r="B10" s="1512" t="s">
        <v>1465</v>
      </c>
      <c r="C10" s="1477"/>
      <c r="D10" s="1469"/>
      <c r="E10" s="1478" t="s">
        <v>1466</v>
      </c>
      <c r="F10" s="1479"/>
      <c r="G10" s="1533"/>
      <c r="H10" s="1534"/>
      <c r="I10" s="1469"/>
      <c r="J10" s="2815"/>
      <c r="K10" s="2798"/>
      <c r="L10" s="2794"/>
      <c r="M10" s="2794"/>
      <c r="N10" s="2795"/>
      <c r="O10" s="2796"/>
      <c r="P10" s="2795"/>
      <c r="Q10" s="2795"/>
      <c r="R10" s="2795"/>
      <c r="S10" s="2795"/>
      <c r="T10" s="2795"/>
      <c r="U10" s="2795"/>
    </row>
    <row r="11" spans="1:21">
      <c r="A11" s="2742" t="s">
        <v>1518</v>
      </c>
      <c r="B11" s="1492" t="s">
        <v>3322</v>
      </c>
      <c r="C11" s="1480"/>
      <c r="D11" s="1550"/>
      <c r="E11" s="2814"/>
      <c r="F11" s="2814"/>
      <c r="G11" s="2814"/>
      <c r="H11" s="2814"/>
      <c r="I11" s="2814"/>
      <c r="J11" s="2815"/>
      <c r="K11" s="2798"/>
      <c r="L11" s="2794"/>
      <c r="M11" s="2794"/>
      <c r="N11" s="2795"/>
      <c r="O11" s="2796"/>
      <c r="P11" s="2795"/>
      <c r="Q11" s="2795"/>
      <c r="R11" s="2795"/>
      <c r="S11" s="2795"/>
      <c r="T11" s="2795"/>
      <c r="U11" s="2795"/>
    </row>
    <row r="12" spans="1:21">
      <c r="A12" s="1570" t="s">
        <v>1576</v>
      </c>
      <c r="B12" s="3720"/>
      <c r="C12" s="3721"/>
      <c r="D12" s="3722"/>
      <c r="E12" s="1493" t="s">
        <v>1579</v>
      </c>
      <c r="F12" s="3738" t="s">
        <v>2163</v>
      </c>
      <c r="G12" s="3739"/>
      <c r="H12" s="3739"/>
      <c r="I12" s="3740"/>
      <c r="J12" s="2815"/>
      <c r="K12" s="2798"/>
      <c r="L12" s="2794"/>
      <c r="M12" s="2794"/>
      <c r="N12" s="2795"/>
      <c r="O12" s="2796"/>
      <c r="P12" s="2795"/>
      <c r="Q12" s="2795"/>
      <c r="R12" s="2795"/>
      <c r="S12" s="2795"/>
      <c r="T12" s="2795"/>
      <c r="U12" s="2795"/>
    </row>
    <row r="13" spans="1:21">
      <c r="A13" s="1484" t="s">
        <v>1577</v>
      </c>
      <c r="B13" s="3720"/>
      <c r="C13" s="3721"/>
      <c r="D13" s="3722"/>
      <c r="E13" s="1493" t="s">
        <v>1579</v>
      </c>
      <c r="F13" s="3738" t="s">
        <v>2164</v>
      </c>
      <c r="G13" s="3739"/>
      <c r="H13" s="3739"/>
      <c r="I13" s="3740"/>
      <c r="J13" s="2815"/>
      <c r="K13" s="2798"/>
      <c r="L13" s="2794"/>
      <c r="M13" s="2794"/>
      <c r="N13" s="2795"/>
      <c r="O13" s="2796"/>
      <c r="P13" s="2795"/>
      <c r="Q13" s="2795"/>
      <c r="R13" s="2795"/>
      <c r="S13" s="2795"/>
      <c r="T13" s="2795"/>
      <c r="U13" s="2795"/>
    </row>
    <row r="14" spans="1:21">
      <c r="A14" s="1463" t="s">
        <v>1580</v>
      </c>
      <c r="B14" s="1493"/>
      <c r="C14" s="1628"/>
      <c r="D14" s="1526" t="str">
        <f>IF(C14="不一致","是否符合证载地类范围","")</f>
        <v/>
      </c>
      <c r="E14" s="1493"/>
      <c r="F14" s="1575"/>
      <c r="G14" s="1521"/>
      <c r="H14" s="1521"/>
      <c r="I14" s="1621"/>
      <c r="J14" s="2815"/>
      <c r="K14" s="2798"/>
      <c r="L14" s="2794"/>
      <c r="M14" s="2794"/>
      <c r="N14" s="2795"/>
      <c r="O14" s="2796"/>
      <c r="P14" s="2795"/>
      <c r="Q14" s="2795"/>
      <c r="R14" s="2795"/>
      <c r="S14" s="2795"/>
      <c r="T14" s="2795"/>
      <c r="U14" s="2795"/>
    </row>
    <row r="15" spans="1:21">
      <c r="A15" s="2249"/>
      <c r="B15" s="1465"/>
      <c r="C15" s="3281" t="s">
        <v>1469</v>
      </c>
      <c r="D15" s="3281" t="s">
        <v>1470</v>
      </c>
      <c r="E15" s="3281" t="s">
        <v>1179</v>
      </c>
      <c r="F15" s="1483" t="s">
        <v>1471</v>
      </c>
      <c r="G15" s="1483" t="s">
        <v>1472</v>
      </c>
      <c r="H15" s="1483" t="s">
        <v>776</v>
      </c>
      <c r="I15" s="1483" t="s">
        <v>2732</v>
      </c>
      <c r="J15" s="2815"/>
      <c r="K15" s="2798"/>
      <c r="L15" s="2794"/>
      <c r="M15" s="2794"/>
      <c r="N15" s="2795"/>
      <c r="O15" s="2796"/>
      <c r="P15" s="2795"/>
      <c r="Q15" s="2795"/>
      <c r="R15" s="2795"/>
      <c r="S15" s="2795"/>
      <c r="T15" s="2795"/>
      <c r="U15" s="2795"/>
    </row>
    <row r="16" spans="1:21" ht="28.5">
      <c r="A16" s="2743" t="s">
        <v>1467</v>
      </c>
      <c r="B16" s="1493" t="s">
        <v>1468</v>
      </c>
      <c r="C16" s="3281" t="s">
        <v>1469</v>
      </c>
      <c r="D16" s="1515" t="s">
        <v>2733</v>
      </c>
      <c r="E16" s="1515" t="s">
        <v>1212</v>
      </c>
      <c r="F16" s="1515" t="s">
        <v>2734</v>
      </c>
      <c r="G16" s="1515" t="s">
        <v>2735</v>
      </c>
      <c r="H16" s="1483" t="s">
        <v>776</v>
      </c>
      <c r="I16" s="1483" t="s">
        <v>2732</v>
      </c>
      <c r="J16" s="2815"/>
      <c r="K16" s="2107" t="str">
        <f>IF(D17="","",D16&amp;TEXT(D17,"yyyy年m月d日;;"))</f>
        <v>商业2063年8月2日</v>
      </c>
      <c r="L16" s="1493" t="str">
        <f>IF(OR(K16="",M16=""),"","、")</f>
        <v/>
      </c>
      <c r="M16" s="2107" t="str">
        <f>IF(E17="","",E16&amp;TEXT(E17,"yyyy年m月d日;;"))</f>
        <v/>
      </c>
      <c r="N16" s="1493" t="str">
        <f>IF(OR(M16="",O16=""),"","、")</f>
        <v/>
      </c>
      <c r="O16" s="2107" t="str">
        <f>IF(F17="","",F16&amp;TEXT(F17,"yyyy年m月d日;;"))</f>
        <v>车库2073年8月2日</v>
      </c>
      <c r="P16" s="1493" t="str">
        <f>IF(OR(O16="",Q16=""),"","、")</f>
        <v/>
      </c>
      <c r="Q16" s="2107" t="str">
        <f>IF(G17="","",G16&amp;TEXT(G17,"yyyy年m月d日;;"))</f>
        <v/>
      </c>
      <c r="R16" s="1493" t="str">
        <f>IF(OR(Q16="",S16=""),"","、")</f>
        <v/>
      </c>
      <c r="S16" s="2107" t="str">
        <f>IF(H17="","",H16&amp;TEXT(H17,"yyyy年m月d日;;"))</f>
        <v/>
      </c>
      <c r="T16" s="1493" t="str">
        <f>IF(OR(S16="",U16=""),"","、")</f>
        <v/>
      </c>
      <c r="U16" s="2107" t="str">
        <f>IF(I17="","",I16&amp;TEXT(I17,"yyyy年m月d日;;"))</f>
        <v/>
      </c>
    </row>
    <row r="17" spans="1:21">
      <c r="A17" s="3335" t="s">
        <v>2736</v>
      </c>
      <c r="B17" s="2744" t="s">
        <v>1473</v>
      </c>
      <c r="C17" s="3334">
        <v>70708</v>
      </c>
      <c r="D17" s="3334">
        <v>59750</v>
      </c>
      <c r="E17" s="3334"/>
      <c r="F17" s="3334">
        <v>63403</v>
      </c>
      <c r="G17" s="3334"/>
      <c r="H17" s="3334"/>
      <c r="I17" s="3334"/>
      <c r="J17" s="2815"/>
      <c r="K17" s="2793" t="str">
        <f>CONCATENATE(K16,L16,M16,N16,O16,P16,Q16,R16,S16,T16,,U16)</f>
        <v>商业2063年8月2日车库2073年8月2日</v>
      </c>
      <c r="L17" s="2794"/>
      <c r="M17" s="2794"/>
      <c r="N17" s="2795"/>
      <c r="O17" s="2796"/>
      <c r="P17" s="2795"/>
      <c r="Q17" s="2795"/>
      <c r="R17" s="2795"/>
      <c r="S17" s="2795"/>
      <c r="T17" s="2795"/>
      <c r="U17" s="2795"/>
    </row>
    <row r="18" spans="1:21">
      <c r="A18" s="1551"/>
      <c r="B18" s="2744" t="s">
        <v>1474</v>
      </c>
      <c r="C18" s="1481">
        <v>70</v>
      </c>
      <c r="D18" s="1481">
        <v>40</v>
      </c>
      <c r="E18" s="1481"/>
      <c r="F18" s="1481">
        <v>50</v>
      </c>
      <c r="G18" s="1481"/>
      <c r="H18" s="1481"/>
      <c r="I18" s="1481"/>
      <c r="J18" s="2815"/>
      <c r="K18" s="2798"/>
      <c r="L18" s="2794"/>
      <c r="M18" s="2794"/>
      <c r="N18" s="2795"/>
      <c r="O18" s="2796"/>
      <c r="P18" s="2795"/>
      <c r="Q18" s="2795"/>
      <c r="R18" s="2795"/>
      <c r="S18" s="2795"/>
      <c r="T18" s="2795"/>
      <c r="U18" s="2795"/>
    </row>
    <row r="19" spans="1:21">
      <c r="A19" s="1551"/>
      <c r="B19" s="1462" t="s">
        <v>1475</v>
      </c>
      <c r="C19" s="1546">
        <f>IF(A17="出让",IF(C17="","",ROUNDDOWN(MIN((C17-$D$3)/365,C18),2)),C18)</f>
        <v>69.95</v>
      </c>
      <c r="D19" s="1546">
        <f>IF(A17="出让",IF(D17="","",ROUNDDOWN(MIN((D17-$D$3)/365,D18),2)),D18)</f>
        <v>39.93</v>
      </c>
      <c r="E19" s="1482" t="str">
        <f>IF(A17="出让",IF(E17="","",ROUNDDOWN(MIN((E17-$D$3)/365,E18),2)),E18)</f>
        <v/>
      </c>
      <c r="F19" s="1482">
        <f>IF(A17="出让",IF(F17="","",ROUNDDOWN(MIN((F17-$D$3)/365,F18),2)),F18)</f>
        <v>49.93</v>
      </c>
      <c r="G19" s="1482" t="str">
        <f>IF(A17="出让",IF(G17="","",ROUNDDOWN(MIN((G17-$D$3)/365,G18),2)),G18)</f>
        <v/>
      </c>
      <c r="H19" s="1482" t="str">
        <f>IF(A17="出让",IF(H17="","",ROUNDDOWN(MIN((H17-$D$3)/365,H18),2)),H18)</f>
        <v/>
      </c>
      <c r="I19" s="1482" t="str">
        <f>IF(A17="出让",IF(I17="","",ROUNDDOWN(MIN((I17-$D$3)/365,I18),2)),I18)</f>
        <v/>
      </c>
      <c r="J19" s="2815"/>
      <c r="K19" s="2798"/>
      <c r="L19" s="2794"/>
      <c r="M19" s="2794"/>
      <c r="N19" s="2795"/>
      <c r="O19" s="2796"/>
      <c r="P19" s="2795"/>
      <c r="Q19" s="2795"/>
      <c r="R19" s="2795"/>
      <c r="S19" s="2795"/>
      <c r="T19" s="2795"/>
      <c r="U19" s="2795"/>
    </row>
    <row r="20" spans="1:21">
      <c r="A20" s="1571"/>
      <c r="B20" s="1572"/>
      <c r="C20" s="1573" t="s">
        <v>1578</v>
      </c>
      <c r="D20" s="3735">
        <f>C19</f>
        <v>69.95</v>
      </c>
      <c r="E20" s="3736"/>
      <c r="F20" s="3736"/>
      <c r="G20" s="3736"/>
      <c r="H20" s="3736"/>
      <c r="I20" s="3737"/>
      <c r="J20" s="2815"/>
      <c r="K20" s="2798"/>
      <c r="L20" s="2794"/>
      <c r="M20" s="2794"/>
      <c r="N20" s="2795"/>
      <c r="O20" s="2796"/>
      <c r="P20" s="2795"/>
      <c r="Q20" s="2795"/>
      <c r="R20" s="2795"/>
      <c r="S20" s="2795"/>
      <c r="T20" s="2795"/>
      <c r="U20" s="2795"/>
    </row>
    <row r="21" spans="1:21">
      <c r="A21" s="1551" t="s">
        <v>1476</v>
      </c>
      <c r="B21" s="1552" t="s">
        <v>1477</v>
      </c>
      <c r="C21" s="1547">
        <f>'数据-汇总表'!E3</f>
        <v>59771.28</v>
      </c>
      <c r="D21" s="1548" t="s">
        <v>1478</v>
      </c>
      <c r="E21" s="3725" t="s">
        <v>1516</v>
      </c>
      <c r="F21" s="3726"/>
      <c r="G21" s="3726"/>
      <c r="H21" s="3726"/>
      <c r="I21" s="3727"/>
      <c r="J21" s="2815"/>
      <c r="K21" s="2798"/>
      <c r="L21" s="2794"/>
      <c r="M21" s="2794"/>
      <c r="N21" s="2795"/>
      <c r="O21" s="2796"/>
      <c r="P21" s="2795"/>
      <c r="Q21" s="2795"/>
      <c r="R21" s="2795"/>
      <c r="S21" s="2795"/>
      <c r="T21" s="2795"/>
      <c r="U21" s="2795"/>
    </row>
    <row r="22" spans="1:21">
      <c r="A22" s="2555" t="s">
        <v>877</v>
      </c>
      <c r="B22" s="1463" t="s">
        <v>1479</v>
      </c>
      <c r="C22" s="1483">
        <f>'数据-汇总表'!D3</f>
        <v>18265.05</v>
      </c>
      <c r="D22" s="1484" t="s">
        <v>1478</v>
      </c>
      <c r="E22" s="3725" t="s">
        <v>2165</v>
      </c>
      <c r="F22" s="3726"/>
      <c r="G22" s="3726"/>
      <c r="H22" s="3726"/>
      <c r="I22" s="3727"/>
      <c r="J22" s="2815"/>
      <c r="K22" s="2798"/>
      <c r="L22" s="2794"/>
      <c r="M22" s="2794"/>
      <c r="N22" s="2795"/>
      <c r="O22" s="2796"/>
      <c r="P22" s="2795"/>
      <c r="Q22" s="2795"/>
      <c r="R22" s="2795"/>
      <c r="S22" s="2795"/>
      <c r="T22" s="2795"/>
      <c r="U22" s="2795"/>
    </row>
    <row r="23" spans="1:21" ht="29.25" thickBot="1">
      <c r="A23" s="1553" t="s">
        <v>1480</v>
      </c>
      <c r="B23" s="1494" t="s">
        <v>1481</v>
      </c>
      <c r="C23" s="1495" t="s">
        <v>3296</v>
      </c>
      <c r="D23" s="1496" t="s">
        <v>1482</v>
      </c>
      <c r="E23" s="1497"/>
      <c r="F23" s="1498" t="str">
        <f>IF(AND(C23="是",E23="否"),"是否提供他项权证或相关说明","")</f>
        <v/>
      </c>
      <c r="G23" s="1499"/>
      <c r="H23" s="2815"/>
      <c r="I23" s="2819"/>
      <c r="J23" s="2815"/>
      <c r="K23" s="2798"/>
      <c r="L23" s="2794"/>
      <c r="M23" s="2794"/>
      <c r="N23" s="2795"/>
      <c r="O23" s="2796"/>
      <c r="P23" s="2795"/>
      <c r="Q23" s="2795"/>
      <c r="R23" s="2795"/>
      <c r="S23" s="2795"/>
      <c r="T23" s="2795"/>
      <c r="U23" s="2795"/>
    </row>
    <row r="24" spans="1:21">
      <c r="A24" s="1538" t="s">
        <v>1483</v>
      </c>
      <c r="B24" s="3728" t="s">
        <v>1484</v>
      </c>
      <c r="C24" s="3729"/>
      <c r="D24" s="3730" t="s">
        <v>1485</v>
      </c>
      <c r="E24" s="3731"/>
      <c r="F24" s="1501" t="s">
        <v>1486</v>
      </c>
      <c r="G24" s="2815"/>
      <c r="H24" s="2815"/>
      <c r="I24" s="2819"/>
      <c r="J24" s="2815"/>
      <c r="K24" s="3716" t="s">
        <v>1487</v>
      </c>
      <c r="L24" s="21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6"/>
      <c r="N24" s="2795"/>
      <c r="O24" s="2796"/>
      <c r="P24" s="2795"/>
      <c r="Q24" s="2795"/>
      <c r="R24" s="2795"/>
      <c r="S24" s="2795"/>
      <c r="T24" s="2795"/>
      <c r="U24" s="2795"/>
    </row>
    <row r="25" spans="1:21" ht="28.5">
      <c r="A25" s="1539"/>
      <c r="B25" s="1536" t="s">
        <v>1682</v>
      </c>
      <c r="C25" s="1502" t="s">
        <v>1488</v>
      </c>
      <c r="D25" s="1503"/>
      <c r="E25" s="1504" t="s">
        <v>877</v>
      </c>
      <c r="F25" s="1505"/>
      <c r="G25" s="2815"/>
      <c r="H25" s="2815"/>
      <c r="I25" s="2819"/>
      <c r="J25" s="2815"/>
      <c r="K25" s="3716"/>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516"/>
      <c r="N25" s="2795"/>
      <c r="O25" s="2796"/>
      <c r="P25" s="2795"/>
      <c r="Q25" s="2795"/>
      <c r="R25" s="2795"/>
      <c r="S25" s="2795"/>
      <c r="T25" s="2795"/>
      <c r="U25" s="2795"/>
    </row>
    <row r="26" spans="1:21" ht="29.25" thickBot="1">
      <c r="A26" s="1540"/>
      <c r="B26" s="1537" t="s">
        <v>1489</v>
      </c>
      <c r="C26" s="1502" t="s">
        <v>1683</v>
      </c>
      <c r="D26" s="2816"/>
      <c r="E26" s="2816"/>
      <c r="F26" s="2822"/>
      <c r="G26" s="2815"/>
      <c r="H26" s="2815"/>
      <c r="I26" s="2819"/>
      <c r="J26" s="2815"/>
      <c r="K26" s="3716"/>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1490</v>
      </c>
      <c r="B27" s="1541" t="s">
        <v>1491</v>
      </c>
      <c r="C27" s="1506"/>
      <c r="D27" s="2254" t="s">
        <v>1491</v>
      </c>
      <c r="E27" s="1507"/>
      <c r="F27" s="2822"/>
      <c r="G27" s="2815"/>
      <c r="H27" s="2815"/>
      <c r="I27" s="2819"/>
      <c r="J27" s="2815"/>
      <c r="K27" s="2798"/>
      <c r="L27" s="2794"/>
      <c r="M27" s="2794"/>
      <c r="N27" s="2795"/>
      <c r="O27" s="2796"/>
      <c r="P27" s="2795"/>
      <c r="Q27" s="2795"/>
      <c r="R27" s="2795"/>
      <c r="S27" s="2795"/>
      <c r="T27" s="2795"/>
      <c r="U27" s="2795"/>
    </row>
    <row r="28" spans="1:21">
      <c r="A28" s="1544"/>
      <c r="B28" s="1541" t="s">
        <v>1492</v>
      </c>
      <c r="C28" s="1508"/>
      <c r="D28" s="2255" t="s">
        <v>1492</v>
      </c>
      <c r="E28" s="1509"/>
      <c r="F28" s="2822"/>
      <c r="G28" s="2815"/>
      <c r="H28" s="2815"/>
      <c r="I28" s="2819"/>
      <c r="J28" s="2815"/>
      <c r="K28" s="2798"/>
      <c r="L28" s="2794"/>
      <c r="M28" s="2794"/>
      <c r="N28" s="2795"/>
      <c r="O28" s="2796"/>
      <c r="P28" s="2795"/>
      <c r="Q28" s="2795"/>
      <c r="R28" s="2795"/>
      <c r="S28" s="2795"/>
      <c r="T28" s="2795"/>
      <c r="U28" s="2795"/>
    </row>
    <row r="29" spans="1:21">
      <c r="A29" s="1544"/>
      <c r="B29" s="1541" t="s">
        <v>1493</v>
      </c>
      <c r="C29" s="1508"/>
      <c r="D29" s="2255" t="s">
        <v>1493</v>
      </c>
      <c r="E29" s="1509"/>
      <c r="F29" s="2822"/>
      <c r="G29" s="2815"/>
      <c r="H29" s="2815"/>
      <c r="I29" s="2819"/>
      <c r="J29" s="2815"/>
      <c r="K29" s="2798"/>
      <c r="L29" s="2794"/>
      <c r="M29" s="2794"/>
      <c r="N29" s="2795"/>
      <c r="O29" s="2796"/>
      <c r="P29" s="2795"/>
      <c r="Q29" s="2795"/>
      <c r="R29" s="2795"/>
      <c r="S29" s="2795"/>
      <c r="T29" s="2795"/>
      <c r="U29" s="2795"/>
    </row>
    <row r="30" spans="1:21" ht="15" thickBot="1">
      <c r="A30" s="1545"/>
      <c r="B30" s="1542" t="s">
        <v>1494</v>
      </c>
      <c r="C30" s="1510"/>
      <c r="D30" s="2256" t="s">
        <v>1494</v>
      </c>
      <c r="E30" s="1511"/>
      <c r="F30" s="2823"/>
      <c r="G30" s="2820"/>
      <c r="H30" s="2820"/>
      <c r="I30" s="2821"/>
      <c r="J30" s="2815"/>
      <c r="K30" s="2798"/>
      <c r="L30" s="2794"/>
      <c r="M30" s="2794"/>
      <c r="N30" s="2795"/>
      <c r="O30" s="2796"/>
      <c r="P30" s="2795"/>
      <c r="Q30" s="2795"/>
      <c r="R30" s="2795"/>
      <c r="S30" s="2795"/>
      <c r="T30" s="2795"/>
      <c r="U30" s="2795"/>
    </row>
    <row r="31" spans="1:21" ht="15" thickTop="1">
      <c r="A31" s="3702" t="s">
        <v>1519</v>
      </c>
      <c r="B31" s="1552" t="s">
        <v>1520</v>
      </c>
      <c r="C31" s="3741" t="s">
        <v>3323</v>
      </c>
      <c r="D31" s="3742"/>
      <c r="E31" s="2815"/>
      <c r="F31" s="2815"/>
      <c r="G31" s="2815"/>
      <c r="H31" s="2815"/>
      <c r="I31" s="2819"/>
      <c r="J31" s="2815"/>
      <c r="K31" s="2801"/>
      <c r="L31" s="2795"/>
      <c r="M31" s="2795"/>
      <c r="N31" s="2795"/>
      <c r="O31" s="2795"/>
      <c r="P31" s="2795"/>
      <c r="Q31" s="2795"/>
      <c r="R31" s="2795"/>
      <c r="S31" s="2795"/>
      <c r="T31" s="2795"/>
      <c r="U31" s="2795"/>
    </row>
    <row r="32" spans="1:21">
      <c r="A32" s="3702"/>
      <c r="B32" s="1463" t="s">
        <v>1521</v>
      </c>
      <c r="C32" s="1512" t="s">
        <v>3324</v>
      </c>
      <c r="D32" s="1513"/>
      <c r="E32" s="2815"/>
      <c r="F32" s="2815"/>
      <c r="G32" s="2815"/>
      <c r="H32" s="2815"/>
      <c r="I32" s="2819"/>
      <c r="J32" s="2815"/>
      <c r="K32" s="2801"/>
      <c r="L32" s="2795"/>
      <c r="M32" s="2795"/>
      <c r="N32" s="2795"/>
      <c r="O32" s="2795"/>
      <c r="P32" s="2795"/>
      <c r="Q32" s="2795"/>
      <c r="R32" s="2795"/>
      <c r="S32" s="2795"/>
      <c r="T32" s="2795"/>
      <c r="U32" s="2795"/>
    </row>
    <row r="33" spans="1:28">
      <c r="A33" s="3702"/>
      <c r="B33" s="1463" t="s">
        <v>1522</v>
      </c>
      <c r="C33" s="1514"/>
      <c r="D33" s="1622"/>
      <c r="E33" s="2815"/>
      <c r="F33" s="2815"/>
      <c r="G33" s="2815"/>
      <c r="H33" s="2815"/>
      <c r="I33" s="2819"/>
      <c r="J33" s="2815"/>
      <c r="K33" s="2801"/>
      <c r="L33" s="2795"/>
      <c r="M33" s="2795"/>
      <c r="N33" s="2795"/>
      <c r="O33" s="2795"/>
      <c r="P33" s="2795"/>
      <c r="Q33" s="2795"/>
      <c r="R33" s="2795"/>
      <c r="S33" s="2795"/>
      <c r="T33" s="2795"/>
      <c r="U33" s="2795"/>
    </row>
    <row r="34" spans="1:28">
      <c r="A34" s="3703"/>
      <c r="B34" s="1463" t="s">
        <v>1523</v>
      </c>
      <c r="C34" s="3704"/>
      <c r="D34" s="3705"/>
      <c r="E34" s="2815"/>
      <c r="F34" s="2815"/>
      <c r="G34" s="2815"/>
      <c r="H34" s="2815"/>
      <c r="I34" s="2819"/>
      <c r="J34" s="2815"/>
      <c r="K34" s="2801"/>
      <c r="L34" s="2795"/>
      <c r="M34" s="2795"/>
      <c r="N34" s="2795"/>
      <c r="O34" s="2795"/>
      <c r="P34" s="2795"/>
      <c r="Q34" s="2795"/>
      <c r="R34" s="2795"/>
      <c r="S34" s="2795"/>
      <c r="T34" s="2795"/>
      <c r="U34" s="2795"/>
    </row>
    <row r="35" spans="1:28">
      <c r="A35" s="3706" t="s">
        <v>785</v>
      </c>
      <c r="B35" s="1515"/>
      <c r="C35" s="1561" t="str">
        <f>IF(B35="场地平整","——","具体情况：")</f>
        <v>具体情况：</v>
      </c>
      <c r="D35" s="3708"/>
      <c r="E35" s="3709"/>
      <c r="F35" s="3709"/>
      <c r="G35" s="3709"/>
      <c r="H35" s="3709"/>
      <c r="I35" s="3710"/>
      <c r="J35" s="2815"/>
      <c r="K35" s="2802"/>
      <c r="L35" s="2794"/>
      <c r="M35" s="2794"/>
      <c r="N35" s="2795"/>
      <c r="O35" s="2796"/>
      <c r="P35" s="2795"/>
      <c r="Q35" s="2795"/>
      <c r="R35" s="2795"/>
      <c r="S35" s="2795"/>
      <c r="T35" s="2795"/>
      <c r="U35" s="2795"/>
    </row>
    <row r="36" spans="1:28">
      <c r="A36" s="3702"/>
      <c r="B36" s="3711" t="s">
        <v>1572</v>
      </c>
      <c r="C36" s="3712"/>
      <c r="D36" s="1577"/>
      <c r="E36" s="3713"/>
      <c r="F36" s="3713"/>
      <c r="G36" s="1484" t="str">
        <f>IF(B35="场地未平整","估价结果处理","")</f>
        <v/>
      </c>
      <c r="H36" s="3714"/>
      <c r="I36" s="3714"/>
      <c r="J36" s="2815"/>
      <c r="K36" s="2802"/>
      <c r="L36" s="2794"/>
      <c r="M36" s="2794"/>
      <c r="N36" s="2795"/>
      <c r="O36" s="2796"/>
      <c r="P36" s="2795"/>
      <c r="Q36" s="2795"/>
      <c r="R36" s="2795"/>
      <c r="S36" s="2795"/>
      <c r="T36" s="2795"/>
      <c r="U36" s="2795"/>
    </row>
    <row r="37" spans="1:28" ht="28.5">
      <c r="A37" s="3702"/>
      <c r="B37" s="3732" t="s">
        <v>786</v>
      </c>
      <c r="C37" s="1517" t="s">
        <v>787</v>
      </c>
      <c r="D37" s="1518"/>
      <c r="E37" s="1519"/>
      <c r="F37" s="2815"/>
      <c r="G37" s="2815"/>
      <c r="H37" s="2815"/>
      <c r="I37" s="2819"/>
      <c r="J37" s="2815"/>
      <c r="K37" s="2802"/>
      <c r="L37" s="2795"/>
      <c r="M37" s="2795"/>
      <c r="N37" s="2795"/>
      <c r="O37" s="2795"/>
      <c r="P37" s="2795"/>
      <c r="Q37" s="2795"/>
      <c r="R37" s="2795"/>
      <c r="S37" s="2795"/>
      <c r="T37" s="2795"/>
      <c r="U37" s="2795"/>
    </row>
    <row r="38" spans="1:28">
      <c r="A38" s="3702"/>
      <c r="B38" s="3733"/>
      <c r="C38" s="1471" t="s">
        <v>788</v>
      </c>
      <c r="D38" s="1576">
        <f>ROUNDDOWN(MIN(('数据-取费表'!$B$2-D37)/365,D34),1)</f>
        <v>123.7</v>
      </c>
      <c r="E38" s="1520" t="s">
        <v>789</v>
      </c>
      <c r="F38" s="2815"/>
      <c r="G38" s="2815"/>
      <c r="H38" s="2815"/>
      <c r="I38" s="2819"/>
      <c r="J38" s="2815"/>
      <c r="K38" s="2802"/>
      <c r="L38" s="2795"/>
      <c r="M38" s="2795"/>
      <c r="N38" s="2795"/>
      <c r="O38" s="2795"/>
      <c r="P38" s="2795"/>
      <c r="Q38" s="2795"/>
      <c r="R38" s="2795"/>
      <c r="S38" s="2795"/>
      <c r="T38" s="2795"/>
      <c r="U38" s="2795"/>
    </row>
    <row r="39" spans="1:28">
      <c r="A39" s="3703"/>
      <c r="B39" s="3734"/>
      <c r="C39" s="1491" t="str">
        <f>IF(D38&lt;1,"不存在土地闲置",IF(B35="宗地内已开工建设","已开工，不存在土地闲置","估价对象已涉嫌土地闲置"))</f>
        <v>估价对象已涉嫌土地闲置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1495</v>
      </c>
      <c r="B40" s="1485"/>
      <c r="C40" s="1485"/>
      <c r="D40" s="1485"/>
      <c r="E40" s="1485"/>
      <c r="F40" s="1485"/>
      <c r="G40" s="1485"/>
      <c r="H40" s="1485"/>
      <c r="I40" s="2819"/>
      <c r="J40" s="2815"/>
      <c r="K40" s="2763">
        <f>COUNTIF(B40:H40,"——")</f>
        <v>0</v>
      </c>
      <c r="L40" s="1493" t="s">
        <v>1496</v>
      </c>
      <c r="M40" s="1490" t="s">
        <v>1497</v>
      </c>
      <c r="N40" s="1490" t="s">
        <v>1498</v>
      </c>
      <c r="O40" s="1490" t="s">
        <v>1499</v>
      </c>
      <c r="P40" s="1490" t="s">
        <v>1500</v>
      </c>
      <c r="Q40" s="1490" t="s">
        <v>1501</v>
      </c>
      <c r="R40" s="1490" t="s">
        <v>1502</v>
      </c>
      <c r="S40" s="3715" t="s">
        <v>1503</v>
      </c>
      <c r="T40" s="1524" t="str">
        <f>NUMBERSTRING(7-K40,1)&amp;"通"</f>
        <v>七通</v>
      </c>
      <c r="U40" s="2795"/>
    </row>
    <row r="41" spans="1:28">
      <c r="A41" s="1465"/>
      <c r="B41" s="3707" t="s">
        <v>1250</v>
      </c>
      <c r="C41" s="3707"/>
      <c r="D41" s="3707"/>
      <c r="E41" s="3707"/>
      <c r="F41" s="1525">
        <f>C10</f>
        <v>0</v>
      </c>
      <c r="G41" s="2815"/>
      <c r="H41" s="2815"/>
      <c r="I41" s="2819"/>
      <c r="J41" s="2815"/>
      <c r="K41" s="1493"/>
      <c r="L41" s="1490">
        <f>B40</f>
        <v>0</v>
      </c>
      <c r="M41" s="1526" t="str">
        <f>B40&amp;"、"&amp;C40</f>
        <v>、</v>
      </c>
      <c r="N41" s="1527" t="str">
        <f>B40&amp;"、"&amp;C40&amp;"、"&amp;D40</f>
        <v>、、</v>
      </c>
      <c r="O41" s="1527" t="str">
        <f>B40&amp;"、"&amp;C40&amp;"、"&amp;D40&amp;"、"&amp;E40</f>
        <v>、、、</v>
      </c>
      <c r="P41" s="1527" t="str">
        <f>B40&amp;"、"&amp;C40&amp;"、"&amp;D40&amp;"、"&amp;E40&amp;"、"&amp;F40</f>
        <v>、、、、</v>
      </c>
      <c r="Q41" s="1527" t="str">
        <f>B40&amp;"、"&amp;C40&amp;"、"&amp;D40&amp;"、"&amp;E40&amp;"、"&amp;F40&amp;"、"&amp;G40</f>
        <v>、、、、、</v>
      </c>
      <c r="R41" s="1527" t="str">
        <f>B40&amp;"、"&amp;C40&amp;"、"&amp;D40&amp;"、"&amp;E40&amp;"、"&amp;F40&amp;"、"&amp;G40&amp;"、"&amp;H40</f>
        <v>、、、、、、</v>
      </c>
      <c r="S41" s="3715"/>
      <c r="T41" s="1526" t="str">
        <f>IF(T40="一通",L41,IF(T40="二通",M41,IF(T40="三通",N41,IF(T40="四通",O41,IF(T40="五通",P41,IF(T40="六通",Q41,R41))))))</f>
        <v>、、、、、、</v>
      </c>
      <c r="U41" s="2795"/>
    </row>
    <row r="42" spans="1:28">
      <c r="A42" s="1528"/>
      <c r="B42" s="1554" t="s">
        <v>1422</v>
      </c>
      <c r="C42" s="1554" t="s">
        <v>1423</v>
      </c>
      <c r="D42" s="1554" t="s">
        <v>1424</v>
      </c>
      <c r="E42" s="3281" t="s">
        <v>2737</v>
      </c>
      <c r="F42" s="3281" t="s">
        <v>2738</v>
      </c>
      <c r="G42" s="2815"/>
      <c r="H42" s="2815"/>
      <c r="I42" s="2819"/>
      <c r="J42" s="2815"/>
      <c r="K42" s="2798"/>
      <c r="L42" s="2794"/>
      <c r="M42" s="2794"/>
      <c r="N42" s="2795"/>
      <c r="O42" s="2796"/>
      <c r="P42" s="2795"/>
      <c r="Q42" s="2795"/>
      <c r="R42" s="2795"/>
      <c r="S42" s="2795"/>
      <c r="T42" s="2795"/>
      <c r="U42" s="2795"/>
    </row>
    <row r="43" spans="1:28">
      <c r="A43" s="2766" t="s">
        <v>1235</v>
      </c>
      <c r="B43" s="1530"/>
      <c r="C43" s="1530"/>
      <c r="D43" s="1530" t="s">
        <v>1153</v>
      </c>
      <c r="E43" s="1530"/>
      <c r="F43" s="1530"/>
      <c r="G43" s="2815"/>
      <c r="H43" s="2815"/>
      <c r="I43" s="2819"/>
      <c r="J43" s="2815"/>
      <c r="K43" s="2798"/>
      <c r="L43" s="2794"/>
      <c r="M43" s="2794"/>
      <c r="N43" s="2795"/>
      <c r="O43" s="2796"/>
      <c r="P43" s="2795"/>
      <c r="Q43" s="2795"/>
      <c r="R43" s="2795"/>
      <c r="S43" s="2795"/>
      <c r="T43" s="2795"/>
      <c r="U43" s="2795"/>
    </row>
    <row r="44" spans="1:28">
      <c r="A44" s="2766" t="s">
        <v>1236</v>
      </c>
      <c r="B44" s="1530"/>
      <c r="C44" s="1530"/>
      <c r="D44" s="1530" t="s">
        <v>2858</v>
      </c>
      <c r="E44" s="1577"/>
      <c r="F44" s="1577"/>
      <c r="G44" s="2815"/>
      <c r="H44" s="2815"/>
      <c r="I44" s="2819"/>
      <c r="J44" s="2815"/>
      <c r="K44" s="2798"/>
      <c r="L44" s="2794"/>
      <c r="M44" s="2794"/>
      <c r="N44" s="2795"/>
      <c r="O44" s="2796"/>
      <c r="P44" s="2795"/>
      <c r="Q44" s="2795"/>
      <c r="R44" s="2795"/>
      <c r="S44" s="2795"/>
      <c r="T44" s="2795"/>
      <c r="U44" s="2795"/>
    </row>
    <row r="45" spans="1:28" s="2528" customFormat="1" ht="21" thickBot="1">
      <c r="A45" s="2529" t="s">
        <v>2166</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1524</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28.5">
      <c r="A48" s="1493" t="s">
        <v>1525</v>
      </c>
      <c r="B48" s="1483" t="s">
        <v>1526</v>
      </c>
      <c r="C48" s="1483" t="s">
        <v>1527</v>
      </c>
      <c r="D48" s="1483" t="s">
        <v>1528</v>
      </c>
      <c r="E48" s="1483" t="s">
        <v>1529</v>
      </c>
      <c r="F48" s="1483" t="s">
        <v>1530</v>
      </c>
      <c r="G48" s="1483" t="s">
        <v>1531</v>
      </c>
      <c r="H48" s="1483" t="s">
        <v>1532</v>
      </c>
      <c r="I48" s="1483" t="s">
        <v>1533</v>
      </c>
      <c r="J48" s="1560" t="s">
        <v>1534</v>
      </c>
      <c r="K48" s="2808" t="s">
        <v>1535</v>
      </c>
      <c r="L48" s="2808" t="s">
        <v>1536</v>
      </c>
      <c r="M48" s="2808" t="s">
        <v>1537</v>
      </c>
      <c r="N48" s="2809" t="s">
        <v>1538</v>
      </c>
      <c r="O48" s="2809" t="s">
        <v>1539</v>
      </c>
      <c r="P48" s="2809" t="s">
        <v>1540</v>
      </c>
      <c r="Q48" s="2800" t="s">
        <v>1541</v>
      </c>
      <c r="R48" s="2800" t="s">
        <v>1542</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disablePrompts="1"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D13" activePane="bottomRight" state="frozen"/>
      <selection pane="topRight" activeCell="E1" sqref="E1"/>
      <selection pane="bottomLeft" activeCell="A12" sqref="A12"/>
      <selection pane="bottomRight" activeCell="B27" sqref="B27"/>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2" width="9.5" style="13" customWidth="1"/>
    <col min="13" max="14" width="9.5" style="13" hidden="1"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0"/>
      <c r="E2" s="964"/>
      <c r="F2" s="4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133</v>
      </c>
      <c r="AZ2" s="2056" t="s">
        <v>1690</v>
      </c>
      <c r="BA2" s="2057" t="s">
        <v>1689</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2.75">
      <c r="A3" s="19">
        <v>19336.28</v>
      </c>
      <c r="B3" s="20">
        <f>IF(C3="否",G5-AT5,G5)</f>
        <v>63276.81</v>
      </c>
      <c r="C3" s="21" t="s">
        <v>3256</v>
      </c>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2"/>
      <c r="AZ3" s="10"/>
      <c r="BA3" s="2058"/>
      <c r="BB3" s="1090"/>
      <c r="BC3" s="1090"/>
      <c r="BD3" s="1090"/>
      <c r="BE3" s="1090"/>
      <c r="BF3" s="1090"/>
      <c r="BG3" s="1090"/>
      <c r="BH3" s="1090"/>
      <c r="BI3" s="1090"/>
      <c r="BJ3" s="1090"/>
      <c r="BK3" s="1090"/>
      <c r="BL3" s="1090"/>
      <c r="BM3" s="1090"/>
      <c r="BN3" s="1090"/>
      <c r="BO3" s="1090"/>
      <c r="BP3" s="1090"/>
      <c r="BQ3" s="1090"/>
      <c r="BR3" s="1090"/>
      <c r="BS3" s="1090"/>
      <c r="BT3" s="1090"/>
    </row>
    <row r="4" spans="1:72" s="23" customFormat="1" ht="13.5"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2.75">
      <c r="A5" s="24" t="s">
        <v>134</v>
      </c>
      <c r="B5" s="950"/>
      <c r="C5" s="950"/>
      <c r="D5" s="957"/>
      <c r="E5" s="25" t="s">
        <v>0</v>
      </c>
      <c r="F5" s="25">
        <f>SUM(F13:F572)</f>
        <v>0</v>
      </c>
      <c r="G5" s="25">
        <f>SUM(G13:G572)</f>
        <v>63276.81</v>
      </c>
      <c r="H5" s="25">
        <f t="shared" ref="H5:AT5" si="0">SUM(H13:H641)</f>
        <v>52451.56</v>
      </c>
      <c r="I5" s="25">
        <f t="shared" si="0"/>
        <v>38371.56</v>
      </c>
      <c r="J5" s="25">
        <f t="shared" si="0"/>
        <v>0</v>
      </c>
      <c r="K5" s="25">
        <f t="shared" si="0"/>
        <v>14080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7319.7199999999993</v>
      </c>
      <c r="AD5" s="25">
        <f t="shared" si="0"/>
        <v>276</v>
      </c>
      <c r="AE5" s="25">
        <f t="shared" si="0"/>
        <v>0</v>
      </c>
      <c r="AF5" s="25">
        <f t="shared" si="0"/>
        <v>1003</v>
      </c>
      <c r="AG5" s="25">
        <f t="shared" si="0"/>
        <v>0</v>
      </c>
      <c r="AH5" s="25">
        <f t="shared" si="0"/>
        <v>0</v>
      </c>
      <c r="AI5" s="25">
        <f t="shared" si="0"/>
        <v>0</v>
      </c>
      <c r="AJ5" s="25">
        <f t="shared" si="0"/>
        <v>0</v>
      </c>
      <c r="AK5" s="25">
        <f t="shared" si="0"/>
        <v>0</v>
      </c>
      <c r="AL5" s="25">
        <f t="shared" si="0"/>
        <v>6040.7199999999993</v>
      </c>
      <c r="AM5" s="25">
        <f t="shared" si="0"/>
        <v>0</v>
      </c>
      <c r="AN5" s="25">
        <f t="shared" si="0"/>
        <v>0</v>
      </c>
      <c r="AO5" s="25">
        <f t="shared" si="0"/>
        <v>0</v>
      </c>
      <c r="AP5" s="25">
        <f t="shared" si="0"/>
        <v>0</v>
      </c>
      <c r="AQ5" s="25">
        <f t="shared" si="0"/>
        <v>0</v>
      </c>
      <c r="AR5" s="25">
        <f t="shared" si="0"/>
        <v>0</v>
      </c>
      <c r="AS5" s="25">
        <f t="shared" si="0"/>
        <v>0</v>
      </c>
      <c r="AT5" s="25">
        <f t="shared" si="0"/>
        <v>3505.53</v>
      </c>
      <c r="AU5" s="949"/>
      <c r="AV5" s="24" t="s">
        <v>134</v>
      </c>
      <c r="AW5" s="950"/>
      <c r="AX5" s="950"/>
      <c r="AY5" s="26" t="s">
        <v>2</v>
      </c>
      <c r="AZ5" s="27">
        <f t="shared" ref="AZ5:BT5" si="1">SUM(AZ13:AZ641)</f>
        <v>59771.28</v>
      </c>
      <c r="BA5" s="27">
        <f t="shared" si="1"/>
        <v>52451.56</v>
      </c>
      <c r="BB5" s="27">
        <f t="shared" si="1"/>
        <v>38371.56</v>
      </c>
      <c r="BC5" s="27">
        <f t="shared" si="1"/>
        <v>14080</v>
      </c>
      <c r="BD5" s="27">
        <f t="shared" si="1"/>
        <v>0</v>
      </c>
      <c r="BE5" s="27">
        <f t="shared" si="1"/>
        <v>0</v>
      </c>
      <c r="BF5" s="27">
        <f t="shared" si="1"/>
        <v>0</v>
      </c>
      <c r="BG5" s="27">
        <f t="shared" si="1"/>
        <v>0</v>
      </c>
      <c r="BH5" s="27">
        <f t="shared" si="1"/>
        <v>0</v>
      </c>
      <c r="BI5" s="27">
        <f t="shared" si="1"/>
        <v>0</v>
      </c>
      <c r="BJ5" s="27">
        <f t="shared" si="1"/>
        <v>0</v>
      </c>
      <c r="BK5" s="27">
        <f t="shared" si="1"/>
        <v>0</v>
      </c>
      <c r="BL5" s="27">
        <f t="shared" si="1"/>
        <v>7319.7199999999993</v>
      </c>
      <c r="BM5" s="27">
        <f t="shared" si="1"/>
        <v>276</v>
      </c>
      <c r="BN5" s="27">
        <f t="shared" si="1"/>
        <v>1003</v>
      </c>
      <c r="BO5" s="27">
        <f t="shared" si="1"/>
        <v>0</v>
      </c>
      <c r="BP5" s="27">
        <f t="shared" si="1"/>
        <v>0</v>
      </c>
      <c r="BQ5" s="27">
        <f t="shared" si="1"/>
        <v>6040.7199999999993</v>
      </c>
      <c r="BR5" s="27">
        <f t="shared" si="1"/>
        <v>0</v>
      </c>
      <c r="BS5" s="27">
        <f t="shared" si="1"/>
        <v>0</v>
      </c>
      <c r="BT5" s="28">
        <f t="shared" si="1"/>
        <v>0</v>
      </c>
    </row>
    <row r="6" spans="1:72" s="35" customFormat="1" ht="12.75">
      <c r="A6" s="24" t="s">
        <v>135</v>
      </c>
      <c r="B6" s="29"/>
      <c r="C6" s="29"/>
      <c r="D6" s="30"/>
      <c r="E6" s="25">
        <f>H6+AC6+AT6</f>
        <v>19336.28</v>
      </c>
      <c r="F6" s="25" t="s">
        <v>0</v>
      </c>
      <c r="G6" s="25" t="s">
        <v>1</v>
      </c>
      <c r="H6" s="31">
        <f>SUMIF(I$12:AB$12,"总值",I6:AB6)</f>
        <v>16028.27</v>
      </c>
      <c r="I6" s="25">
        <f t="shared" ref="I6:AB6" si="2">ROUND($A$3*I5/$B$3,2)</f>
        <v>11725.67</v>
      </c>
      <c r="J6" s="25">
        <f t="shared" si="2"/>
        <v>0</v>
      </c>
      <c r="K6" s="25">
        <f t="shared" si="2"/>
        <v>4302.6000000000004</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2236.7800000000002</v>
      </c>
      <c r="AD6" s="25">
        <f t="shared" ref="AD6:AS6" si="3">ROUND($A$3*AD5/$B$3,2)</f>
        <v>84.34</v>
      </c>
      <c r="AE6" s="25">
        <f t="shared" si="3"/>
        <v>0</v>
      </c>
      <c r="AF6" s="25">
        <f t="shared" si="3"/>
        <v>306.5</v>
      </c>
      <c r="AG6" s="25">
        <f t="shared" si="3"/>
        <v>0</v>
      </c>
      <c r="AH6" s="25">
        <f t="shared" si="3"/>
        <v>0</v>
      </c>
      <c r="AI6" s="25">
        <f t="shared" si="3"/>
        <v>0</v>
      </c>
      <c r="AJ6" s="25">
        <f t="shared" si="3"/>
        <v>0</v>
      </c>
      <c r="AK6" s="25">
        <f t="shared" si="3"/>
        <v>0</v>
      </c>
      <c r="AL6" s="25">
        <f t="shared" si="3"/>
        <v>1845.94</v>
      </c>
      <c r="AM6" s="25">
        <f t="shared" si="3"/>
        <v>0</v>
      </c>
      <c r="AN6" s="25">
        <f t="shared" si="3"/>
        <v>0</v>
      </c>
      <c r="AO6" s="25">
        <f t="shared" si="3"/>
        <v>0</v>
      </c>
      <c r="AP6" s="25">
        <f t="shared" si="3"/>
        <v>0</v>
      </c>
      <c r="AQ6" s="25">
        <f t="shared" si="3"/>
        <v>0</v>
      </c>
      <c r="AR6" s="25">
        <f t="shared" si="3"/>
        <v>0</v>
      </c>
      <c r="AS6" s="25">
        <f t="shared" si="3"/>
        <v>0</v>
      </c>
      <c r="AT6" s="31">
        <f>IF(C3="是",ROUND($A$3*AT5/$B$3,2),0)</f>
        <v>1071.23</v>
      </c>
      <c r="AU6" s="32"/>
      <c r="AV6" s="24" t="s">
        <v>135</v>
      </c>
      <c r="AW6" s="29"/>
      <c r="AX6" s="29"/>
      <c r="AY6" s="33">
        <f>IF(AY3&gt;0,AY3,ROUND($A$3*AZ5/$B$3,2))</f>
        <v>18265.05</v>
      </c>
      <c r="AZ6" s="25" t="s">
        <v>2</v>
      </c>
      <c r="BA6" s="25">
        <f>ROUND($AY$6*BA5/$AZ$5,2)</f>
        <v>16028.27</v>
      </c>
      <c r="BB6" s="25">
        <f>ROUND($AY$6*BB5/$AZ$5,2)</f>
        <v>11725.67</v>
      </c>
      <c r="BC6" s="25">
        <f t="shared" ref="BC6:BH6" si="4">ROUND($AY$6*BC5/$AZ$5,2)</f>
        <v>4302.6000000000004</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2236.7800000000002</v>
      </c>
      <c r="BM6" s="25">
        <f t="shared" si="5"/>
        <v>84.34</v>
      </c>
      <c r="BN6" s="25">
        <f t="shared" si="5"/>
        <v>306.5</v>
      </c>
      <c r="BO6" s="25">
        <f t="shared" si="5"/>
        <v>0</v>
      </c>
      <c r="BP6" s="25">
        <f t="shared" si="5"/>
        <v>0</v>
      </c>
      <c r="BQ6" s="25">
        <f t="shared" si="5"/>
        <v>1845.94</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7"/>
      <c r="AU7" s="38" t="s">
        <v>143</v>
      </c>
      <c r="AV7" s="39" t="s">
        <v>144</v>
      </c>
      <c r="AW7" s="40" t="s">
        <v>145</v>
      </c>
      <c r="AX7" s="39" t="s">
        <v>146</v>
      </c>
      <c r="AY7" s="950"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2"/>
      <c r="K8" s="962"/>
      <c r="L8" s="962"/>
      <c r="M8" s="962"/>
      <c r="N8" s="962"/>
      <c r="O8" s="962"/>
      <c r="P8" s="962"/>
      <c r="Q8" s="962"/>
      <c r="R8" s="962"/>
      <c r="S8" s="962"/>
      <c r="T8" s="962"/>
      <c r="U8" s="962"/>
      <c r="V8" s="47"/>
      <c r="W8" s="962"/>
      <c r="X8" s="962"/>
      <c r="Y8" s="962"/>
      <c r="Z8" s="962"/>
      <c r="AA8" s="47"/>
      <c r="AB8" s="48"/>
      <c r="AC8" s="49" t="s">
        <v>150</v>
      </c>
      <c r="AD8" s="50"/>
      <c r="AE8" s="41"/>
      <c r="AF8" s="962"/>
      <c r="AG8" s="962"/>
      <c r="AH8" s="962"/>
      <c r="AI8" s="962"/>
      <c r="AJ8" s="962"/>
      <c r="AK8" s="962"/>
      <c r="AL8" s="962"/>
      <c r="AM8" s="962"/>
      <c r="AN8" s="962"/>
      <c r="AO8" s="962"/>
      <c r="AP8" s="962"/>
      <c r="AQ8" s="962"/>
      <c r="AR8" s="962"/>
      <c r="AS8" s="2014"/>
      <c r="AT8" s="2045" t="s">
        <v>793</v>
      </c>
      <c r="AU8" s="43" t="s">
        <v>151</v>
      </c>
      <c r="AV8" s="53"/>
      <c r="AW8" s="964"/>
      <c r="AX8" s="53"/>
      <c r="AY8" s="40" t="s">
        <v>152</v>
      </c>
      <c r="AZ8" s="961" t="s">
        <v>153</v>
      </c>
      <c r="BA8" s="962"/>
      <c r="BB8" s="962"/>
      <c r="BC8" s="962"/>
      <c r="BD8" s="962"/>
      <c r="BE8" s="962"/>
      <c r="BF8" s="962"/>
      <c r="BG8" s="962"/>
      <c r="BH8" s="962"/>
      <c r="BI8" s="962"/>
      <c r="BJ8" s="962"/>
      <c r="BK8" s="962"/>
      <c r="BL8" s="962"/>
      <c r="BM8" s="962"/>
      <c r="BN8" s="962"/>
      <c r="BO8" s="962"/>
      <c r="BP8" s="962"/>
      <c r="BQ8" s="962"/>
      <c r="BR8" s="962"/>
      <c r="BS8" s="962"/>
      <c r="BT8" s="54"/>
    </row>
    <row r="9" spans="1:72" s="55" customFormat="1" ht="12.75">
      <c r="A9" s="43"/>
      <c r="B9" s="43"/>
      <c r="C9" s="43"/>
      <c r="D9" s="43"/>
      <c r="E9" s="43"/>
      <c r="F9" s="43"/>
      <c r="G9" s="53"/>
      <c r="H9" s="56" t="s">
        <v>154</v>
      </c>
      <c r="I9" s="2490" t="s">
        <v>3257</v>
      </c>
      <c r="J9" s="49"/>
      <c r="K9" s="2490" t="s">
        <v>3294</v>
      </c>
      <c r="L9" s="49"/>
      <c r="M9" s="2490"/>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4" t="s">
        <v>157</v>
      </c>
      <c r="AQ9" s="1086"/>
      <c r="AR9" s="1084" t="s">
        <v>158</v>
      </c>
      <c r="AS9" s="2046"/>
      <c r="AT9" s="43"/>
      <c r="AU9" s="43" t="s">
        <v>160</v>
      </c>
      <c r="AV9" s="53"/>
      <c r="AW9" s="964"/>
      <c r="AX9" s="53"/>
      <c r="AY9" s="60"/>
      <c r="AZ9" s="60" t="s">
        <v>161</v>
      </c>
      <c r="BA9" s="61" t="s">
        <v>162</v>
      </c>
      <c r="BB9" s="62"/>
      <c r="BC9" s="956"/>
      <c r="BD9" s="956"/>
      <c r="BE9" s="956"/>
      <c r="BF9" s="956"/>
      <c r="BG9" s="956"/>
      <c r="BH9" s="956"/>
      <c r="BI9" s="956"/>
      <c r="BJ9" s="956"/>
      <c r="BK9" s="63"/>
      <c r="BL9" s="24" t="s">
        <v>163</v>
      </c>
      <c r="BM9" s="962"/>
      <c r="BN9" s="46"/>
      <c r="BO9" s="962"/>
      <c r="BP9" s="962"/>
      <c r="BQ9" s="962"/>
      <c r="BR9" s="962"/>
      <c r="BS9" s="962"/>
      <c r="BT9" s="54"/>
    </row>
    <row r="10" spans="1:72" s="55" customFormat="1" ht="12.75">
      <c r="A10" s="43"/>
      <c r="B10" s="43"/>
      <c r="C10" s="43"/>
      <c r="D10" s="43"/>
      <c r="E10" s="43"/>
      <c r="F10" s="43"/>
      <c r="G10" s="53"/>
      <c r="H10" s="60"/>
      <c r="I10" s="2490"/>
      <c r="J10" s="49"/>
      <c r="K10" s="2492" t="s">
        <v>2734</v>
      </c>
      <c r="L10" s="49"/>
      <c r="M10" s="2492"/>
      <c r="N10" s="49"/>
      <c r="O10" s="64"/>
      <c r="P10" s="49"/>
      <c r="Q10" s="64"/>
      <c r="R10" s="49"/>
      <c r="S10" s="64"/>
      <c r="T10" s="49"/>
      <c r="U10" s="64"/>
      <c r="V10" s="49"/>
      <c r="W10" s="64"/>
      <c r="X10" s="49"/>
      <c r="Y10" s="64"/>
      <c r="Z10" s="49"/>
      <c r="AA10" s="64"/>
      <c r="AB10" s="49"/>
      <c r="AC10" s="53"/>
      <c r="AD10" s="2031" t="s">
        <v>1674</v>
      </c>
      <c r="AE10" s="2053"/>
      <c r="AF10" s="2031" t="s">
        <v>1674</v>
      </c>
      <c r="AG10" s="2053"/>
      <c r="AH10" s="2031" t="s">
        <v>1675</v>
      </c>
      <c r="AI10" s="2053"/>
      <c r="AJ10" s="24" t="s">
        <v>1688</v>
      </c>
      <c r="AK10" s="2050"/>
      <c r="AL10" s="2031" t="s">
        <v>1676</v>
      </c>
      <c r="AM10" s="2032"/>
      <c r="AN10" s="24" t="s">
        <v>164</v>
      </c>
      <c r="AO10" s="59"/>
      <c r="AP10" s="1084" t="s">
        <v>165</v>
      </c>
      <c r="AQ10" s="1086"/>
      <c r="AR10" s="1084" t="s">
        <v>165</v>
      </c>
      <c r="AS10" s="1086"/>
      <c r="AT10" s="43"/>
      <c r="AU10" s="43"/>
      <c r="AV10" s="53"/>
      <c r="AW10" s="964"/>
      <c r="AX10" s="53"/>
      <c r="AY10" s="60"/>
      <c r="AZ10" s="60"/>
      <c r="BA10" s="65" t="s">
        <v>159</v>
      </c>
      <c r="BB10" s="66" t="str">
        <f>I9</f>
        <v>地上</v>
      </c>
      <c r="BC10" s="67" t="str">
        <f>K9</f>
        <v>地下</v>
      </c>
      <c r="BD10" s="67">
        <f>M9</f>
        <v>0</v>
      </c>
      <c r="BE10" s="67">
        <f>O9</f>
        <v>0</v>
      </c>
      <c r="BF10" s="67">
        <f>Q9</f>
        <v>0</v>
      </c>
      <c r="BG10" s="67">
        <f>S9</f>
        <v>0</v>
      </c>
      <c r="BH10" s="67">
        <f>U9</f>
        <v>0</v>
      </c>
      <c r="BI10" s="67">
        <f>W9</f>
        <v>0</v>
      </c>
      <c r="BJ10" s="67">
        <f>Y9</f>
        <v>0</v>
      </c>
      <c r="BK10" s="67">
        <f>AA9</f>
        <v>0</v>
      </c>
      <c r="BL10" s="52" t="s">
        <v>159</v>
      </c>
      <c r="BM10" s="961" t="str">
        <f>AD9</f>
        <v>地上</v>
      </c>
      <c r="BN10" s="67" t="str">
        <f>AF9</f>
        <v>地下</v>
      </c>
      <c r="BO10" s="961" t="str">
        <f>AH9</f>
        <v>地上</v>
      </c>
      <c r="BP10" s="67" t="str">
        <f>AJ9</f>
        <v>地下</v>
      </c>
      <c r="BQ10" s="961" t="str">
        <f>AL9</f>
        <v>地上</v>
      </c>
      <c r="BR10" s="67" t="str">
        <f>AN9</f>
        <v>地下</v>
      </c>
      <c r="BS10" s="961" t="str">
        <f>AP9</f>
        <v>地上</v>
      </c>
      <c r="BT10" s="959" t="str">
        <f>AR9</f>
        <v>地下</v>
      </c>
    </row>
    <row r="11" spans="1:72" s="55" customFormat="1" ht="12.75">
      <c r="A11" s="43"/>
      <c r="B11" s="43"/>
      <c r="C11" s="43"/>
      <c r="D11" s="43"/>
      <c r="E11" s="43"/>
      <c r="F11" s="43"/>
      <c r="G11" s="53"/>
      <c r="H11" s="65"/>
      <c r="I11" s="2491"/>
      <c r="J11" s="69"/>
      <c r="K11" s="2491"/>
      <c r="L11" s="69"/>
      <c r="M11" s="68"/>
      <c r="N11" s="69"/>
      <c r="O11" s="68"/>
      <c r="P11" s="69"/>
      <c r="Q11" s="68"/>
      <c r="R11" s="69"/>
      <c r="S11" s="68"/>
      <c r="T11" s="69"/>
      <c r="U11" s="68"/>
      <c r="V11" s="69"/>
      <c r="W11" s="68"/>
      <c r="X11" s="69"/>
      <c r="Y11" s="68"/>
      <c r="Z11" s="69"/>
      <c r="AA11" s="68"/>
      <c r="AB11" s="69"/>
      <c r="AC11" s="53"/>
      <c r="AD11" s="2051" t="s">
        <v>1687</v>
      </c>
      <c r="AE11" s="963"/>
      <c r="AF11" s="2051" t="s">
        <v>1687</v>
      </c>
      <c r="AG11" s="963"/>
      <c r="AH11" s="2051" t="s">
        <v>1686</v>
      </c>
      <c r="AI11" s="2052"/>
      <c r="AJ11" s="2051" t="s">
        <v>1686</v>
      </c>
      <c r="AK11" s="2050"/>
      <c r="AL11" s="961"/>
      <c r="AM11" s="963"/>
      <c r="AN11" s="961"/>
      <c r="AO11" s="963"/>
      <c r="AP11" s="1085"/>
      <c r="AQ11" s="1087"/>
      <c r="AR11" s="1085"/>
      <c r="AS11" s="1087"/>
      <c r="AT11" s="964"/>
      <c r="AU11" s="43"/>
      <c r="AV11" s="53"/>
      <c r="AW11" s="964"/>
      <c r="AX11" s="53"/>
      <c r="AY11" s="60"/>
      <c r="AZ11" s="60"/>
      <c r="BA11" s="60"/>
      <c r="BB11" s="48">
        <f>I10</f>
        <v>0</v>
      </c>
      <c r="BC11" s="48" t="str">
        <f>K10</f>
        <v>车库</v>
      </c>
      <c r="BD11" s="48">
        <f>M10</f>
        <v>0</v>
      </c>
      <c r="BE11" s="48">
        <f>O10</f>
        <v>0</v>
      </c>
      <c r="BF11" s="48">
        <f>Q10</f>
        <v>0</v>
      </c>
      <c r="BG11" s="48">
        <f>S10</f>
        <v>0</v>
      </c>
      <c r="BH11" s="48">
        <f>U10</f>
        <v>0</v>
      </c>
      <c r="BI11" s="48">
        <f>W10</f>
        <v>0</v>
      </c>
      <c r="BJ11" s="48">
        <f>Y10</f>
        <v>0</v>
      </c>
      <c r="BK11" s="48">
        <f>AA10</f>
        <v>0</v>
      </c>
      <c r="BL11" s="53"/>
      <c r="BM11" s="961" t="str">
        <f>AD10</f>
        <v>公共配套设施</v>
      </c>
      <c r="BN11" s="961" t="str">
        <f>AF10</f>
        <v>公共配套设施</v>
      </c>
      <c r="BO11" s="51" t="str">
        <f>AH10</f>
        <v>物业管理用房</v>
      </c>
      <c r="BP11" s="51" t="str">
        <f>AJ10</f>
        <v>物业管理用房</v>
      </c>
      <c r="BQ11" s="51" t="str">
        <f>AL10</f>
        <v>设备及其他</v>
      </c>
      <c r="BR11" s="51" t="str">
        <f>AN10</f>
        <v>设备及其他</v>
      </c>
      <c r="BS11" s="52" t="str">
        <f>AP10</f>
        <v>未注明</v>
      </c>
      <c r="BT11" s="958" t="str">
        <f>AR10</f>
        <v>未注明</v>
      </c>
    </row>
    <row r="12" spans="1:72" s="16" customFormat="1" ht="12.75">
      <c r="A12" s="70"/>
      <c r="B12" s="70"/>
      <c r="C12" s="70"/>
      <c r="D12" s="70"/>
      <c r="E12" s="70"/>
      <c r="F12" s="70"/>
      <c r="G12" s="71"/>
      <c r="H12" s="72"/>
      <c r="I12" s="957"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9" t="s">
        <v>167</v>
      </c>
      <c r="W12" s="15" t="s">
        <v>166</v>
      </c>
      <c r="X12" s="15" t="s">
        <v>167</v>
      </c>
      <c r="Y12" s="15" t="s">
        <v>166</v>
      </c>
      <c r="Z12" s="15" t="s">
        <v>167</v>
      </c>
      <c r="AA12" s="15" t="s">
        <v>166</v>
      </c>
      <c r="AB12" s="15" t="s">
        <v>167</v>
      </c>
      <c r="AC12" s="73"/>
      <c r="AD12" s="957" t="s">
        <v>166</v>
      </c>
      <c r="AE12" s="15" t="s">
        <v>167</v>
      </c>
      <c r="AF12" s="15" t="s">
        <v>166</v>
      </c>
      <c r="AG12" s="15" t="s">
        <v>167</v>
      </c>
      <c r="AH12" s="15" t="s">
        <v>166</v>
      </c>
      <c r="AI12" s="15" t="s">
        <v>167</v>
      </c>
      <c r="AJ12" s="15" t="s">
        <v>166</v>
      </c>
      <c r="AK12" s="15" t="s">
        <v>167</v>
      </c>
      <c r="AL12" s="15" t="s">
        <v>166</v>
      </c>
      <c r="AM12" s="15" t="s">
        <v>167</v>
      </c>
      <c r="AN12" s="15" t="s">
        <v>166</v>
      </c>
      <c r="AO12" s="15" t="s">
        <v>167</v>
      </c>
      <c r="AP12" s="1083" t="s">
        <v>166</v>
      </c>
      <c r="AQ12" s="1083" t="s">
        <v>167</v>
      </c>
      <c r="AR12" s="1089" t="s">
        <v>166</v>
      </c>
      <c r="AS12" s="1088"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1" t="str">
        <f>AD11</f>
        <v>（住宅）</v>
      </c>
      <c r="BN12" s="961" t="str">
        <f>AF11</f>
        <v>（住宅）</v>
      </c>
      <c r="BO12" s="51" t="str">
        <f>AH11</f>
        <v>（住宅、计出让金）</v>
      </c>
      <c r="BP12" s="51" t="str">
        <f>AJ11</f>
        <v>（住宅、计出让金）</v>
      </c>
      <c r="BQ12" s="51">
        <f>AL11</f>
        <v>0</v>
      </c>
      <c r="BR12" s="51">
        <f>AN11</f>
        <v>0</v>
      </c>
      <c r="BS12" s="52">
        <f>AP11</f>
        <v>0</v>
      </c>
      <c r="BT12" s="958">
        <f>AR11</f>
        <v>0</v>
      </c>
    </row>
    <row r="13" spans="1:72" s="16" customFormat="1" ht="12.75">
      <c r="A13" s="2486"/>
      <c r="B13" s="2486"/>
      <c r="C13" s="2486" t="s">
        <v>3255</v>
      </c>
      <c r="D13" s="2487" t="s">
        <v>3256</v>
      </c>
      <c r="E13" s="25">
        <f t="shared" ref="E13:E20" si="6">IF($C$3="是",ROUND($A$3*G13/$B$3,2),ROUND($A$3*(G13-AT13)/$B$3,2))</f>
        <v>12881.24</v>
      </c>
      <c r="F13" s="78"/>
      <c r="G13" s="79">
        <f t="shared" ref="G13:G20" si="7">H13+AC13+AT13</f>
        <v>42153.09</v>
      </c>
      <c r="H13" s="31">
        <f t="shared" ref="H13:H20" si="8">SUMIF(I$12:AB$12,"总值",I13:AB13)</f>
        <v>38371.56</v>
      </c>
      <c r="I13" s="2489">
        <v>38371.56</v>
      </c>
      <c r="J13" s="2489"/>
      <c r="K13" s="2489"/>
      <c r="L13" s="2489"/>
      <c r="M13" s="2489"/>
      <c r="N13" s="80"/>
      <c r="O13" s="80"/>
      <c r="P13" s="80"/>
      <c r="Q13" s="80"/>
      <c r="R13" s="80"/>
      <c r="S13" s="80"/>
      <c r="T13" s="80"/>
      <c r="U13" s="80"/>
      <c r="V13" s="80"/>
      <c r="W13" s="80"/>
      <c r="X13" s="80"/>
      <c r="Y13" s="80"/>
      <c r="Z13" s="80"/>
      <c r="AA13" s="80"/>
      <c r="AB13" s="80"/>
      <c r="AC13" s="25">
        <f t="shared" ref="AC13:AC20" si="9">SUMIF(AD$12:AS$12,"总值",AD13:AS13)</f>
        <v>276</v>
      </c>
      <c r="AD13" s="2493">
        <f>100+176</f>
        <v>276</v>
      </c>
      <c r="AE13" s="2493"/>
      <c r="AF13" s="2493"/>
      <c r="AG13" s="2493"/>
      <c r="AH13" s="2493"/>
      <c r="AI13" s="2493"/>
      <c r="AJ13" s="2493"/>
      <c r="AK13" s="2493"/>
      <c r="AL13" s="2493"/>
      <c r="AM13" s="2493"/>
      <c r="AN13" s="2493"/>
      <c r="AO13" s="2493"/>
      <c r="AP13" s="2493"/>
      <c r="AQ13" s="2493"/>
      <c r="AR13" s="2493"/>
      <c r="AS13" s="2493"/>
      <c r="AT13" s="2494">
        <f>25+3480.53</f>
        <v>3505.53</v>
      </c>
      <c r="AU13" s="2495"/>
      <c r="AV13" s="15">
        <f t="shared" ref="AV13:AX20" si="10">A13</f>
        <v>0</v>
      </c>
      <c r="AW13" s="15">
        <f t="shared" si="10"/>
        <v>0</v>
      </c>
      <c r="AX13" s="15" t="str">
        <f t="shared" si="10"/>
        <v>住宅</v>
      </c>
      <c r="AY13" s="957">
        <f t="shared" ref="AY13:AY20" si="11">ROUND($AY$6*AZ13/$AZ$5,2)</f>
        <v>11810.01</v>
      </c>
      <c r="AZ13" s="25">
        <f t="shared" ref="AZ13:AZ20" si="12">BA13+BL13</f>
        <v>38647.56</v>
      </c>
      <c r="BA13" s="25">
        <f t="shared" ref="BA13:BA20" si="13">SUM(BB13:BK13)</f>
        <v>38371.56</v>
      </c>
      <c r="BB13" s="25">
        <f t="shared" ref="BB13:BB20" si="14">IF($D13="是",I13-J13,0)</f>
        <v>38371.56</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276</v>
      </c>
      <c r="BM13" s="25">
        <f t="shared" ref="BM13:BM20" si="25">IF($D13="是",AD13-AE13,0)</f>
        <v>276</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6"/>
      <c r="B14" s="2486"/>
      <c r="C14" s="2488" t="s">
        <v>3295</v>
      </c>
      <c r="D14" s="2487" t="s">
        <v>3256</v>
      </c>
      <c r="E14" s="25">
        <f t="shared" si="6"/>
        <v>6455.04</v>
      </c>
      <c r="F14" s="78"/>
      <c r="G14" s="79">
        <f t="shared" si="7"/>
        <v>21123.72</v>
      </c>
      <c r="H14" s="31">
        <f t="shared" si="8"/>
        <v>14080</v>
      </c>
      <c r="I14" s="2489"/>
      <c r="J14" s="2489"/>
      <c r="K14" s="2489">
        <v>14080</v>
      </c>
      <c r="L14" s="2489"/>
      <c r="M14" s="2489"/>
      <c r="N14" s="80"/>
      <c r="O14" s="80"/>
      <c r="P14" s="80"/>
      <c r="Q14" s="80"/>
      <c r="R14" s="80"/>
      <c r="S14" s="80"/>
      <c r="T14" s="80"/>
      <c r="U14" s="80"/>
      <c r="V14" s="80"/>
      <c r="W14" s="80"/>
      <c r="X14" s="80"/>
      <c r="Y14" s="80"/>
      <c r="Z14" s="80"/>
      <c r="AA14" s="80"/>
      <c r="AB14" s="80"/>
      <c r="AC14" s="25">
        <f t="shared" si="9"/>
        <v>7043.7199999999993</v>
      </c>
      <c r="AD14" s="2493"/>
      <c r="AE14" s="2493"/>
      <c r="AF14" s="2493">
        <v>1003</v>
      </c>
      <c r="AG14" s="2493"/>
      <c r="AH14" s="2493"/>
      <c r="AI14" s="2493"/>
      <c r="AJ14" s="2493"/>
      <c r="AK14" s="2493"/>
      <c r="AL14" s="2493">
        <f>2278.49+3762.23</f>
        <v>6040.7199999999993</v>
      </c>
      <c r="AM14" s="2493"/>
      <c r="AN14" s="2493"/>
      <c r="AO14" s="2493"/>
      <c r="AP14" s="2493"/>
      <c r="AQ14" s="2493"/>
      <c r="AR14" s="2493"/>
      <c r="AS14" s="2493"/>
      <c r="AT14" s="2494"/>
      <c r="AU14" s="2495"/>
      <c r="AV14" s="15">
        <f t="shared" si="10"/>
        <v>0</v>
      </c>
      <c r="AW14" s="15">
        <f t="shared" si="10"/>
        <v>0</v>
      </c>
      <c r="AX14" s="15" t="str">
        <f t="shared" si="10"/>
        <v>地下车库</v>
      </c>
      <c r="AY14" s="957">
        <f t="shared" si="11"/>
        <v>6455.04</v>
      </c>
      <c r="AZ14" s="25">
        <f t="shared" si="12"/>
        <v>21123.72</v>
      </c>
      <c r="BA14" s="25">
        <f t="shared" si="13"/>
        <v>14080</v>
      </c>
      <c r="BB14" s="25">
        <f t="shared" si="14"/>
        <v>0</v>
      </c>
      <c r="BC14" s="25">
        <f t="shared" si="15"/>
        <v>14080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7043.7199999999993</v>
      </c>
      <c r="BM14" s="25">
        <f t="shared" si="25"/>
        <v>0</v>
      </c>
      <c r="BN14" s="25">
        <f t="shared" si="26"/>
        <v>1003</v>
      </c>
      <c r="BO14" s="25">
        <f t="shared" si="27"/>
        <v>0</v>
      </c>
      <c r="BP14" s="25">
        <f t="shared" si="28"/>
        <v>0</v>
      </c>
      <c r="BQ14" s="25">
        <f t="shared" si="29"/>
        <v>6040.7199999999993</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7">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7">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7">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8"/>
      <c r="J18" s="87"/>
      <c r="K18" s="1248"/>
      <c r="L18" s="87"/>
      <c r="M18" s="87"/>
      <c r="N18" s="87"/>
      <c r="O18" s="87"/>
      <c r="P18" s="87"/>
      <c r="Q18" s="87"/>
      <c r="R18" s="87"/>
      <c r="S18" s="87"/>
      <c r="T18" s="87"/>
      <c r="U18" s="87"/>
      <c r="V18" s="87"/>
      <c r="W18" s="87"/>
      <c r="X18" s="87"/>
      <c r="Y18" s="87"/>
      <c r="Z18" s="87"/>
      <c r="AA18" s="87"/>
      <c r="AB18" s="87"/>
      <c r="AC18" s="83">
        <f t="shared" si="9"/>
        <v>0</v>
      </c>
      <c r="AD18" s="88"/>
      <c r="AE18" s="88"/>
      <c r="AF18" s="1248"/>
      <c r="AG18" s="88"/>
      <c r="AH18" s="88"/>
      <c r="AI18" s="88"/>
      <c r="AJ18" s="88"/>
      <c r="AK18" s="88"/>
      <c r="AL18" s="1223"/>
      <c r="AM18" s="88"/>
      <c r="AN18" s="1248"/>
      <c r="AO18" s="88"/>
      <c r="AP18" s="88"/>
      <c r="AQ18" s="88"/>
      <c r="AR18" s="88"/>
      <c r="AS18" s="88"/>
      <c r="AT18" s="89"/>
      <c r="AU18" s="90"/>
      <c r="AV18" s="953">
        <f t="shared" si="10"/>
        <v>0</v>
      </c>
      <c r="AW18" s="953">
        <f t="shared" si="10"/>
        <v>0</v>
      </c>
      <c r="AX18" s="953">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2"/>
      <c r="C19" s="1248"/>
      <c r="D19" s="2487"/>
      <c r="E19" s="83">
        <f t="shared" si="6"/>
        <v>0</v>
      </c>
      <c r="F19" s="84"/>
      <c r="G19" s="85">
        <f t="shared" si="7"/>
        <v>0</v>
      </c>
      <c r="H19" s="86">
        <f t="shared" si="8"/>
        <v>0</v>
      </c>
      <c r="I19" s="1248"/>
      <c r="J19" s="87"/>
      <c r="K19" s="1248"/>
      <c r="L19" s="87"/>
      <c r="M19" s="87"/>
      <c r="N19" s="87"/>
      <c r="O19" s="87"/>
      <c r="P19" s="87"/>
      <c r="Q19" s="87"/>
      <c r="R19" s="87"/>
      <c r="S19" s="87"/>
      <c r="T19" s="87"/>
      <c r="U19" s="87"/>
      <c r="V19" s="87"/>
      <c r="W19" s="87"/>
      <c r="X19" s="87"/>
      <c r="Y19" s="87"/>
      <c r="Z19" s="87"/>
      <c r="AA19" s="87"/>
      <c r="AB19" s="87"/>
      <c r="AC19" s="83">
        <f t="shared" si="9"/>
        <v>0</v>
      </c>
      <c r="AD19" s="88"/>
      <c r="AE19" s="88"/>
      <c r="AF19" s="1248"/>
      <c r="AG19" s="88"/>
      <c r="AH19" s="88"/>
      <c r="AI19" s="88"/>
      <c r="AJ19" s="88"/>
      <c r="AK19" s="88"/>
      <c r="AL19" s="88"/>
      <c r="AM19" s="88"/>
      <c r="AN19" s="1248"/>
      <c r="AO19" s="88"/>
      <c r="AP19" s="88"/>
      <c r="AQ19" s="88"/>
      <c r="AR19" s="88"/>
      <c r="AS19" s="88"/>
      <c r="AT19" s="89"/>
      <c r="AU19" s="90"/>
      <c r="AV19" s="953">
        <f t="shared" si="10"/>
        <v>0</v>
      </c>
      <c r="AW19" s="953">
        <f t="shared" si="10"/>
        <v>0</v>
      </c>
      <c r="AX19" s="953">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2"/>
      <c r="C20" s="1248"/>
      <c r="D20" s="2487"/>
      <c r="E20" s="83">
        <f t="shared" si="6"/>
        <v>0</v>
      </c>
      <c r="F20" s="84"/>
      <c r="G20" s="85">
        <f t="shared" si="7"/>
        <v>0</v>
      </c>
      <c r="H20" s="86">
        <f t="shared" si="8"/>
        <v>0</v>
      </c>
      <c r="I20" s="1248"/>
      <c r="J20" s="87"/>
      <c r="K20" s="1248"/>
      <c r="L20" s="87"/>
      <c r="M20" s="87"/>
      <c r="N20" s="87"/>
      <c r="O20" s="87"/>
      <c r="P20" s="87"/>
      <c r="Q20" s="87"/>
      <c r="R20" s="87"/>
      <c r="S20" s="87"/>
      <c r="T20" s="87"/>
      <c r="U20" s="87"/>
      <c r="V20" s="87"/>
      <c r="W20" s="87"/>
      <c r="X20" s="87"/>
      <c r="Y20" s="87"/>
      <c r="Z20" s="87"/>
      <c r="AA20" s="87"/>
      <c r="AB20" s="87"/>
      <c r="AC20" s="83">
        <f t="shared" si="9"/>
        <v>0</v>
      </c>
      <c r="AD20" s="88"/>
      <c r="AE20" s="88"/>
      <c r="AF20" s="1248"/>
      <c r="AG20" s="88"/>
      <c r="AH20" s="88"/>
      <c r="AI20" s="88"/>
      <c r="AJ20" s="88"/>
      <c r="AK20" s="88"/>
      <c r="AL20" s="88"/>
      <c r="AM20" s="88"/>
      <c r="AN20" s="1248"/>
      <c r="AO20" s="88"/>
      <c r="AP20" s="88"/>
      <c r="AQ20" s="88"/>
      <c r="AR20" s="88"/>
      <c r="AS20" s="88"/>
      <c r="AT20" s="89"/>
      <c r="AU20" s="90"/>
      <c r="AV20" s="953">
        <f t="shared" si="10"/>
        <v>0</v>
      </c>
      <c r="AW20" s="953">
        <f t="shared" si="10"/>
        <v>0</v>
      </c>
      <c r="AX20" s="953">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7"/>
      <c r="C21" s="1248"/>
      <c r="D21" s="2487"/>
      <c r="E21" s="83">
        <f t="shared" ref="E21:E112" si="33">IF($C$3="是",ROUND($A$3*G21/$B$3,2),ROUND($A$3*(G21-AT21)/$B$3,2))</f>
        <v>0</v>
      </c>
      <c r="F21" s="84"/>
      <c r="G21" s="85">
        <f t="shared" ref="G21:G109" si="34">H21+AC21+AT21</f>
        <v>0</v>
      </c>
      <c r="H21" s="86">
        <f t="shared" ref="H21:H109" si="35">SUMIF(I$12:AB$12,"总值",I21:AB21)</f>
        <v>0</v>
      </c>
      <c r="I21" s="1250"/>
      <c r="J21" s="87"/>
      <c r="K21" s="1250"/>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1"/>
      <c r="AG21" s="88"/>
      <c r="AH21" s="88"/>
      <c r="AI21" s="88"/>
      <c r="AJ21" s="88"/>
      <c r="AK21" s="88"/>
      <c r="AL21" s="88"/>
      <c r="AM21" s="88"/>
      <c r="AN21" s="1223"/>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7"/>
      <c r="C22" s="1248"/>
      <c r="D22" s="2487"/>
      <c r="E22" s="83">
        <f t="shared" si="33"/>
        <v>0</v>
      </c>
      <c r="F22" s="84"/>
      <c r="G22" s="85">
        <f t="shared" si="34"/>
        <v>0</v>
      </c>
      <c r="H22" s="86">
        <f t="shared" si="35"/>
        <v>0</v>
      </c>
      <c r="I22" s="1250"/>
      <c r="J22" s="87"/>
      <c r="K22" s="1250"/>
      <c r="L22" s="87"/>
      <c r="M22" s="1223"/>
      <c r="N22" s="87"/>
      <c r="O22" s="87"/>
      <c r="P22" s="87"/>
      <c r="Q22" s="87"/>
      <c r="R22" s="87"/>
      <c r="S22" s="87"/>
      <c r="T22" s="87"/>
      <c r="U22" s="87"/>
      <c r="V22" s="87"/>
      <c r="W22" s="87"/>
      <c r="X22" s="87"/>
      <c r="Y22" s="87"/>
      <c r="Z22" s="87"/>
      <c r="AA22" s="87"/>
      <c r="AB22" s="87"/>
      <c r="AC22" s="83">
        <f t="shared" si="36"/>
        <v>0</v>
      </c>
      <c r="AD22" s="1223"/>
      <c r="AE22" s="88"/>
      <c r="AF22" s="1251"/>
      <c r="AG22" s="88"/>
      <c r="AH22" s="88"/>
      <c r="AI22" s="88"/>
      <c r="AJ22" s="88"/>
      <c r="AK22" s="88"/>
      <c r="AL22" s="1223"/>
      <c r="AM22" s="88"/>
      <c r="AN22" s="1223"/>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7"/>
      <c r="C23" s="1248"/>
      <c r="D23" s="2487"/>
      <c r="E23" s="83">
        <f t="shared" si="33"/>
        <v>0</v>
      </c>
      <c r="F23" s="84"/>
      <c r="G23" s="85">
        <f t="shared" si="34"/>
        <v>0</v>
      </c>
      <c r="H23" s="86">
        <f t="shared" si="35"/>
        <v>0</v>
      </c>
      <c r="I23" s="1250"/>
      <c r="J23" s="87"/>
      <c r="K23" s="1250"/>
      <c r="L23" s="87"/>
      <c r="M23" s="1223"/>
      <c r="N23" s="87"/>
      <c r="O23" s="87"/>
      <c r="P23" s="87"/>
      <c r="Q23" s="87"/>
      <c r="R23" s="87"/>
      <c r="S23" s="87"/>
      <c r="T23" s="87"/>
      <c r="U23" s="87"/>
      <c r="V23" s="87"/>
      <c r="W23" s="87"/>
      <c r="X23" s="87"/>
      <c r="Y23" s="87"/>
      <c r="Z23" s="87"/>
      <c r="AA23" s="87"/>
      <c r="AB23" s="87"/>
      <c r="AC23" s="83">
        <f t="shared" si="36"/>
        <v>0</v>
      </c>
      <c r="AD23" s="88"/>
      <c r="AE23" s="88"/>
      <c r="AF23" s="1251"/>
      <c r="AG23" s="88"/>
      <c r="AH23" s="88"/>
      <c r="AI23" s="88"/>
      <c r="AJ23" s="88"/>
      <c r="AK23" s="88"/>
      <c r="AL23" s="1223"/>
      <c r="AM23" s="88"/>
      <c r="AN23" s="1223"/>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7"/>
      <c r="C24" s="1248"/>
      <c r="D24" s="2487"/>
      <c r="E24" s="83">
        <f t="shared" si="33"/>
        <v>0</v>
      </c>
      <c r="F24" s="84"/>
      <c r="G24" s="85">
        <f t="shared" si="34"/>
        <v>0</v>
      </c>
      <c r="H24" s="86">
        <f t="shared" si="35"/>
        <v>0</v>
      </c>
      <c r="I24" s="1250"/>
      <c r="J24" s="87"/>
      <c r="K24" s="1250"/>
      <c r="L24" s="87"/>
      <c r="M24" s="87"/>
      <c r="N24" s="87"/>
      <c r="O24" s="1223"/>
      <c r="P24" s="87"/>
      <c r="Q24" s="87"/>
      <c r="R24" s="87"/>
      <c r="S24" s="87"/>
      <c r="T24" s="87"/>
      <c r="U24" s="87"/>
      <c r="V24" s="87"/>
      <c r="W24" s="87"/>
      <c r="X24" s="87"/>
      <c r="Y24" s="87"/>
      <c r="Z24" s="87"/>
      <c r="AA24" s="87"/>
      <c r="AB24" s="87"/>
      <c r="AC24" s="83">
        <f t="shared" si="36"/>
        <v>0</v>
      </c>
      <c r="AD24" s="88"/>
      <c r="AE24" s="88"/>
      <c r="AF24" s="1251"/>
      <c r="AG24" s="88"/>
      <c r="AH24" s="88"/>
      <c r="AI24" s="88"/>
      <c r="AJ24" s="88"/>
      <c r="AK24" s="88"/>
      <c r="AL24" s="88"/>
      <c r="AM24" s="88"/>
      <c r="AN24" s="1223"/>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7"/>
      <c r="C25" s="1248"/>
      <c r="D25" s="2487"/>
      <c r="E25" s="83">
        <f t="shared" si="33"/>
        <v>0</v>
      </c>
      <c r="F25" s="84"/>
      <c r="G25" s="85">
        <f t="shared" si="34"/>
        <v>0</v>
      </c>
      <c r="H25" s="86">
        <f t="shared" si="35"/>
        <v>0</v>
      </c>
      <c r="I25" s="1250"/>
      <c r="J25" s="87"/>
      <c r="K25" s="1250"/>
      <c r="L25" s="87"/>
      <c r="M25" s="87"/>
      <c r="N25" s="87"/>
      <c r="O25" s="87"/>
      <c r="P25" s="87"/>
      <c r="Q25" s="87"/>
      <c r="R25" s="87"/>
      <c r="S25" s="87"/>
      <c r="T25" s="87"/>
      <c r="U25" s="87"/>
      <c r="V25" s="87"/>
      <c r="W25" s="87"/>
      <c r="X25" s="87"/>
      <c r="Y25" s="87"/>
      <c r="Z25" s="87"/>
      <c r="AA25" s="87"/>
      <c r="AB25" s="87"/>
      <c r="AC25" s="83">
        <f t="shared" si="36"/>
        <v>0</v>
      </c>
      <c r="AD25" s="88"/>
      <c r="AE25" s="88"/>
      <c r="AF25" s="1251"/>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7"/>
      <c r="C26" s="1248"/>
      <c r="D26" s="2487"/>
      <c r="E26" s="83">
        <f t="shared" si="33"/>
        <v>0</v>
      </c>
      <c r="F26" s="84"/>
      <c r="G26" s="85">
        <f t="shared" si="34"/>
        <v>0</v>
      </c>
      <c r="H26" s="86">
        <f t="shared" si="35"/>
        <v>0</v>
      </c>
      <c r="I26" s="1250"/>
      <c r="J26" s="87"/>
      <c r="K26" s="1250"/>
      <c r="L26" s="87"/>
      <c r="M26" s="87"/>
      <c r="N26" s="87"/>
      <c r="O26" s="87"/>
      <c r="P26" s="87"/>
      <c r="Q26" s="87"/>
      <c r="R26" s="87"/>
      <c r="S26" s="87"/>
      <c r="T26" s="87"/>
      <c r="U26" s="87"/>
      <c r="V26" s="87"/>
      <c r="W26" s="87"/>
      <c r="X26" s="87"/>
      <c r="Y26" s="87"/>
      <c r="Z26" s="87"/>
      <c r="AA26" s="87"/>
      <c r="AB26" s="87"/>
      <c r="AC26" s="83">
        <f t="shared" si="36"/>
        <v>0</v>
      </c>
      <c r="AD26" s="88"/>
      <c r="AE26" s="88"/>
      <c r="AF26" s="1251"/>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7"/>
      <c r="C27" s="1248"/>
      <c r="D27" s="2487"/>
      <c r="E27" s="83">
        <f t="shared" si="33"/>
        <v>0</v>
      </c>
      <c r="F27" s="84"/>
      <c r="G27" s="85">
        <f t="shared" si="34"/>
        <v>0</v>
      </c>
      <c r="H27" s="86">
        <f t="shared" si="35"/>
        <v>0</v>
      </c>
      <c r="I27" s="1250"/>
      <c r="J27" s="87"/>
      <c r="K27" s="1250"/>
      <c r="L27" s="87"/>
      <c r="M27" s="87"/>
      <c r="N27" s="87"/>
      <c r="O27" s="87"/>
      <c r="P27" s="87"/>
      <c r="Q27" s="87"/>
      <c r="R27" s="87"/>
      <c r="S27" s="87"/>
      <c r="T27" s="87"/>
      <c r="U27" s="87"/>
      <c r="V27" s="87"/>
      <c r="W27" s="87"/>
      <c r="X27" s="87"/>
      <c r="Y27" s="87"/>
      <c r="Z27" s="87"/>
      <c r="AA27" s="87"/>
      <c r="AB27" s="87"/>
      <c r="AC27" s="83">
        <f t="shared" si="36"/>
        <v>0</v>
      </c>
      <c r="AD27" s="88"/>
      <c r="AE27" s="88"/>
      <c r="AF27" s="1251"/>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7"/>
      <c r="C28" s="1248"/>
      <c r="D28" s="2487"/>
      <c r="E28" s="83">
        <f t="shared" si="33"/>
        <v>0</v>
      </c>
      <c r="F28" s="84"/>
      <c r="G28" s="85">
        <f t="shared" si="34"/>
        <v>0</v>
      </c>
      <c r="H28" s="86">
        <f t="shared" si="35"/>
        <v>0</v>
      </c>
      <c r="I28" s="1250"/>
      <c r="J28" s="87"/>
      <c r="K28" s="1250"/>
      <c r="L28" s="87"/>
      <c r="M28" s="87"/>
      <c r="N28" s="87"/>
      <c r="O28" s="87"/>
      <c r="P28" s="87"/>
      <c r="Q28" s="87"/>
      <c r="R28" s="87"/>
      <c r="S28" s="87"/>
      <c r="T28" s="87"/>
      <c r="U28" s="87"/>
      <c r="V28" s="87"/>
      <c r="W28" s="87"/>
      <c r="X28" s="87"/>
      <c r="Y28" s="87"/>
      <c r="Z28" s="87"/>
      <c r="AA28" s="87"/>
      <c r="AB28" s="87"/>
      <c r="AC28" s="83">
        <f t="shared" si="36"/>
        <v>0</v>
      </c>
      <c r="AD28" s="88"/>
      <c r="AE28" s="88"/>
      <c r="AF28" s="1250"/>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9"/>
      <c r="C29" s="1250"/>
      <c r="D29" s="2487"/>
      <c r="E29" s="83">
        <f t="shared" si="33"/>
        <v>0</v>
      </c>
      <c r="F29" s="84"/>
      <c r="G29" s="85">
        <f t="shared" si="34"/>
        <v>0</v>
      </c>
      <c r="H29" s="86">
        <f t="shared" si="35"/>
        <v>0</v>
      </c>
      <c r="I29" s="1250"/>
      <c r="J29" s="87"/>
      <c r="K29" s="1250"/>
      <c r="L29" s="87"/>
      <c r="M29" s="87"/>
      <c r="N29" s="87"/>
      <c r="O29" s="87"/>
      <c r="P29" s="87"/>
      <c r="Q29" s="87"/>
      <c r="R29" s="87"/>
      <c r="S29" s="87"/>
      <c r="T29" s="87"/>
      <c r="U29" s="87"/>
      <c r="V29" s="87"/>
      <c r="W29" s="87"/>
      <c r="X29" s="87"/>
      <c r="Y29" s="87"/>
      <c r="Z29" s="87"/>
      <c r="AA29" s="87"/>
      <c r="AB29" s="87"/>
      <c r="AC29" s="83">
        <f t="shared" si="36"/>
        <v>0</v>
      </c>
      <c r="AD29" s="88"/>
      <c r="AE29" s="88"/>
      <c r="AF29" s="1250"/>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7"/>
      <c r="C30" s="1248"/>
      <c r="D30" s="2487"/>
      <c r="E30" s="83">
        <f t="shared" si="33"/>
        <v>0</v>
      </c>
      <c r="F30" s="84"/>
      <c r="G30" s="85">
        <f t="shared" si="34"/>
        <v>0</v>
      </c>
      <c r="H30" s="86">
        <f t="shared" si="35"/>
        <v>0</v>
      </c>
      <c r="I30" s="1250"/>
      <c r="J30" s="87"/>
      <c r="K30" s="1250"/>
      <c r="L30" s="87"/>
      <c r="M30" s="87"/>
      <c r="N30" s="87"/>
      <c r="O30" s="87"/>
      <c r="P30" s="87"/>
      <c r="Q30" s="87"/>
      <c r="R30" s="87"/>
      <c r="S30" s="87"/>
      <c r="T30" s="87"/>
      <c r="U30" s="87"/>
      <c r="V30" s="87"/>
      <c r="W30" s="87"/>
      <c r="X30" s="87"/>
      <c r="Y30" s="87"/>
      <c r="Z30" s="87"/>
      <c r="AA30" s="87"/>
      <c r="AB30" s="87"/>
      <c r="AC30" s="83">
        <f t="shared" si="36"/>
        <v>0</v>
      </c>
      <c r="AD30" s="88"/>
      <c r="AE30" s="88"/>
      <c r="AF30" s="1250"/>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7"/>
      <c r="C31" s="1248"/>
      <c r="D31" s="2487"/>
      <c r="E31" s="83">
        <f t="shared" si="33"/>
        <v>0</v>
      </c>
      <c r="F31" s="84"/>
      <c r="G31" s="85">
        <f t="shared" si="34"/>
        <v>0</v>
      </c>
      <c r="H31" s="86">
        <f t="shared" si="35"/>
        <v>0</v>
      </c>
      <c r="I31" s="1250"/>
      <c r="J31" s="87"/>
      <c r="K31" s="1250"/>
      <c r="L31" s="87"/>
      <c r="M31" s="87"/>
      <c r="N31" s="87"/>
      <c r="O31" s="87"/>
      <c r="P31" s="87"/>
      <c r="Q31" s="87"/>
      <c r="R31" s="87"/>
      <c r="S31" s="87"/>
      <c r="T31" s="87"/>
      <c r="U31" s="87"/>
      <c r="V31" s="87"/>
      <c r="W31" s="87"/>
      <c r="X31" s="87"/>
      <c r="Y31" s="87"/>
      <c r="Z31" s="87"/>
      <c r="AA31" s="87"/>
      <c r="AB31" s="87"/>
      <c r="AC31" s="83">
        <f t="shared" si="36"/>
        <v>0</v>
      </c>
      <c r="AD31" s="88"/>
      <c r="AE31" s="88"/>
      <c r="AF31" s="1250"/>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7"/>
      <c r="C32" s="1248"/>
      <c r="D32" s="2487"/>
      <c r="E32" s="83">
        <f t="shared" si="33"/>
        <v>0</v>
      </c>
      <c r="F32" s="84"/>
      <c r="G32" s="85">
        <f t="shared" si="34"/>
        <v>0</v>
      </c>
      <c r="H32" s="86">
        <f t="shared" si="35"/>
        <v>0</v>
      </c>
      <c r="I32" s="1250"/>
      <c r="J32" s="87"/>
      <c r="K32" s="1250"/>
      <c r="L32" s="87"/>
      <c r="M32" s="87"/>
      <c r="N32" s="87"/>
      <c r="O32" s="87"/>
      <c r="P32" s="87"/>
      <c r="Q32" s="87"/>
      <c r="R32" s="87"/>
      <c r="S32" s="87"/>
      <c r="T32" s="87"/>
      <c r="U32" s="87"/>
      <c r="V32" s="87"/>
      <c r="W32" s="87"/>
      <c r="X32" s="87"/>
      <c r="Y32" s="87"/>
      <c r="Z32" s="87"/>
      <c r="AA32" s="87"/>
      <c r="AB32" s="87"/>
      <c r="AC32" s="83">
        <f t="shared" si="36"/>
        <v>0</v>
      </c>
      <c r="AD32" s="88"/>
      <c r="AE32" s="88"/>
      <c r="AF32" s="1250"/>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7"/>
      <c r="C33" s="1248"/>
      <c r="D33" s="2487"/>
      <c r="E33" s="83">
        <f t="shared" si="33"/>
        <v>0</v>
      </c>
      <c r="F33" s="84"/>
      <c r="G33" s="85">
        <f t="shared" si="34"/>
        <v>0</v>
      </c>
      <c r="H33" s="86">
        <f t="shared" si="35"/>
        <v>0</v>
      </c>
      <c r="I33" s="1250"/>
      <c r="J33" s="87"/>
      <c r="K33" s="1250"/>
      <c r="L33" s="87"/>
      <c r="M33" s="87"/>
      <c r="N33" s="87"/>
      <c r="O33" s="87"/>
      <c r="P33" s="87"/>
      <c r="Q33" s="87"/>
      <c r="R33" s="87"/>
      <c r="S33" s="87"/>
      <c r="T33" s="87"/>
      <c r="U33" s="87"/>
      <c r="V33" s="87"/>
      <c r="W33" s="87"/>
      <c r="X33" s="87"/>
      <c r="Y33" s="87"/>
      <c r="Z33" s="87"/>
      <c r="AA33" s="87"/>
      <c r="AB33" s="87"/>
      <c r="AC33" s="83">
        <f t="shared" si="36"/>
        <v>0</v>
      </c>
      <c r="AD33" s="88"/>
      <c r="AE33" s="88"/>
      <c r="AF33" s="1250"/>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7"/>
      <c r="C34" s="1248"/>
      <c r="D34" s="2487"/>
      <c r="E34" s="83">
        <f t="shared" si="33"/>
        <v>0</v>
      </c>
      <c r="F34" s="84"/>
      <c r="G34" s="85">
        <f t="shared" si="34"/>
        <v>0</v>
      </c>
      <c r="H34" s="86">
        <f t="shared" si="35"/>
        <v>0</v>
      </c>
      <c r="I34" s="1250"/>
      <c r="J34" s="87"/>
      <c r="K34" s="1250"/>
      <c r="L34" s="87"/>
      <c r="M34" s="87"/>
      <c r="N34" s="87"/>
      <c r="O34" s="87"/>
      <c r="P34" s="87"/>
      <c r="Q34" s="87"/>
      <c r="R34" s="87"/>
      <c r="S34" s="87"/>
      <c r="T34" s="87"/>
      <c r="U34" s="87"/>
      <c r="V34" s="87"/>
      <c r="W34" s="87"/>
      <c r="X34" s="87"/>
      <c r="Y34" s="87"/>
      <c r="Z34" s="87"/>
      <c r="AA34" s="87"/>
      <c r="AB34" s="87"/>
      <c r="AC34" s="83">
        <f t="shared" si="36"/>
        <v>0</v>
      </c>
      <c r="AD34" s="88"/>
      <c r="AE34" s="88"/>
      <c r="AF34" s="1250"/>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7"/>
      <c r="C35" s="1248"/>
      <c r="D35" s="2487"/>
      <c r="E35" s="83">
        <f t="shared" si="33"/>
        <v>0</v>
      </c>
      <c r="F35" s="84"/>
      <c r="G35" s="85">
        <f t="shared" si="34"/>
        <v>0</v>
      </c>
      <c r="H35" s="86">
        <f t="shared" si="35"/>
        <v>0</v>
      </c>
      <c r="I35" s="1250"/>
      <c r="J35" s="87"/>
      <c r="K35" s="1250"/>
      <c r="L35" s="87"/>
      <c r="M35" s="87"/>
      <c r="N35" s="87"/>
      <c r="O35" s="87"/>
      <c r="P35" s="87"/>
      <c r="Q35" s="87"/>
      <c r="R35" s="87"/>
      <c r="S35" s="87"/>
      <c r="T35" s="87"/>
      <c r="U35" s="87"/>
      <c r="V35" s="87"/>
      <c r="W35" s="87"/>
      <c r="X35" s="87"/>
      <c r="Y35" s="87"/>
      <c r="Z35" s="87"/>
      <c r="AA35" s="87"/>
      <c r="AB35" s="87"/>
      <c r="AC35" s="83">
        <f t="shared" si="36"/>
        <v>0</v>
      </c>
      <c r="AD35" s="88"/>
      <c r="AE35" s="88"/>
      <c r="AF35" s="1250"/>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7"/>
      <c r="C36" s="1248"/>
      <c r="D36" s="2487"/>
      <c r="E36" s="83">
        <f t="shared" si="33"/>
        <v>0</v>
      </c>
      <c r="F36" s="84"/>
      <c r="G36" s="85">
        <f t="shared" si="34"/>
        <v>0</v>
      </c>
      <c r="H36" s="86">
        <f t="shared" si="35"/>
        <v>0</v>
      </c>
      <c r="I36" s="1250"/>
      <c r="J36" s="87"/>
      <c r="K36" s="1250"/>
      <c r="L36" s="87"/>
      <c r="M36" s="87"/>
      <c r="N36" s="87"/>
      <c r="O36" s="87"/>
      <c r="P36" s="87"/>
      <c r="Q36" s="87"/>
      <c r="R36" s="87"/>
      <c r="S36" s="87"/>
      <c r="T36" s="87"/>
      <c r="U36" s="87"/>
      <c r="V36" s="87"/>
      <c r="W36" s="87"/>
      <c r="X36" s="87"/>
      <c r="Y36" s="87"/>
      <c r="Z36" s="87"/>
      <c r="AA36" s="87"/>
      <c r="AB36" s="87"/>
      <c r="AC36" s="83">
        <f t="shared" si="36"/>
        <v>0</v>
      </c>
      <c r="AD36" s="88"/>
      <c r="AE36" s="88"/>
      <c r="AF36" s="1250"/>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7"/>
      <c r="C37" s="1248"/>
      <c r="D37" s="2487"/>
      <c r="E37" s="83">
        <f t="shared" si="33"/>
        <v>0</v>
      </c>
      <c r="F37" s="84"/>
      <c r="G37" s="85">
        <f t="shared" si="34"/>
        <v>0</v>
      </c>
      <c r="H37" s="86">
        <f t="shared" si="35"/>
        <v>0</v>
      </c>
      <c r="I37" s="1250"/>
      <c r="J37" s="87"/>
      <c r="K37" s="1250"/>
      <c r="L37" s="87"/>
      <c r="M37" s="87"/>
      <c r="N37" s="87"/>
      <c r="O37" s="87"/>
      <c r="P37" s="87"/>
      <c r="Q37" s="87"/>
      <c r="R37" s="87"/>
      <c r="S37" s="87"/>
      <c r="T37" s="87"/>
      <c r="U37" s="87"/>
      <c r="V37" s="87"/>
      <c r="W37" s="87"/>
      <c r="X37" s="87"/>
      <c r="Y37" s="87"/>
      <c r="Z37" s="87"/>
      <c r="AA37" s="87"/>
      <c r="AB37" s="87"/>
      <c r="AC37" s="83">
        <f t="shared" si="36"/>
        <v>0</v>
      </c>
      <c r="AD37" s="88"/>
      <c r="AE37" s="88"/>
      <c r="AF37" s="1250"/>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7"/>
      <c r="C38" s="1248"/>
      <c r="D38" s="2487"/>
      <c r="E38" s="83">
        <f t="shared" si="33"/>
        <v>0</v>
      </c>
      <c r="F38" s="84"/>
      <c r="G38" s="85">
        <f t="shared" si="34"/>
        <v>0</v>
      </c>
      <c r="H38" s="86">
        <f t="shared" si="35"/>
        <v>0</v>
      </c>
      <c r="I38" s="1250"/>
      <c r="J38" s="87"/>
      <c r="K38" s="1250"/>
      <c r="L38" s="87"/>
      <c r="M38" s="87"/>
      <c r="N38" s="87"/>
      <c r="O38" s="87"/>
      <c r="P38" s="87"/>
      <c r="Q38" s="87"/>
      <c r="R38" s="87"/>
      <c r="S38" s="87"/>
      <c r="T38" s="87"/>
      <c r="U38" s="87"/>
      <c r="V38" s="87"/>
      <c r="W38" s="87"/>
      <c r="X38" s="87"/>
      <c r="Y38" s="87"/>
      <c r="Z38" s="87"/>
      <c r="AA38" s="87"/>
      <c r="AB38" s="87"/>
      <c r="AC38" s="83">
        <f t="shared" si="36"/>
        <v>0</v>
      </c>
      <c r="AD38" s="88"/>
      <c r="AE38" s="88"/>
      <c r="AF38" s="1250"/>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7"/>
      <c r="C39" s="1248"/>
      <c r="D39" s="2487"/>
      <c r="E39" s="83">
        <f t="shared" si="33"/>
        <v>0</v>
      </c>
      <c r="F39" s="84"/>
      <c r="G39" s="85">
        <f t="shared" si="34"/>
        <v>0</v>
      </c>
      <c r="H39" s="86">
        <f t="shared" si="35"/>
        <v>0</v>
      </c>
      <c r="I39" s="1250"/>
      <c r="J39" s="87"/>
      <c r="K39" s="1250"/>
      <c r="L39" s="87"/>
      <c r="M39" s="87"/>
      <c r="N39" s="87"/>
      <c r="O39" s="87"/>
      <c r="P39" s="87"/>
      <c r="Q39" s="87"/>
      <c r="R39" s="87"/>
      <c r="S39" s="87"/>
      <c r="T39" s="87"/>
      <c r="U39" s="87"/>
      <c r="V39" s="87"/>
      <c r="W39" s="87"/>
      <c r="X39" s="87"/>
      <c r="Y39" s="87"/>
      <c r="Z39" s="87"/>
      <c r="AA39" s="87"/>
      <c r="AB39" s="87"/>
      <c r="AC39" s="83">
        <f t="shared" si="36"/>
        <v>0</v>
      </c>
      <c r="AD39" s="88"/>
      <c r="AE39" s="88"/>
      <c r="AF39" s="1250"/>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7"/>
      <c r="C40" s="1248"/>
      <c r="D40" s="2487"/>
      <c r="E40" s="83">
        <f t="shared" si="33"/>
        <v>0</v>
      </c>
      <c r="F40" s="84"/>
      <c r="G40" s="85">
        <f t="shared" si="34"/>
        <v>0</v>
      </c>
      <c r="H40" s="86">
        <f t="shared" si="35"/>
        <v>0</v>
      </c>
      <c r="I40" s="1250"/>
      <c r="J40" s="87"/>
      <c r="K40" s="1250"/>
      <c r="L40" s="87"/>
      <c r="M40" s="87"/>
      <c r="N40" s="87"/>
      <c r="O40" s="87"/>
      <c r="P40" s="87"/>
      <c r="Q40" s="87"/>
      <c r="R40" s="87"/>
      <c r="S40" s="87"/>
      <c r="T40" s="87"/>
      <c r="U40" s="87"/>
      <c r="V40" s="87"/>
      <c r="W40" s="87"/>
      <c r="X40" s="87"/>
      <c r="Y40" s="87"/>
      <c r="Z40" s="87"/>
      <c r="AA40" s="87"/>
      <c r="AB40" s="87"/>
      <c r="AC40" s="83">
        <f t="shared" si="36"/>
        <v>0</v>
      </c>
      <c r="AD40" s="88"/>
      <c r="AE40" s="88"/>
      <c r="AF40" s="1250"/>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7"/>
      <c r="C41" s="1248"/>
      <c r="D41" s="2487"/>
      <c r="E41" s="83">
        <f t="shared" si="33"/>
        <v>0</v>
      </c>
      <c r="F41" s="84"/>
      <c r="G41" s="85">
        <f t="shared" si="34"/>
        <v>0</v>
      </c>
      <c r="H41" s="86">
        <f t="shared" si="35"/>
        <v>0</v>
      </c>
      <c r="I41" s="1250"/>
      <c r="J41" s="87"/>
      <c r="K41" s="1250"/>
      <c r="L41" s="87"/>
      <c r="M41" s="87"/>
      <c r="N41" s="87"/>
      <c r="O41" s="87"/>
      <c r="P41" s="87"/>
      <c r="Q41" s="87"/>
      <c r="R41" s="87"/>
      <c r="S41" s="87"/>
      <c r="T41" s="87"/>
      <c r="U41" s="87"/>
      <c r="V41" s="87"/>
      <c r="W41" s="87"/>
      <c r="X41" s="87"/>
      <c r="Y41" s="87"/>
      <c r="Z41" s="87"/>
      <c r="AA41" s="87"/>
      <c r="AB41" s="87"/>
      <c r="AC41" s="83">
        <f t="shared" si="36"/>
        <v>0</v>
      </c>
      <c r="AD41" s="88"/>
      <c r="AE41" s="88"/>
      <c r="AF41" s="1250"/>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7"/>
      <c r="C42" s="1248"/>
      <c r="D42" s="2487"/>
      <c r="E42" s="83">
        <f t="shared" si="33"/>
        <v>0</v>
      </c>
      <c r="F42" s="84"/>
      <c r="G42" s="85">
        <f t="shared" si="34"/>
        <v>0</v>
      </c>
      <c r="H42" s="86">
        <f t="shared" si="35"/>
        <v>0</v>
      </c>
      <c r="I42" s="1250"/>
      <c r="J42" s="87"/>
      <c r="K42" s="1250"/>
      <c r="L42" s="87"/>
      <c r="M42" s="87"/>
      <c r="N42" s="87"/>
      <c r="O42" s="87"/>
      <c r="P42" s="87"/>
      <c r="Q42" s="87"/>
      <c r="R42" s="87"/>
      <c r="S42" s="87"/>
      <c r="T42" s="87"/>
      <c r="U42" s="87"/>
      <c r="V42" s="87"/>
      <c r="W42" s="87"/>
      <c r="X42" s="87"/>
      <c r="Y42" s="87"/>
      <c r="Z42" s="87"/>
      <c r="AA42" s="87"/>
      <c r="AB42" s="87"/>
      <c r="AC42" s="83">
        <f t="shared" si="36"/>
        <v>0</v>
      </c>
      <c r="AD42" s="88"/>
      <c r="AE42" s="88"/>
      <c r="AF42" s="1250"/>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7"/>
      <c r="C43" s="1248"/>
      <c r="D43" s="2487"/>
      <c r="E43" s="83">
        <f t="shared" si="33"/>
        <v>0</v>
      </c>
      <c r="F43" s="84"/>
      <c r="G43" s="85">
        <f t="shared" si="34"/>
        <v>0</v>
      </c>
      <c r="H43" s="86">
        <f t="shared" si="35"/>
        <v>0</v>
      </c>
      <c r="I43" s="1250"/>
      <c r="J43" s="87"/>
      <c r="K43" s="1250"/>
      <c r="L43" s="87"/>
      <c r="M43" s="87"/>
      <c r="N43" s="87"/>
      <c r="O43" s="87"/>
      <c r="P43" s="87"/>
      <c r="Q43" s="87"/>
      <c r="R43" s="87"/>
      <c r="S43" s="87"/>
      <c r="T43" s="87"/>
      <c r="U43" s="87"/>
      <c r="V43" s="87"/>
      <c r="W43" s="87"/>
      <c r="X43" s="87"/>
      <c r="Y43" s="87"/>
      <c r="Z43" s="87"/>
      <c r="AA43" s="87"/>
      <c r="AB43" s="87"/>
      <c r="AC43" s="83">
        <f t="shared" si="36"/>
        <v>0</v>
      </c>
      <c r="AD43" s="88"/>
      <c r="AE43" s="88"/>
      <c r="AF43" s="1250"/>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7"/>
      <c r="C44" s="1248"/>
      <c r="D44" s="2487"/>
      <c r="E44" s="83">
        <f t="shared" si="33"/>
        <v>0</v>
      </c>
      <c r="F44" s="84"/>
      <c r="G44" s="85">
        <f t="shared" si="34"/>
        <v>0</v>
      </c>
      <c r="H44" s="86">
        <f t="shared" si="35"/>
        <v>0</v>
      </c>
      <c r="I44" s="1250"/>
      <c r="J44" s="87"/>
      <c r="K44" s="1250"/>
      <c r="L44" s="87"/>
      <c r="M44" s="87"/>
      <c r="N44" s="87"/>
      <c r="O44" s="87"/>
      <c r="P44" s="87"/>
      <c r="Q44" s="87"/>
      <c r="R44" s="87"/>
      <c r="S44" s="87"/>
      <c r="T44" s="87"/>
      <c r="U44" s="87"/>
      <c r="V44" s="87"/>
      <c r="W44" s="87"/>
      <c r="X44" s="87"/>
      <c r="Y44" s="87"/>
      <c r="Z44" s="87"/>
      <c r="AA44" s="87"/>
      <c r="AB44" s="87"/>
      <c r="AC44" s="83">
        <f t="shared" si="36"/>
        <v>0</v>
      </c>
      <c r="AD44" s="88"/>
      <c r="AE44" s="88"/>
      <c r="AF44" s="1250"/>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7"/>
      <c r="C45" s="1248"/>
      <c r="D45" s="2487"/>
      <c r="E45" s="83">
        <f t="shared" si="33"/>
        <v>0</v>
      </c>
      <c r="F45" s="84"/>
      <c r="G45" s="85">
        <f t="shared" si="34"/>
        <v>0</v>
      </c>
      <c r="H45" s="86">
        <f t="shared" si="35"/>
        <v>0</v>
      </c>
      <c r="I45" s="1250"/>
      <c r="J45" s="87"/>
      <c r="K45" s="1250"/>
      <c r="L45" s="87"/>
      <c r="M45" s="87"/>
      <c r="N45" s="87"/>
      <c r="O45" s="87"/>
      <c r="P45" s="87"/>
      <c r="Q45" s="87"/>
      <c r="R45" s="87"/>
      <c r="S45" s="87"/>
      <c r="T45" s="87"/>
      <c r="U45" s="87"/>
      <c r="V45" s="87"/>
      <c r="W45" s="87"/>
      <c r="X45" s="87"/>
      <c r="Y45" s="87"/>
      <c r="Z45" s="87"/>
      <c r="AA45" s="87"/>
      <c r="AB45" s="87"/>
      <c r="AC45" s="83">
        <f t="shared" si="36"/>
        <v>0</v>
      </c>
      <c r="AD45" s="88"/>
      <c r="AE45" s="88"/>
      <c r="AF45" s="1250"/>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7"/>
      <c r="C46" s="1248"/>
      <c r="D46" s="2487"/>
      <c r="E46" s="83">
        <f t="shared" si="33"/>
        <v>0</v>
      </c>
      <c r="F46" s="84"/>
      <c r="G46" s="85">
        <f t="shared" si="34"/>
        <v>0</v>
      </c>
      <c r="H46" s="86">
        <f t="shared" si="35"/>
        <v>0</v>
      </c>
      <c r="I46" s="1250"/>
      <c r="J46" s="87"/>
      <c r="K46" s="1250"/>
      <c r="L46" s="87"/>
      <c r="M46" s="87"/>
      <c r="N46" s="87"/>
      <c r="O46" s="87"/>
      <c r="P46" s="87"/>
      <c r="Q46" s="87"/>
      <c r="R46" s="87"/>
      <c r="S46" s="87"/>
      <c r="T46" s="87"/>
      <c r="U46" s="87"/>
      <c r="V46" s="87"/>
      <c r="W46" s="87"/>
      <c r="X46" s="87"/>
      <c r="Y46" s="87"/>
      <c r="Z46" s="87"/>
      <c r="AA46" s="87"/>
      <c r="AB46" s="87"/>
      <c r="AC46" s="83">
        <f t="shared" si="36"/>
        <v>0</v>
      </c>
      <c r="AD46" s="88"/>
      <c r="AE46" s="88"/>
      <c r="AF46" s="1250"/>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7"/>
      <c r="C47" s="1248"/>
      <c r="D47" s="2487"/>
      <c r="E47" s="83">
        <f t="shared" si="33"/>
        <v>0</v>
      </c>
      <c r="F47" s="84"/>
      <c r="G47" s="85">
        <f t="shared" si="34"/>
        <v>0</v>
      </c>
      <c r="H47" s="86">
        <f t="shared" si="35"/>
        <v>0</v>
      </c>
      <c r="I47" s="1250"/>
      <c r="J47" s="87"/>
      <c r="K47" s="1250"/>
      <c r="L47" s="87"/>
      <c r="M47" s="87"/>
      <c r="N47" s="87"/>
      <c r="O47" s="87"/>
      <c r="P47" s="87"/>
      <c r="Q47" s="87"/>
      <c r="R47" s="87"/>
      <c r="S47" s="87"/>
      <c r="T47" s="87"/>
      <c r="U47" s="87"/>
      <c r="V47" s="87"/>
      <c r="W47" s="87"/>
      <c r="X47" s="87"/>
      <c r="Y47" s="87"/>
      <c r="Z47" s="87"/>
      <c r="AA47" s="87"/>
      <c r="AB47" s="87"/>
      <c r="AC47" s="83">
        <f t="shared" si="36"/>
        <v>0</v>
      </c>
      <c r="AD47" s="88"/>
      <c r="AE47" s="88"/>
      <c r="AF47" s="1248"/>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7"/>
      <c r="C48" s="1248"/>
      <c r="D48" s="2487"/>
      <c r="E48" s="83">
        <f t="shared" si="33"/>
        <v>0</v>
      </c>
      <c r="F48" s="84"/>
      <c r="G48" s="85">
        <f t="shared" si="34"/>
        <v>0</v>
      </c>
      <c r="H48" s="86">
        <f t="shared" si="35"/>
        <v>0</v>
      </c>
      <c r="I48" s="1248"/>
      <c r="J48" s="87"/>
      <c r="K48" s="1248"/>
      <c r="L48" s="87"/>
      <c r="M48" s="87"/>
      <c r="N48" s="87"/>
      <c r="O48" s="87"/>
      <c r="P48" s="87"/>
      <c r="Q48" s="87"/>
      <c r="R48" s="87"/>
      <c r="S48" s="87"/>
      <c r="T48" s="87"/>
      <c r="U48" s="87"/>
      <c r="V48" s="87"/>
      <c r="W48" s="87"/>
      <c r="X48" s="87"/>
      <c r="Y48" s="87"/>
      <c r="Z48" s="87"/>
      <c r="AA48" s="87"/>
      <c r="AB48" s="87"/>
      <c r="AC48" s="83">
        <f t="shared" si="36"/>
        <v>0</v>
      </c>
      <c r="AD48" s="88"/>
      <c r="AE48" s="88"/>
      <c r="AF48" s="1248"/>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7"/>
      <c r="C49" s="1248"/>
      <c r="D49" s="2487"/>
      <c r="E49" s="83">
        <f t="shared" si="33"/>
        <v>0</v>
      </c>
      <c r="F49" s="84"/>
      <c r="G49" s="85">
        <f t="shared" si="34"/>
        <v>0</v>
      </c>
      <c r="H49" s="86">
        <f t="shared" si="35"/>
        <v>0</v>
      </c>
      <c r="I49" s="1248"/>
      <c r="J49" s="87"/>
      <c r="K49" s="1248"/>
      <c r="L49" s="87"/>
      <c r="M49" s="87"/>
      <c r="N49" s="87"/>
      <c r="O49" s="87"/>
      <c r="P49" s="87"/>
      <c r="Q49" s="87"/>
      <c r="R49" s="87"/>
      <c r="S49" s="87"/>
      <c r="T49" s="87"/>
      <c r="U49" s="87"/>
      <c r="V49" s="87"/>
      <c r="W49" s="87"/>
      <c r="X49" s="87"/>
      <c r="Y49" s="87"/>
      <c r="Z49" s="87"/>
      <c r="AA49" s="87"/>
      <c r="AB49" s="87"/>
      <c r="AC49" s="83">
        <f t="shared" si="36"/>
        <v>0</v>
      </c>
      <c r="AD49" s="88"/>
      <c r="AE49" s="88"/>
      <c r="AF49" s="1248"/>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7"/>
      <c r="C50" s="1248"/>
      <c r="D50" s="2487"/>
      <c r="E50" s="83">
        <f t="shared" si="33"/>
        <v>0</v>
      </c>
      <c r="F50" s="84"/>
      <c r="G50" s="85">
        <f t="shared" si="34"/>
        <v>0</v>
      </c>
      <c r="H50" s="86">
        <f t="shared" si="35"/>
        <v>0</v>
      </c>
      <c r="I50" s="1248"/>
      <c r="J50" s="87"/>
      <c r="K50" s="1248"/>
      <c r="L50" s="87"/>
      <c r="M50" s="87"/>
      <c r="N50" s="87"/>
      <c r="O50" s="87"/>
      <c r="P50" s="87"/>
      <c r="Q50" s="87"/>
      <c r="R50" s="87"/>
      <c r="S50" s="87"/>
      <c r="T50" s="87"/>
      <c r="U50" s="87"/>
      <c r="V50" s="87"/>
      <c r="W50" s="87"/>
      <c r="X50" s="87"/>
      <c r="Y50" s="87"/>
      <c r="Z50" s="87"/>
      <c r="AA50" s="87"/>
      <c r="AB50" s="87"/>
      <c r="AC50" s="83">
        <f t="shared" si="36"/>
        <v>0</v>
      </c>
      <c r="AD50" s="88"/>
      <c r="AE50" s="88"/>
      <c r="AF50" s="1248"/>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7"/>
      <c r="C51" s="1248"/>
      <c r="D51" s="2487"/>
      <c r="E51" s="83">
        <f t="shared" si="33"/>
        <v>0</v>
      </c>
      <c r="F51" s="84"/>
      <c r="G51" s="85">
        <f t="shared" si="34"/>
        <v>0</v>
      </c>
      <c r="H51" s="86">
        <f t="shared" si="35"/>
        <v>0</v>
      </c>
      <c r="I51" s="1248"/>
      <c r="J51" s="87"/>
      <c r="K51" s="1248"/>
      <c r="L51" s="87"/>
      <c r="M51" s="87"/>
      <c r="N51" s="87"/>
      <c r="O51" s="87"/>
      <c r="P51" s="87"/>
      <c r="Q51" s="87"/>
      <c r="R51" s="87"/>
      <c r="S51" s="87"/>
      <c r="T51" s="87"/>
      <c r="U51" s="87"/>
      <c r="V51" s="87"/>
      <c r="W51" s="87"/>
      <c r="X51" s="87"/>
      <c r="Y51" s="87"/>
      <c r="Z51" s="87"/>
      <c r="AA51" s="87"/>
      <c r="AB51" s="87"/>
      <c r="AC51" s="83">
        <f t="shared" si="36"/>
        <v>0</v>
      </c>
      <c r="AD51" s="88"/>
      <c r="AE51" s="88"/>
      <c r="AF51" s="1248"/>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7"/>
      <c r="C52" s="1248"/>
      <c r="D52" s="2487"/>
      <c r="E52" s="83">
        <f t="shared" si="33"/>
        <v>0</v>
      </c>
      <c r="F52" s="84"/>
      <c r="G52" s="85">
        <f t="shared" si="34"/>
        <v>0</v>
      </c>
      <c r="H52" s="86">
        <f t="shared" si="35"/>
        <v>0</v>
      </c>
      <c r="I52" s="1248"/>
      <c r="J52" s="87"/>
      <c r="K52" s="1248"/>
      <c r="L52" s="87"/>
      <c r="M52" s="87"/>
      <c r="N52" s="87"/>
      <c r="O52" s="87"/>
      <c r="P52" s="87"/>
      <c r="Q52" s="87"/>
      <c r="R52" s="87"/>
      <c r="S52" s="87"/>
      <c r="T52" s="87"/>
      <c r="U52" s="87"/>
      <c r="V52" s="87"/>
      <c r="W52" s="87"/>
      <c r="X52" s="87"/>
      <c r="Y52" s="87"/>
      <c r="Z52" s="87"/>
      <c r="AA52" s="87"/>
      <c r="AB52" s="87"/>
      <c r="AC52" s="83">
        <f t="shared" si="36"/>
        <v>0</v>
      </c>
      <c r="AD52" s="88"/>
      <c r="AE52" s="88"/>
      <c r="AF52" s="1248"/>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7"/>
      <c r="C53" s="1248"/>
      <c r="D53" s="2487"/>
      <c r="E53" s="83">
        <f t="shared" si="33"/>
        <v>0</v>
      </c>
      <c r="F53" s="84"/>
      <c r="G53" s="85">
        <f t="shared" si="34"/>
        <v>0</v>
      </c>
      <c r="H53" s="86">
        <f t="shared" si="35"/>
        <v>0</v>
      </c>
      <c r="I53" s="1248"/>
      <c r="J53" s="87"/>
      <c r="K53" s="1248"/>
      <c r="L53" s="87"/>
      <c r="M53" s="87"/>
      <c r="N53" s="87"/>
      <c r="O53" s="87"/>
      <c r="P53" s="87"/>
      <c r="Q53" s="87"/>
      <c r="R53" s="87"/>
      <c r="S53" s="87"/>
      <c r="T53" s="87"/>
      <c r="U53" s="87"/>
      <c r="V53" s="87"/>
      <c r="W53" s="87"/>
      <c r="X53" s="87"/>
      <c r="Y53" s="87"/>
      <c r="Z53" s="87"/>
      <c r="AA53" s="87"/>
      <c r="AB53" s="87"/>
      <c r="AC53" s="83">
        <f t="shared" si="36"/>
        <v>0</v>
      </c>
      <c r="AD53" s="88"/>
      <c r="AE53" s="88"/>
      <c r="AF53" s="1248"/>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7"/>
      <c r="C54" s="1248"/>
      <c r="D54" s="2487"/>
      <c r="E54" s="83">
        <f t="shared" si="33"/>
        <v>0</v>
      </c>
      <c r="F54" s="84"/>
      <c r="G54" s="85">
        <f t="shared" si="34"/>
        <v>0</v>
      </c>
      <c r="H54" s="86">
        <f t="shared" si="35"/>
        <v>0</v>
      </c>
      <c r="I54" s="1248"/>
      <c r="J54" s="87"/>
      <c r="K54" s="1248"/>
      <c r="L54" s="87"/>
      <c r="M54" s="87"/>
      <c r="N54" s="87"/>
      <c r="O54" s="87"/>
      <c r="P54" s="87"/>
      <c r="Q54" s="87"/>
      <c r="R54" s="87"/>
      <c r="S54" s="87"/>
      <c r="T54" s="87"/>
      <c r="U54" s="87"/>
      <c r="V54" s="87"/>
      <c r="W54" s="87"/>
      <c r="X54" s="87"/>
      <c r="Y54" s="87"/>
      <c r="Z54" s="87"/>
      <c r="AA54" s="87"/>
      <c r="AB54" s="87"/>
      <c r="AC54" s="83">
        <f t="shared" si="36"/>
        <v>0</v>
      </c>
      <c r="AD54" s="88"/>
      <c r="AE54" s="88"/>
      <c r="AF54" s="1248"/>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9"/>
      <c r="C55" s="1250"/>
      <c r="D55" s="2487"/>
      <c r="E55" s="83">
        <f t="shared" si="33"/>
        <v>0</v>
      </c>
      <c r="F55" s="84"/>
      <c r="G55" s="85">
        <f t="shared" si="34"/>
        <v>0</v>
      </c>
      <c r="H55" s="86">
        <f t="shared" si="35"/>
        <v>0</v>
      </c>
      <c r="I55" s="1248"/>
      <c r="J55" s="87"/>
      <c r="K55" s="1248"/>
      <c r="L55" s="87"/>
      <c r="M55" s="1248"/>
      <c r="N55" s="87"/>
      <c r="O55" s="87"/>
      <c r="P55" s="87"/>
      <c r="Q55" s="87"/>
      <c r="R55" s="87"/>
      <c r="S55" s="87"/>
      <c r="T55" s="87"/>
      <c r="U55" s="87"/>
      <c r="V55" s="87"/>
      <c r="W55" s="87"/>
      <c r="X55" s="87"/>
      <c r="Y55" s="87"/>
      <c r="Z55" s="87"/>
      <c r="AA55" s="87"/>
      <c r="AB55" s="87"/>
      <c r="AC55" s="83">
        <f t="shared" si="36"/>
        <v>0</v>
      </c>
      <c r="AD55" s="88"/>
      <c r="AE55" s="88"/>
      <c r="AF55" s="1248"/>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7"/>
      <c r="C113" s="1248"/>
      <c r="D113" s="2487"/>
      <c r="E113" s="83">
        <f t="shared" ref="E113:E144" si="87">IF($C$3="是",ROUND($A$3*G113/$B$3,2),ROUND($A$3*(G113-AT113)/$B$3,2))</f>
        <v>0</v>
      </c>
      <c r="F113" s="84"/>
      <c r="G113" s="85">
        <f t="shared" si="62"/>
        <v>0</v>
      </c>
      <c r="H113" s="86">
        <f t="shared" si="63"/>
        <v>0</v>
      </c>
      <c r="I113" s="1250"/>
      <c r="J113" s="87"/>
      <c r="K113" s="1250"/>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1"/>
      <c r="AG113" s="88"/>
      <c r="AH113" s="88"/>
      <c r="AI113" s="88"/>
      <c r="AJ113" s="88"/>
      <c r="AK113" s="88"/>
      <c r="AL113" s="88"/>
      <c r="AM113" s="88"/>
      <c r="AN113" s="1223"/>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7"/>
      <c r="C114" s="1248"/>
      <c r="D114" s="2487"/>
      <c r="E114" s="83">
        <f t="shared" si="87"/>
        <v>0</v>
      </c>
      <c r="F114" s="84"/>
      <c r="G114" s="85">
        <f t="shared" si="62"/>
        <v>0</v>
      </c>
      <c r="H114" s="86">
        <f t="shared" si="63"/>
        <v>0</v>
      </c>
      <c r="I114" s="1250"/>
      <c r="J114" s="87"/>
      <c r="K114" s="1250"/>
      <c r="L114" s="87"/>
      <c r="M114" s="1223"/>
      <c r="N114" s="87"/>
      <c r="O114" s="87"/>
      <c r="P114" s="87"/>
      <c r="Q114" s="87"/>
      <c r="R114" s="87"/>
      <c r="S114" s="87"/>
      <c r="T114" s="87"/>
      <c r="U114" s="87"/>
      <c r="V114" s="87"/>
      <c r="W114" s="87"/>
      <c r="X114" s="87"/>
      <c r="Y114" s="87"/>
      <c r="Z114" s="87"/>
      <c r="AA114" s="87"/>
      <c r="AB114" s="87"/>
      <c r="AC114" s="83">
        <f t="shared" si="64"/>
        <v>0</v>
      </c>
      <c r="AD114" s="1223"/>
      <c r="AE114" s="88"/>
      <c r="AF114" s="1251"/>
      <c r="AG114" s="88"/>
      <c r="AH114" s="88"/>
      <c r="AI114" s="88"/>
      <c r="AJ114" s="88"/>
      <c r="AK114" s="88"/>
      <c r="AL114" s="1223"/>
      <c r="AM114" s="88"/>
      <c r="AN114" s="1223"/>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7"/>
      <c r="C115" s="1248"/>
      <c r="D115" s="2487"/>
      <c r="E115" s="83">
        <f t="shared" si="87"/>
        <v>0</v>
      </c>
      <c r="F115" s="84"/>
      <c r="G115" s="85">
        <f t="shared" si="62"/>
        <v>0</v>
      </c>
      <c r="H115" s="86">
        <f t="shared" si="63"/>
        <v>0</v>
      </c>
      <c r="I115" s="1250"/>
      <c r="J115" s="87"/>
      <c r="K115" s="1250"/>
      <c r="L115" s="87"/>
      <c r="M115" s="1223"/>
      <c r="N115" s="87"/>
      <c r="O115" s="87"/>
      <c r="P115" s="87"/>
      <c r="Q115" s="87"/>
      <c r="R115" s="87"/>
      <c r="S115" s="87"/>
      <c r="T115" s="87"/>
      <c r="U115" s="87"/>
      <c r="V115" s="87"/>
      <c r="W115" s="87"/>
      <c r="X115" s="87"/>
      <c r="Y115" s="87"/>
      <c r="Z115" s="87"/>
      <c r="AA115" s="87"/>
      <c r="AB115" s="87"/>
      <c r="AC115" s="83">
        <f t="shared" si="64"/>
        <v>0</v>
      </c>
      <c r="AD115" s="88"/>
      <c r="AE115" s="88"/>
      <c r="AF115" s="1251"/>
      <c r="AG115" s="88"/>
      <c r="AH115" s="88"/>
      <c r="AI115" s="88"/>
      <c r="AJ115" s="88"/>
      <c r="AK115" s="88"/>
      <c r="AL115" s="1223"/>
      <c r="AM115" s="88"/>
      <c r="AN115" s="1223"/>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7"/>
      <c r="C116" s="1248"/>
      <c r="D116" s="2487"/>
      <c r="E116" s="83">
        <f t="shared" si="87"/>
        <v>0</v>
      </c>
      <c r="F116" s="84"/>
      <c r="G116" s="85">
        <f t="shared" si="62"/>
        <v>0</v>
      </c>
      <c r="H116" s="86">
        <f t="shared" si="63"/>
        <v>0</v>
      </c>
      <c r="I116" s="1250"/>
      <c r="J116" s="87"/>
      <c r="K116" s="1250"/>
      <c r="L116" s="87"/>
      <c r="M116" s="87"/>
      <c r="N116" s="87"/>
      <c r="O116" s="1223"/>
      <c r="P116" s="87"/>
      <c r="Q116" s="87"/>
      <c r="R116" s="87"/>
      <c r="S116" s="87"/>
      <c r="T116" s="87"/>
      <c r="U116" s="87"/>
      <c r="V116" s="87"/>
      <c r="W116" s="87"/>
      <c r="X116" s="87"/>
      <c r="Y116" s="87"/>
      <c r="Z116" s="87"/>
      <c r="AA116" s="87"/>
      <c r="AB116" s="87"/>
      <c r="AC116" s="83">
        <f t="shared" si="64"/>
        <v>0</v>
      </c>
      <c r="AD116" s="88"/>
      <c r="AE116" s="88"/>
      <c r="AF116" s="1251"/>
      <c r="AG116" s="88"/>
      <c r="AH116" s="88"/>
      <c r="AI116" s="88"/>
      <c r="AJ116" s="88"/>
      <c r="AK116" s="88"/>
      <c r="AL116" s="88"/>
      <c r="AM116" s="88"/>
      <c r="AN116" s="1223"/>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7"/>
      <c r="C117" s="1248"/>
      <c r="D117" s="2487"/>
      <c r="E117" s="83">
        <f t="shared" si="87"/>
        <v>0</v>
      </c>
      <c r="F117" s="84"/>
      <c r="G117" s="85">
        <f t="shared" si="62"/>
        <v>0</v>
      </c>
      <c r="H117" s="86">
        <f t="shared" si="63"/>
        <v>0</v>
      </c>
      <c r="I117" s="1250"/>
      <c r="J117" s="87"/>
      <c r="K117" s="1250"/>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1"/>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7"/>
      <c r="C118" s="1248"/>
      <c r="D118" s="2487"/>
      <c r="E118" s="83">
        <f t="shared" si="87"/>
        <v>0</v>
      </c>
      <c r="F118" s="84"/>
      <c r="G118" s="85">
        <f t="shared" si="62"/>
        <v>0</v>
      </c>
      <c r="H118" s="86">
        <f t="shared" si="63"/>
        <v>0</v>
      </c>
      <c r="I118" s="1250"/>
      <c r="J118" s="87"/>
      <c r="K118" s="1250"/>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1"/>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7"/>
      <c r="C119" s="1248"/>
      <c r="D119" s="2487"/>
      <c r="E119" s="83">
        <f t="shared" si="87"/>
        <v>0</v>
      </c>
      <c r="F119" s="84"/>
      <c r="G119" s="85">
        <f t="shared" si="62"/>
        <v>0</v>
      </c>
      <c r="H119" s="86">
        <f t="shared" si="63"/>
        <v>0</v>
      </c>
      <c r="I119" s="1250"/>
      <c r="J119" s="87"/>
      <c r="K119" s="1250"/>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1"/>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7"/>
      <c r="C120" s="1248"/>
      <c r="D120" s="2487"/>
      <c r="E120" s="83">
        <f t="shared" si="87"/>
        <v>0</v>
      </c>
      <c r="F120" s="84"/>
      <c r="G120" s="85">
        <f t="shared" si="62"/>
        <v>0</v>
      </c>
      <c r="H120" s="86">
        <f t="shared" si="63"/>
        <v>0</v>
      </c>
      <c r="I120" s="1250"/>
      <c r="J120" s="87"/>
      <c r="K120" s="1250"/>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0"/>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9"/>
      <c r="C121" s="1250"/>
      <c r="D121" s="2487"/>
      <c r="E121" s="83">
        <f t="shared" si="87"/>
        <v>0</v>
      </c>
      <c r="F121" s="84"/>
      <c r="G121" s="85">
        <f t="shared" si="62"/>
        <v>0</v>
      </c>
      <c r="H121" s="86">
        <f t="shared" si="63"/>
        <v>0</v>
      </c>
      <c r="I121" s="1250"/>
      <c r="J121" s="87"/>
      <c r="K121" s="1250"/>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0"/>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7"/>
      <c r="C122" s="1248"/>
      <c r="D122" s="2487"/>
      <c r="E122" s="83">
        <f t="shared" si="87"/>
        <v>0</v>
      </c>
      <c r="F122" s="84"/>
      <c r="G122" s="85">
        <f t="shared" si="62"/>
        <v>0</v>
      </c>
      <c r="H122" s="86">
        <f t="shared" si="63"/>
        <v>0</v>
      </c>
      <c r="I122" s="1250"/>
      <c r="J122" s="87"/>
      <c r="K122" s="1250"/>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0"/>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7"/>
      <c r="C123" s="1248"/>
      <c r="D123" s="2487"/>
      <c r="E123" s="83">
        <f t="shared" si="87"/>
        <v>0</v>
      </c>
      <c r="F123" s="84"/>
      <c r="G123" s="85">
        <f t="shared" si="62"/>
        <v>0</v>
      </c>
      <c r="H123" s="86">
        <f t="shared" si="63"/>
        <v>0</v>
      </c>
      <c r="I123" s="1250"/>
      <c r="J123" s="87"/>
      <c r="K123" s="1250"/>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0"/>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7"/>
      <c r="C124" s="1248"/>
      <c r="D124" s="2487"/>
      <c r="E124" s="83">
        <f t="shared" si="87"/>
        <v>0</v>
      </c>
      <c r="F124" s="84"/>
      <c r="G124" s="85">
        <f t="shared" si="62"/>
        <v>0</v>
      </c>
      <c r="H124" s="86">
        <f t="shared" si="63"/>
        <v>0</v>
      </c>
      <c r="I124" s="1250"/>
      <c r="J124" s="87"/>
      <c r="K124" s="1250"/>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0"/>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7"/>
      <c r="C125" s="1248"/>
      <c r="D125" s="2487"/>
      <c r="E125" s="83">
        <f t="shared" si="87"/>
        <v>0</v>
      </c>
      <c r="F125" s="84"/>
      <c r="G125" s="85">
        <f t="shared" si="62"/>
        <v>0</v>
      </c>
      <c r="H125" s="86">
        <f t="shared" si="63"/>
        <v>0</v>
      </c>
      <c r="I125" s="1250"/>
      <c r="J125" s="87"/>
      <c r="K125" s="1250"/>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0"/>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7"/>
      <c r="C126" s="1248"/>
      <c r="D126" s="2487"/>
      <c r="E126" s="83">
        <f t="shared" si="87"/>
        <v>0</v>
      </c>
      <c r="F126" s="84"/>
      <c r="G126" s="85">
        <f t="shared" si="62"/>
        <v>0</v>
      </c>
      <c r="H126" s="86">
        <f t="shared" si="63"/>
        <v>0</v>
      </c>
      <c r="I126" s="1250"/>
      <c r="J126" s="87"/>
      <c r="K126" s="1250"/>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0"/>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7"/>
      <c r="C127" s="1248"/>
      <c r="D127" s="2487"/>
      <c r="E127" s="83">
        <f t="shared" si="87"/>
        <v>0</v>
      </c>
      <c r="F127" s="84"/>
      <c r="G127" s="85">
        <f t="shared" si="62"/>
        <v>0</v>
      </c>
      <c r="H127" s="86">
        <f t="shared" si="63"/>
        <v>0</v>
      </c>
      <c r="I127" s="1250"/>
      <c r="J127" s="87"/>
      <c r="K127" s="1250"/>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0"/>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7"/>
      <c r="C128" s="1248"/>
      <c r="D128" s="2487"/>
      <c r="E128" s="83">
        <f t="shared" si="87"/>
        <v>0</v>
      </c>
      <c r="F128" s="84"/>
      <c r="G128" s="85">
        <f t="shared" si="62"/>
        <v>0</v>
      </c>
      <c r="H128" s="86">
        <f t="shared" si="63"/>
        <v>0</v>
      </c>
      <c r="I128" s="1250"/>
      <c r="J128" s="87"/>
      <c r="K128" s="1250"/>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0"/>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7"/>
      <c r="C129" s="1248"/>
      <c r="D129" s="2487"/>
      <c r="E129" s="83">
        <f t="shared" si="87"/>
        <v>0</v>
      </c>
      <c r="F129" s="84"/>
      <c r="G129" s="85">
        <f t="shared" si="62"/>
        <v>0</v>
      </c>
      <c r="H129" s="86">
        <f t="shared" si="63"/>
        <v>0</v>
      </c>
      <c r="I129" s="1250"/>
      <c r="J129" s="87"/>
      <c r="K129" s="1250"/>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0"/>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7"/>
      <c r="C130" s="1248"/>
      <c r="D130" s="2487"/>
      <c r="E130" s="83">
        <f t="shared" si="87"/>
        <v>0</v>
      </c>
      <c r="F130" s="84"/>
      <c r="G130" s="85">
        <f t="shared" si="62"/>
        <v>0</v>
      </c>
      <c r="H130" s="86">
        <f t="shared" si="63"/>
        <v>0</v>
      </c>
      <c r="I130" s="1250"/>
      <c r="J130" s="87"/>
      <c r="K130" s="1250"/>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0"/>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7"/>
      <c r="C131" s="1248"/>
      <c r="D131" s="2487"/>
      <c r="E131" s="83">
        <f t="shared" si="87"/>
        <v>0</v>
      </c>
      <c r="F131" s="84"/>
      <c r="G131" s="85">
        <f t="shared" si="62"/>
        <v>0</v>
      </c>
      <c r="H131" s="86">
        <f t="shared" si="63"/>
        <v>0</v>
      </c>
      <c r="I131" s="1250"/>
      <c r="J131" s="87"/>
      <c r="K131" s="1250"/>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0"/>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7"/>
      <c r="C132" s="1248"/>
      <c r="D132" s="2487"/>
      <c r="E132" s="83">
        <f t="shared" si="87"/>
        <v>0</v>
      </c>
      <c r="F132" s="84"/>
      <c r="G132" s="85">
        <f t="shared" si="62"/>
        <v>0</v>
      </c>
      <c r="H132" s="86">
        <f t="shared" si="63"/>
        <v>0</v>
      </c>
      <c r="I132" s="1250"/>
      <c r="J132" s="87"/>
      <c r="K132" s="1250"/>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0"/>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7"/>
      <c r="C133" s="1248"/>
      <c r="D133" s="2487"/>
      <c r="E133" s="83">
        <f t="shared" si="87"/>
        <v>0</v>
      </c>
      <c r="F133" s="84"/>
      <c r="G133" s="85">
        <f t="shared" si="62"/>
        <v>0</v>
      </c>
      <c r="H133" s="86">
        <f t="shared" si="63"/>
        <v>0</v>
      </c>
      <c r="I133" s="1250"/>
      <c r="J133" s="87"/>
      <c r="K133" s="1250"/>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0"/>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7"/>
      <c r="C134" s="1248"/>
      <c r="D134" s="2487"/>
      <c r="E134" s="83">
        <f t="shared" si="87"/>
        <v>0</v>
      </c>
      <c r="F134" s="84"/>
      <c r="G134" s="85">
        <f t="shared" si="62"/>
        <v>0</v>
      </c>
      <c r="H134" s="86">
        <f t="shared" si="63"/>
        <v>0</v>
      </c>
      <c r="I134" s="1250"/>
      <c r="J134" s="87"/>
      <c r="K134" s="1250"/>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0"/>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7"/>
      <c r="C135" s="1248"/>
      <c r="D135" s="2487"/>
      <c r="E135" s="83">
        <f t="shared" si="87"/>
        <v>0</v>
      </c>
      <c r="F135" s="84"/>
      <c r="G135" s="85">
        <f t="shared" si="62"/>
        <v>0</v>
      </c>
      <c r="H135" s="86">
        <f t="shared" si="63"/>
        <v>0</v>
      </c>
      <c r="I135" s="1250"/>
      <c r="J135" s="87"/>
      <c r="K135" s="1250"/>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0"/>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7"/>
      <c r="C136" s="1248"/>
      <c r="D136" s="2487"/>
      <c r="E136" s="83">
        <f t="shared" si="87"/>
        <v>0</v>
      </c>
      <c r="F136" s="84"/>
      <c r="G136" s="85">
        <f t="shared" si="62"/>
        <v>0</v>
      </c>
      <c r="H136" s="86">
        <f t="shared" si="63"/>
        <v>0</v>
      </c>
      <c r="I136" s="1250"/>
      <c r="J136" s="87"/>
      <c r="K136" s="1250"/>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0"/>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7"/>
      <c r="C137" s="1248"/>
      <c r="D137" s="2487"/>
      <c r="E137" s="83">
        <f t="shared" si="87"/>
        <v>0</v>
      </c>
      <c r="F137" s="84"/>
      <c r="G137" s="85">
        <f t="shared" si="62"/>
        <v>0</v>
      </c>
      <c r="H137" s="86">
        <f t="shared" si="63"/>
        <v>0</v>
      </c>
      <c r="I137" s="1250"/>
      <c r="J137" s="87"/>
      <c r="K137" s="1250"/>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0"/>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7"/>
      <c r="C138" s="1248"/>
      <c r="D138" s="2487"/>
      <c r="E138" s="83">
        <f t="shared" si="87"/>
        <v>0</v>
      </c>
      <c r="F138" s="84"/>
      <c r="G138" s="85">
        <f t="shared" si="62"/>
        <v>0</v>
      </c>
      <c r="H138" s="86">
        <f t="shared" si="63"/>
        <v>0</v>
      </c>
      <c r="I138" s="1250"/>
      <c r="J138" s="87"/>
      <c r="K138" s="1250"/>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0"/>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7"/>
      <c r="C139" s="1248"/>
      <c r="D139" s="2487"/>
      <c r="E139" s="83">
        <f t="shared" si="87"/>
        <v>0</v>
      </c>
      <c r="F139" s="84"/>
      <c r="G139" s="85">
        <f t="shared" si="62"/>
        <v>0</v>
      </c>
      <c r="H139" s="86">
        <f t="shared" si="63"/>
        <v>0</v>
      </c>
      <c r="I139" s="1250"/>
      <c r="J139" s="87"/>
      <c r="K139" s="1250"/>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8"/>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7"/>
      <c r="C140" s="1248"/>
      <c r="D140" s="2487"/>
      <c r="E140" s="83">
        <f t="shared" si="87"/>
        <v>0</v>
      </c>
      <c r="F140" s="84"/>
      <c r="G140" s="85">
        <f t="shared" si="62"/>
        <v>0</v>
      </c>
      <c r="H140" s="86">
        <f t="shared" si="63"/>
        <v>0</v>
      </c>
      <c r="I140" s="1248"/>
      <c r="J140" s="87"/>
      <c r="K140" s="1248"/>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8"/>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7"/>
      <c r="C141" s="1248"/>
      <c r="D141" s="2487"/>
      <c r="E141" s="83">
        <f t="shared" si="87"/>
        <v>0</v>
      </c>
      <c r="F141" s="84"/>
      <c r="G141" s="85">
        <f t="shared" si="62"/>
        <v>0</v>
      </c>
      <c r="H141" s="86">
        <f t="shared" si="63"/>
        <v>0</v>
      </c>
      <c r="I141" s="1248"/>
      <c r="J141" s="87"/>
      <c r="K141" s="1248"/>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8"/>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7"/>
      <c r="C142" s="1248"/>
      <c r="D142" s="2487"/>
      <c r="E142" s="83">
        <f t="shared" si="87"/>
        <v>0</v>
      </c>
      <c r="F142" s="84"/>
      <c r="G142" s="85">
        <f t="shared" ref="G142:G173" si="91">H142+AC142+AT142</f>
        <v>0</v>
      </c>
      <c r="H142" s="86">
        <f t="shared" ref="H142:H173" si="92">SUMIF(I$12:AB$12,"总值",I142:AB142)</f>
        <v>0</v>
      </c>
      <c r="I142" s="1248"/>
      <c r="J142" s="87"/>
      <c r="K142" s="1248"/>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8"/>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7"/>
      <c r="C143" s="1248"/>
      <c r="D143" s="2487"/>
      <c r="E143" s="83">
        <f t="shared" si="87"/>
        <v>0</v>
      </c>
      <c r="F143" s="84"/>
      <c r="G143" s="85">
        <f t="shared" si="91"/>
        <v>0</v>
      </c>
      <c r="H143" s="86">
        <f t="shared" si="92"/>
        <v>0</v>
      </c>
      <c r="I143" s="1248"/>
      <c r="J143" s="87"/>
      <c r="K143" s="1248"/>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8"/>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7"/>
      <c r="C144" s="1248"/>
      <c r="D144" s="2487"/>
      <c r="E144" s="83">
        <f t="shared" si="87"/>
        <v>0</v>
      </c>
      <c r="F144" s="84"/>
      <c r="G144" s="85">
        <f t="shared" si="91"/>
        <v>0</v>
      </c>
      <c r="H144" s="86">
        <f t="shared" si="92"/>
        <v>0</v>
      </c>
      <c r="I144" s="1248"/>
      <c r="J144" s="87"/>
      <c r="K144" s="1248"/>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8"/>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7"/>
      <c r="C145" s="1248"/>
      <c r="D145" s="2487"/>
      <c r="E145" s="83">
        <f t="shared" ref="E145:E176" si="116">IF($C$3="是",ROUND($A$3*G145/$B$3,2),ROUND($A$3*(G145-AT145)/$B$3,2))</f>
        <v>0</v>
      </c>
      <c r="F145" s="84"/>
      <c r="G145" s="85">
        <f t="shared" si="91"/>
        <v>0</v>
      </c>
      <c r="H145" s="86">
        <f t="shared" si="92"/>
        <v>0</v>
      </c>
      <c r="I145" s="1248"/>
      <c r="J145" s="87"/>
      <c r="K145" s="1248"/>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8"/>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7"/>
      <c r="C146" s="1248"/>
      <c r="D146" s="2487"/>
      <c r="E146" s="83">
        <f t="shared" si="116"/>
        <v>0</v>
      </c>
      <c r="F146" s="84"/>
      <c r="G146" s="85">
        <f t="shared" si="91"/>
        <v>0</v>
      </c>
      <c r="H146" s="86">
        <f t="shared" si="92"/>
        <v>0</v>
      </c>
      <c r="I146" s="1248"/>
      <c r="J146" s="87"/>
      <c r="K146" s="1248"/>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8"/>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9"/>
      <c r="C147" s="1250"/>
      <c r="D147" s="2487"/>
      <c r="E147" s="83">
        <f t="shared" si="116"/>
        <v>0</v>
      </c>
      <c r="F147" s="84"/>
      <c r="G147" s="85">
        <f t="shared" si="91"/>
        <v>0</v>
      </c>
      <c r="H147" s="86">
        <f t="shared" si="92"/>
        <v>0</v>
      </c>
      <c r="I147" s="1248"/>
      <c r="J147" s="87"/>
      <c r="K147" s="1248"/>
      <c r="L147" s="87"/>
      <c r="M147" s="1248"/>
      <c r="N147" s="87"/>
      <c r="O147" s="87"/>
      <c r="P147" s="87"/>
      <c r="Q147" s="87"/>
      <c r="R147" s="87"/>
      <c r="S147" s="87"/>
      <c r="T147" s="87"/>
      <c r="U147" s="87"/>
      <c r="V147" s="87"/>
      <c r="W147" s="87"/>
      <c r="X147" s="87"/>
      <c r="Y147" s="87"/>
      <c r="Z147" s="87"/>
      <c r="AA147" s="87"/>
      <c r="AB147" s="87"/>
      <c r="AC147" s="83">
        <f t="shared" si="93"/>
        <v>0</v>
      </c>
      <c r="AD147" s="88"/>
      <c r="AE147" s="88"/>
      <c r="AF147" s="1248"/>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7"/>
      <c r="C205" s="1248"/>
      <c r="D205" s="2487"/>
      <c r="E205" s="83">
        <f t="shared" ref="E205:E296" si="149">IF($C$3="是",ROUND($A$3*G205/$B$3,2),ROUND($A$3*(G205-AT205)/$B$3,2))</f>
        <v>0</v>
      </c>
      <c r="F205" s="84"/>
      <c r="G205" s="85">
        <f t="shared" ref="G205:G293" si="150">H205+AC205+AT205</f>
        <v>0</v>
      </c>
      <c r="H205" s="86">
        <f t="shared" ref="H205:H293" si="151">SUMIF(I$12:AB$12,"总值",I205:AB205)</f>
        <v>0</v>
      </c>
      <c r="I205" s="1250"/>
      <c r="J205" s="87"/>
      <c r="K205" s="1250"/>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1"/>
      <c r="AG205" s="88"/>
      <c r="AH205" s="88"/>
      <c r="AI205" s="88"/>
      <c r="AJ205" s="88"/>
      <c r="AK205" s="88"/>
      <c r="AL205" s="88"/>
      <c r="AM205" s="88"/>
      <c r="AN205" s="1223"/>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7"/>
      <c r="C206" s="1248"/>
      <c r="D206" s="2487"/>
      <c r="E206" s="83">
        <f t="shared" si="149"/>
        <v>0</v>
      </c>
      <c r="F206" s="84"/>
      <c r="G206" s="85">
        <f t="shared" si="150"/>
        <v>0</v>
      </c>
      <c r="H206" s="86">
        <f t="shared" si="151"/>
        <v>0</v>
      </c>
      <c r="I206" s="1250"/>
      <c r="J206" s="87"/>
      <c r="K206" s="1250"/>
      <c r="L206" s="87"/>
      <c r="M206" s="1223"/>
      <c r="N206" s="87"/>
      <c r="O206" s="87"/>
      <c r="P206" s="87"/>
      <c r="Q206" s="87"/>
      <c r="R206" s="87"/>
      <c r="S206" s="87"/>
      <c r="T206" s="87"/>
      <c r="U206" s="87"/>
      <c r="V206" s="87"/>
      <c r="W206" s="87"/>
      <c r="X206" s="87"/>
      <c r="Y206" s="87"/>
      <c r="Z206" s="87"/>
      <c r="AA206" s="87"/>
      <c r="AB206" s="87"/>
      <c r="AC206" s="83">
        <f t="shared" si="152"/>
        <v>0</v>
      </c>
      <c r="AD206" s="1223"/>
      <c r="AE206" s="88"/>
      <c r="AF206" s="1251"/>
      <c r="AG206" s="88"/>
      <c r="AH206" s="88"/>
      <c r="AI206" s="88"/>
      <c r="AJ206" s="88"/>
      <c r="AK206" s="88"/>
      <c r="AL206" s="1223"/>
      <c r="AM206" s="88"/>
      <c r="AN206" s="1223"/>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7"/>
      <c r="C207" s="1248"/>
      <c r="D207" s="2487"/>
      <c r="E207" s="83">
        <f t="shared" si="149"/>
        <v>0</v>
      </c>
      <c r="F207" s="84"/>
      <c r="G207" s="85">
        <f t="shared" si="150"/>
        <v>0</v>
      </c>
      <c r="H207" s="86">
        <f t="shared" si="151"/>
        <v>0</v>
      </c>
      <c r="I207" s="1250"/>
      <c r="J207" s="87"/>
      <c r="K207" s="1250"/>
      <c r="L207" s="87"/>
      <c r="M207" s="1223"/>
      <c r="N207" s="87"/>
      <c r="O207" s="87"/>
      <c r="P207" s="87"/>
      <c r="Q207" s="87"/>
      <c r="R207" s="87"/>
      <c r="S207" s="87"/>
      <c r="T207" s="87"/>
      <c r="U207" s="87"/>
      <c r="V207" s="87"/>
      <c r="W207" s="87"/>
      <c r="X207" s="87"/>
      <c r="Y207" s="87"/>
      <c r="Z207" s="87"/>
      <c r="AA207" s="87"/>
      <c r="AB207" s="87"/>
      <c r="AC207" s="83">
        <f t="shared" si="152"/>
        <v>0</v>
      </c>
      <c r="AD207" s="88"/>
      <c r="AE207" s="88"/>
      <c r="AF207" s="1251"/>
      <c r="AG207" s="88"/>
      <c r="AH207" s="88"/>
      <c r="AI207" s="88"/>
      <c r="AJ207" s="88"/>
      <c r="AK207" s="88"/>
      <c r="AL207" s="1223"/>
      <c r="AM207" s="88"/>
      <c r="AN207" s="1223"/>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7"/>
      <c r="C208" s="1248"/>
      <c r="D208" s="2487"/>
      <c r="E208" s="83">
        <f t="shared" si="149"/>
        <v>0</v>
      </c>
      <c r="F208" s="84"/>
      <c r="G208" s="85">
        <f t="shared" si="150"/>
        <v>0</v>
      </c>
      <c r="H208" s="86">
        <f t="shared" si="151"/>
        <v>0</v>
      </c>
      <c r="I208" s="1250"/>
      <c r="J208" s="87"/>
      <c r="K208" s="1250"/>
      <c r="L208" s="87"/>
      <c r="M208" s="87"/>
      <c r="N208" s="87"/>
      <c r="O208" s="1223"/>
      <c r="P208" s="87"/>
      <c r="Q208" s="87"/>
      <c r="R208" s="87"/>
      <c r="S208" s="87"/>
      <c r="T208" s="87"/>
      <c r="U208" s="87"/>
      <c r="V208" s="87"/>
      <c r="W208" s="87"/>
      <c r="X208" s="87"/>
      <c r="Y208" s="87"/>
      <c r="Z208" s="87"/>
      <c r="AA208" s="87"/>
      <c r="AB208" s="87"/>
      <c r="AC208" s="83">
        <f t="shared" si="152"/>
        <v>0</v>
      </c>
      <c r="AD208" s="88"/>
      <c r="AE208" s="88"/>
      <c r="AF208" s="1251"/>
      <c r="AG208" s="88"/>
      <c r="AH208" s="88"/>
      <c r="AI208" s="88"/>
      <c r="AJ208" s="88"/>
      <c r="AK208" s="88"/>
      <c r="AL208" s="88"/>
      <c r="AM208" s="88"/>
      <c r="AN208" s="1223"/>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7"/>
      <c r="C209" s="1248"/>
      <c r="D209" s="2487"/>
      <c r="E209" s="83">
        <f t="shared" si="149"/>
        <v>0</v>
      </c>
      <c r="F209" s="84"/>
      <c r="G209" s="85">
        <f t="shared" si="150"/>
        <v>0</v>
      </c>
      <c r="H209" s="86">
        <f t="shared" si="151"/>
        <v>0</v>
      </c>
      <c r="I209" s="1250"/>
      <c r="J209" s="87"/>
      <c r="K209" s="1250"/>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1"/>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7"/>
      <c r="C210" s="1248"/>
      <c r="D210" s="2487"/>
      <c r="E210" s="83">
        <f t="shared" si="149"/>
        <v>0</v>
      </c>
      <c r="F210" s="84"/>
      <c r="G210" s="85">
        <f t="shared" si="150"/>
        <v>0</v>
      </c>
      <c r="H210" s="86">
        <f t="shared" si="151"/>
        <v>0</v>
      </c>
      <c r="I210" s="1250"/>
      <c r="J210" s="87"/>
      <c r="K210" s="1250"/>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1"/>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7"/>
      <c r="C211" s="1248"/>
      <c r="D211" s="2487"/>
      <c r="E211" s="83">
        <f t="shared" si="149"/>
        <v>0</v>
      </c>
      <c r="F211" s="84"/>
      <c r="G211" s="85">
        <f t="shared" si="150"/>
        <v>0</v>
      </c>
      <c r="H211" s="86">
        <f t="shared" si="151"/>
        <v>0</v>
      </c>
      <c r="I211" s="1250"/>
      <c r="J211" s="87"/>
      <c r="K211" s="1250"/>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1"/>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7"/>
      <c r="C212" s="1248"/>
      <c r="D212" s="2487"/>
      <c r="E212" s="83">
        <f t="shared" si="149"/>
        <v>0</v>
      </c>
      <c r="F212" s="84"/>
      <c r="G212" s="85">
        <f t="shared" si="150"/>
        <v>0</v>
      </c>
      <c r="H212" s="86">
        <f t="shared" si="151"/>
        <v>0</v>
      </c>
      <c r="I212" s="1250"/>
      <c r="J212" s="87"/>
      <c r="K212" s="1250"/>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0"/>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9"/>
      <c r="C213" s="1250"/>
      <c r="D213" s="2487"/>
      <c r="E213" s="83">
        <f t="shared" si="149"/>
        <v>0</v>
      </c>
      <c r="F213" s="84"/>
      <c r="G213" s="85">
        <f t="shared" si="150"/>
        <v>0</v>
      </c>
      <c r="H213" s="86">
        <f t="shared" si="151"/>
        <v>0</v>
      </c>
      <c r="I213" s="1250"/>
      <c r="J213" s="87"/>
      <c r="K213" s="1250"/>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0"/>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7"/>
      <c r="C214" s="1248"/>
      <c r="D214" s="2487"/>
      <c r="E214" s="83">
        <f t="shared" si="149"/>
        <v>0</v>
      </c>
      <c r="F214" s="84"/>
      <c r="G214" s="85">
        <f t="shared" si="150"/>
        <v>0</v>
      </c>
      <c r="H214" s="86">
        <f t="shared" si="151"/>
        <v>0</v>
      </c>
      <c r="I214" s="1250"/>
      <c r="J214" s="87"/>
      <c r="K214" s="1250"/>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0"/>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7"/>
      <c r="C215" s="1248"/>
      <c r="D215" s="2487"/>
      <c r="E215" s="83">
        <f t="shared" si="149"/>
        <v>0</v>
      </c>
      <c r="F215" s="84"/>
      <c r="G215" s="85">
        <f t="shared" si="150"/>
        <v>0</v>
      </c>
      <c r="H215" s="86">
        <f t="shared" si="151"/>
        <v>0</v>
      </c>
      <c r="I215" s="1250"/>
      <c r="J215" s="87"/>
      <c r="K215" s="1250"/>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0"/>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7"/>
      <c r="C216" s="1248"/>
      <c r="D216" s="2487"/>
      <c r="E216" s="83">
        <f t="shared" si="149"/>
        <v>0</v>
      </c>
      <c r="F216" s="84"/>
      <c r="G216" s="85">
        <f t="shared" si="150"/>
        <v>0</v>
      </c>
      <c r="H216" s="86">
        <f t="shared" si="151"/>
        <v>0</v>
      </c>
      <c r="I216" s="1250"/>
      <c r="J216" s="87"/>
      <c r="K216" s="1250"/>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0"/>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7"/>
      <c r="C217" s="1248"/>
      <c r="D217" s="2487"/>
      <c r="E217" s="83">
        <f t="shared" si="149"/>
        <v>0</v>
      </c>
      <c r="F217" s="84"/>
      <c r="G217" s="85">
        <f t="shared" si="150"/>
        <v>0</v>
      </c>
      <c r="H217" s="86">
        <f t="shared" si="151"/>
        <v>0</v>
      </c>
      <c r="I217" s="1250"/>
      <c r="J217" s="87"/>
      <c r="K217" s="1250"/>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0"/>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7"/>
      <c r="C218" s="1248"/>
      <c r="D218" s="2487"/>
      <c r="E218" s="83">
        <f t="shared" si="149"/>
        <v>0</v>
      </c>
      <c r="F218" s="84"/>
      <c r="G218" s="85">
        <f t="shared" si="150"/>
        <v>0</v>
      </c>
      <c r="H218" s="86">
        <f t="shared" si="151"/>
        <v>0</v>
      </c>
      <c r="I218" s="1250"/>
      <c r="J218" s="87"/>
      <c r="K218" s="1250"/>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0"/>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7"/>
      <c r="C219" s="1248"/>
      <c r="D219" s="2487"/>
      <c r="E219" s="83">
        <f t="shared" si="149"/>
        <v>0</v>
      </c>
      <c r="F219" s="84"/>
      <c r="G219" s="85">
        <f t="shared" si="150"/>
        <v>0</v>
      </c>
      <c r="H219" s="86">
        <f t="shared" si="151"/>
        <v>0</v>
      </c>
      <c r="I219" s="1250"/>
      <c r="J219" s="87"/>
      <c r="K219" s="1250"/>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0"/>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7"/>
      <c r="C220" s="1248"/>
      <c r="D220" s="2487"/>
      <c r="E220" s="83">
        <f t="shared" si="149"/>
        <v>0</v>
      </c>
      <c r="F220" s="84"/>
      <c r="G220" s="85">
        <f t="shared" si="150"/>
        <v>0</v>
      </c>
      <c r="H220" s="86">
        <f t="shared" si="151"/>
        <v>0</v>
      </c>
      <c r="I220" s="1250"/>
      <c r="J220" s="87"/>
      <c r="K220" s="1250"/>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0"/>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7"/>
      <c r="C221" s="1248"/>
      <c r="D221" s="2487"/>
      <c r="E221" s="83">
        <f t="shared" si="149"/>
        <v>0</v>
      </c>
      <c r="F221" s="84"/>
      <c r="G221" s="85">
        <f t="shared" si="150"/>
        <v>0</v>
      </c>
      <c r="H221" s="86">
        <f t="shared" si="151"/>
        <v>0</v>
      </c>
      <c r="I221" s="1250"/>
      <c r="J221" s="87"/>
      <c r="K221" s="1250"/>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0"/>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7"/>
      <c r="C222" s="1248"/>
      <c r="D222" s="2487"/>
      <c r="E222" s="83">
        <f t="shared" si="149"/>
        <v>0</v>
      </c>
      <c r="F222" s="84"/>
      <c r="G222" s="85">
        <f t="shared" si="150"/>
        <v>0</v>
      </c>
      <c r="H222" s="86">
        <f t="shared" si="151"/>
        <v>0</v>
      </c>
      <c r="I222" s="1250"/>
      <c r="J222" s="87"/>
      <c r="K222" s="1250"/>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0"/>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7"/>
      <c r="C223" s="1248"/>
      <c r="D223" s="2487"/>
      <c r="E223" s="83">
        <f t="shared" si="149"/>
        <v>0</v>
      </c>
      <c r="F223" s="84"/>
      <c r="G223" s="85">
        <f t="shared" si="150"/>
        <v>0</v>
      </c>
      <c r="H223" s="86">
        <f t="shared" si="151"/>
        <v>0</v>
      </c>
      <c r="I223" s="1250"/>
      <c r="J223" s="87"/>
      <c r="K223" s="1250"/>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0"/>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7"/>
      <c r="C224" s="1248"/>
      <c r="D224" s="2487"/>
      <c r="E224" s="83">
        <f t="shared" si="149"/>
        <v>0</v>
      </c>
      <c r="F224" s="84"/>
      <c r="G224" s="85">
        <f t="shared" si="150"/>
        <v>0</v>
      </c>
      <c r="H224" s="86">
        <f t="shared" si="151"/>
        <v>0</v>
      </c>
      <c r="I224" s="1250"/>
      <c r="J224" s="87"/>
      <c r="K224" s="1250"/>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0"/>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7"/>
      <c r="C225" s="1248"/>
      <c r="D225" s="2487"/>
      <c r="E225" s="83">
        <f t="shared" si="149"/>
        <v>0</v>
      </c>
      <c r="F225" s="84"/>
      <c r="G225" s="85">
        <f t="shared" si="150"/>
        <v>0</v>
      </c>
      <c r="H225" s="86">
        <f t="shared" si="151"/>
        <v>0</v>
      </c>
      <c r="I225" s="1250"/>
      <c r="J225" s="87"/>
      <c r="K225" s="1250"/>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0"/>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7"/>
      <c r="C226" s="1248"/>
      <c r="D226" s="2487"/>
      <c r="E226" s="83">
        <f t="shared" si="149"/>
        <v>0</v>
      </c>
      <c r="F226" s="84"/>
      <c r="G226" s="85">
        <f t="shared" si="150"/>
        <v>0</v>
      </c>
      <c r="H226" s="86">
        <f t="shared" si="151"/>
        <v>0</v>
      </c>
      <c r="I226" s="1250"/>
      <c r="J226" s="87"/>
      <c r="K226" s="1250"/>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0"/>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7"/>
      <c r="C227" s="1248"/>
      <c r="D227" s="2487"/>
      <c r="E227" s="83">
        <f t="shared" si="149"/>
        <v>0</v>
      </c>
      <c r="F227" s="84"/>
      <c r="G227" s="85">
        <f t="shared" si="150"/>
        <v>0</v>
      </c>
      <c r="H227" s="86">
        <f t="shared" si="151"/>
        <v>0</v>
      </c>
      <c r="I227" s="1250"/>
      <c r="J227" s="87"/>
      <c r="K227" s="1250"/>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0"/>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7"/>
      <c r="C228" s="1248"/>
      <c r="D228" s="2487"/>
      <c r="E228" s="83">
        <f t="shared" si="149"/>
        <v>0</v>
      </c>
      <c r="F228" s="84"/>
      <c r="G228" s="85">
        <f t="shared" si="150"/>
        <v>0</v>
      </c>
      <c r="H228" s="86">
        <f t="shared" si="151"/>
        <v>0</v>
      </c>
      <c r="I228" s="1250"/>
      <c r="J228" s="87"/>
      <c r="K228" s="1250"/>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0"/>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7"/>
      <c r="C229" s="1248"/>
      <c r="D229" s="2487"/>
      <c r="E229" s="83">
        <f t="shared" si="149"/>
        <v>0</v>
      </c>
      <c r="F229" s="84"/>
      <c r="G229" s="85">
        <f t="shared" si="150"/>
        <v>0</v>
      </c>
      <c r="H229" s="86">
        <f t="shared" si="151"/>
        <v>0</v>
      </c>
      <c r="I229" s="1250"/>
      <c r="J229" s="87"/>
      <c r="K229" s="1250"/>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0"/>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7"/>
      <c r="C230" s="1248"/>
      <c r="D230" s="2487"/>
      <c r="E230" s="83">
        <f t="shared" si="149"/>
        <v>0</v>
      </c>
      <c r="F230" s="84"/>
      <c r="G230" s="85">
        <f t="shared" si="150"/>
        <v>0</v>
      </c>
      <c r="H230" s="86">
        <f t="shared" si="151"/>
        <v>0</v>
      </c>
      <c r="I230" s="1250"/>
      <c r="J230" s="87"/>
      <c r="K230" s="1250"/>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0"/>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7"/>
      <c r="C231" s="1248"/>
      <c r="D231" s="2487"/>
      <c r="E231" s="83">
        <f t="shared" si="149"/>
        <v>0</v>
      </c>
      <c r="F231" s="84"/>
      <c r="G231" s="85">
        <f t="shared" si="150"/>
        <v>0</v>
      </c>
      <c r="H231" s="86">
        <f t="shared" si="151"/>
        <v>0</v>
      </c>
      <c r="I231" s="1250"/>
      <c r="J231" s="87"/>
      <c r="K231" s="1250"/>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8"/>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7"/>
      <c r="C232" s="1248"/>
      <c r="D232" s="2487"/>
      <c r="E232" s="83">
        <f t="shared" si="149"/>
        <v>0</v>
      </c>
      <c r="F232" s="84"/>
      <c r="G232" s="85">
        <f t="shared" si="150"/>
        <v>0</v>
      </c>
      <c r="H232" s="86">
        <f t="shared" si="151"/>
        <v>0</v>
      </c>
      <c r="I232" s="1248"/>
      <c r="J232" s="87"/>
      <c r="K232" s="1248"/>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8"/>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7"/>
      <c r="C233" s="1248"/>
      <c r="D233" s="2487"/>
      <c r="E233" s="83">
        <f t="shared" si="149"/>
        <v>0</v>
      </c>
      <c r="F233" s="84"/>
      <c r="G233" s="85">
        <f t="shared" si="150"/>
        <v>0</v>
      </c>
      <c r="H233" s="86">
        <f t="shared" si="151"/>
        <v>0</v>
      </c>
      <c r="I233" s="1248"/>
      <c r="J233" s="87"/>
      <c r="K233" s="1248"/>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8"/>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7"/>
      <c r="C234" s="1248"/>
      <c r="D234" s="2487"/>
      <c r="E234" s="83">
        <f t="shared" si="149"/>
        <v>0</v>
      </c>
      <c r="F234" s="84"/>
      <c r="G234" s="85">
        <f t="shared" si="150"/>
        <v>0</v>
      </c>
      <c r="H234" s="86">
        <f t="shared" si="151"/>
        <v>0</v>
      </c>
      <c r="I234" s="1248"/>
      <c r="J234" s="87"/>
      <c r="K234" s="1248"/>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8"/>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7"/>
      <c r="C235" s="1248"/>
      <c r="D235" s="2487"/>
      <c r="E235" s="83">
        <f t="shared" si="149"/>
        <v>0</v>
      </c>
      <c r="F235" s="84"/>
      <c r="G235" s="85">
        <f t="shared" si="150"/>
        <v>0</v>
      </c>
      <c r="H235" s="86">
        <f t="shared" si="151"/>
        <v>0</v>
      </c>
      <c r="I235" s="1248"/>
      <c r="J235" s="87"/>
      <c r="K235" s="1248"/>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8"/>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7"/>
      <c r="C236" s="1248"/>
      <c r="D236" s="2487"/>
      <c r="E236" s="83">
        <f t="shared" si="149"/>
        <v>0</v>
      </c>
      <c r="F236" s="84"/>
      <c r="G236" s="85">
        <f t="shared" si="150"/>
        <v>0</v>
      </c>
      <c r="H236" s="86">
        <f t="shared" si="151"/>
        <v>0</v>
      </c>
      <c r="I236" s="1248"/>
      <c r="J236" s="87"/>
      <c r="K236" s="1248"/>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8"/>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7"/>
      <c r="C237" s="1248"/>
      <c r="D237" s="2487"/>
      <c r="E237" s="83">
        <f t="shared" si="149"/>
        <v>0</v>
      </c>
      <c r="F237" s="84"/>
      <c r="G237" s="85">
        <f t="shared" si="150"/>
        <v>0</v>
      </c>
      <c r="H237" s="86">
        <f t="shared" si="151"/>
        <v>0</v>
      </c>
      <c r="I237" s="1248"/>
      <c r="J237" s="87"/>
      <c r="K237" s="1248"/>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8"/>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7"/>
      <c r="C238" s="1248"/>
      <c r="D238" s="2487"/>
      <c r="E238" s="83">
        <f t="shared" si="149"/>
        <v>0</v>
      </c>
      <c r="F238" s="84"/>
      <c r="G238" s="85">
        <f t="shared" si="150"/>
        <v>0</v>
      </c>
      <c r="H238" s="86">
        <f t="shared" si="151"/>
        <v>0</v>
      </c>
      <c r="I238" s="1248"/>
      <c r="J238" s="87"/>
      <c r="K238" s="1248"/>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8"/>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9"/>
      <c r="C239" s="1250"/>
      <c r="D239" s="2487"/>
      <c r="E239" s="83">
        <f t="shared" si="149"/>
        <v>0</v>
      </c>
      <c r="F239" s="84"/>
      <c r="G239" s="85">
        <f t="shared" si="150"/>
        <v>0</v>
      </c>
      <c r="H239" s="86">
        <f t="shared" si="151"/>
        <v>0</v>
      </c>
      <c r="I239" s="1248"/>
      <c r="J239" s="87"/>
      <c r="K239" s="1248"/>
      <c r="L239" s="87"/>
      <c r="M239" s="1248"/>
      <c r="N239" s="87"/>
      <c r="O239" s="87"/>
      <c r="P239" s="87"/>
      <c r="Q239" s="87"/>
      <c r="R239" s="87"/>
      <c r="S239" s="87"/>
      <c r="T239" s="87"/>
      <c r="U239" s="87"/>
      <c r="V239" s="87"/>
      <c r="W239" s="87"/>
      <c r="X239" s="87"/>
      <c r="Y239" s="87"/>
      <c r="Z239" s="87"/>
      <c r="AA239" s="87"/>
      <c r="AB239" s="87"/>
      <c r="AC239" s="83">
        <f t="shared" si="152"/>
        <v>0</v>
      </c>
      <c r="AD239" s="88"/>
      <c r="AE239" s="88"/>
      <c r="AF239" s="1248"/>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7"/>
      <c r="C297" s="1248"/>
      <c r="D297" s="2487"/>
      <c r="E297" s="83">
        <f t="shared" ref="E297:E328" si="203">IF($C$3="是",ROUND($A$3*G297/$B$3,2),ROUND($A$3*(G297-AT297)/$B$3,2))</f>
        <v>0</v>
      </c>
      <c r="F297" s="84"/>
      <c r="G297" s="85">
        <f t="shared" si="178"/>
        <v>0</v>
      </c>
      <c r="H297" s="86">
        <f t="shared" si="179"/>
        <v>0</v>
      </c>
      <c r="I297" s="1250"/>
      <c r="J297" s="87"/>
      <c r="K297" s="1250"/>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1"/>
      <c r="AG297" s="88"/>
      <c r="AH297" s="88"/>
      <c r="AI297" s="88"/>
      <c r="AJ297" s="88"/>
      <c r="AK297" s="88"/>
      <c r="AL297" s="88"/>
      <c r="AM297" s="88"/>
      <c r="AN297" s="1223"/>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7"/>
      <c r="C298" s="1248"/>
      <c r="D298" s="2487"/>
      <c r="E298" s="83">
        <f t="shared" si="203"/>
        <v>0</v>
      </c>
      <c r="F298" s="84"/>
      <c r="G298" s="85">
        <f t="shared" si="178"/>
        <v>0</v>
      </c>
      <c r="H298" s="86">
        <f t="shared" si="179"/>
        <v>0</v>
      </c>
      <c r="I298" s="1250"/>
      <c r="J298" s="87"/>
      <c r="K298" s="1250"/>
      <c r="L298" s="87"/>
      <c r="M298" s="1223"/>
      <c r="N298" s="87"/>
      <c r="O298" s="87"/>
      <c r="P298" s="87"/>
      <c r="Q298" s="87"/>
      <c r="R298" s="87"/>
      <c r="S298" s="87"/>
      <c r="T298" s="87"/>
      <c r="U298" s="87"/>
      <c r="V298" s="87"/>
      <c r="W298" s="87"/>
      <c r="X298" s="87"/>
      <c r="Y298" s="87"/>
      <c r="Z298" s="87"/>
      <c r="AA298" s="87"/>
      <c r="AB298" s="87"/>
      <c r="AC298" s="83">
        <f t="shared" si="180"/>
        <v>0</v>
      </c>
      <c r="AD298" s="1223"/>
      <c r="AE298" s="88"/>
      <c r="AF298" s="1251"/>
      <c r="AG298" s="88"/>
      <c r="AH298" s="88"/>
      <c r="AI298" s="88"/>
      <c r="AJ298" s="88"/>
      <c r="AK298" s="88"/>
      <c r="AL298" s="1223"/>
      <c r="AM298" s="88"/>
      <c r="AN298" s="1223"/>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7"/>
      <c r="C299" s="1248"/>
      <c r="D299" s="2487"/>
      <c r="E299" s="83">
        <f t="shared" si="203"/>
        <v>0</v>
      </c>
      <c r="F299" s="84"/>
      <c r="G299" s="85">
        <f t="shared" si="178"/>
        <v>0</v>
      </c>
      <c r="H299" s="86">
        <f t="shared" si="179"/>
        <v>0</v>
      </c>
      <c r="I299" s="1250"/>
      <c r="J299" s="87"/>
      <c r="K299" s="1250"/>
      <c r="L299" s="87"/>
      <c r="M299" s="1223"/>
      <c r="N299" s="87"/>
      <c r="O299" s="87"/>
      <c r="P299" s="87"/>
      <c r="Q299" s="87"/>
      <c r="R299" s="87"/>
      <c r="S299" s="87"/>
      <c r="T299" s="87"/>
      <c r="U299" s="87"/>
      <c r="V299" s="87"/>
      <c r="W299" s="87"/>
      <c r="X299" s="87"/>
      <c r="Y299" s="87"/>
      <c r="Z299" s="87"/>
      <c r="AA299" s="87"/>
      <c r="AB299" s="87"/>
      <c r="AC299" s="83">
        <f t="shared" si="180"/>
        <v>0</v>
      </c>
      <c r="AD299" s="88"/>
      <c r="AE299" s="88"/>
      <c r="AF299" s="1251"/>
      <c r="AG299" s="88"/>
      <c r="AH299" s="88"/>
      <c r="AI299" s="88"/>
      <c r="AJ299" s="88"/>
      <c r="AK299" s="88"/>
      <c r="AL299" s="1223"/>
      <c r="AM299" s="88"/>
      <c r="AN299" s="1223"/>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7"/>
      <c r="C300" s="1248"/>
      <c r="D300" s="2487"/>
      <c r="E300" s="83">
        <f t="shared" si="203"/>
        <v>0</v>
      </c>
      <c r="F300" s="84"/>
      <c r="G300" s="85">
        <f t="shared" si="178"/>
        <v>0</v>
      </c>
      <c r="H300" s="86">
        <f t="shared" si="179"/>
        <v>0</v>
      </c>
      <c r="I300" s="1250"/>
      <c r="J300" s="87"/>
      <c r="K300" s="1250"/>
      <c r="L300" s="87"/>
      <c r="M300" s="87"/>
      <c r="N300" s="87"/>
      <c r="O300" s="1223"/>
      <c r="P300" s="87"/>
      <c r="Q300" s="87"/>
      <c r="R300" s="87"/>
      <c r="S300" s="87"/>
      <c r="T300" s="87"/>
      <c r="U300" s="87"/>
      <c r="V300" s="87"/>
      <c r="W300" s="87"/>
      <c r="X300" s="87"/>
      <c r="Y300" s="87"/>
      <c r="Z300" s="87"/>
      <c r="AA300" s="87"/>
      <c r="AB300" s="87"/>
      <c r="AC300" s="83">
        <f t="shared" si="180"/>
        <v>0</v>
      </c>
      <c r="AD300" s="88"/>
      <c r="AE300" s="88"/>
      <c r="AF300" s="1251"/>
      <c r="AG300" s="88"/>
      <c r="AH300" s="88"/>
      <c r="AI300" s="88"/>
      <c r="AJ300" s="88"/>
      <c r="AK300" s="88"/>
      <c r="AL300" s="88"/>
      <c r="AM300" s="88"/>
      <c r="AN300" s="1223"/>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7"/>
      <c r="C301" s="1248"/>
      <c r="D301" s="2487"/>
      <c r="E301" s="83">
        <f t="shared" si="203"/>
        <v>0</v>
      </c>
      <c r="F301" s="84"/>
      <c r="G301" s="85">
        <f t="shared" si="178"/>
        <v>0</v>
      </c>
      <c r="H301" s="86">
        <f t="shared" si="179"/>
        <v>0</v>
      </c>
      <c r="I301" s="1250"/>
      <c r="J301" s="87"/>
      <c r="K301" s="1250"/>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1"/>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7"/>
      <c r="C302" s="1248"/>
      <c r="D302" s="2487"/>
      <c r="E302" s="83">
        <f t="shared" si="203"/>
        <v>0</v>
      </c>
      <c r="F302" s="84"/>
      <c r="G302" s="85">
        <f t="shared" si="178"/>
        <v>0</v>
      </c>
      <c r="H302" s="86">
        <f t="shared" si="179"/>
        <v>0</v>
      </c>
      <c r="I302" s="1250"/>
      <c r="J302" s="87"/>
      <c r="K302" s="1250"/>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1"/>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7"/>
      <c r="C303" s="1248"/>
      <c r="D303" s="2487"/>
      <c r="E303" s="83">
        <f t="shared" si="203"/>
        <v>0</v>
      </c>
      <c r="F303" s="84"/>
      <c r="G303" s="85">
        <f t="shared" si="178"/>
        <v>0</v>
      </c>
      <c r="H303" s="86">
        <f t="shared" si="179"/>
        <v>0</v>
      </c>
      <c r="I303" s="1250"/>
      <c r="J303" s="87"/>
      <c r="K303" s="1250"/>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1"/>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7"/>
      <c r="C304" s="1248"/>
      <c r="D304" s="2487"/>
      <c r="E304" s="83">
        <f t="shared" si="203"/>
        <v>0</v>
      </c>
      <c r="F304" s="84"/>
      <c r="G304" s="85">
        <f t="shared" si="178"/>
        <v>0</v>
      </c>
      <c r="H304" s="86">
        <f t="shared" si="179"/>
        <v>0</v>
      </c>
      <c r="I304" s="1250"/>
      <c r="J304" s="87"/>
      <c r="K304" s="1250"/>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0"/>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9"/>
      <c r="C305" s="1250"/>
      <c r="D305" s="2487"/>
      <c r="E305" s="83">
        <f t="shared" si="203"/>
        <v>0</v>
      </c>
      <c r="F305" s="84"/>
      <c r="G305" s="85">
        <f t="shared" si="178"/>
        <v>0</v>
      </c>
      <c r="H305" s="86">
        <f t="shared" si="179"/>
        <v>0</v>
      </c>
      <c r="I305" s="1250"/>
      <c r="J305" s="87"/>
      <c r="K305" s="1250"/>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0"/>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7"/>
      <c r="C306" s="1248"/>
      <c r="D306" s="2487"/>
      <c r="E306" s="83">
        <f t="shared" si="203"/>
        <v>0</v>
      </c>
      <c r="F306" s="84"/>
      <c r="G306" s="85">
        <f t="shared" si="178"/>
        <v>0</v>
      </c>
      <c r="H306" s="86">
        <f t="shared" si="179"/>
        <v>0</v>
      </c>
      <c r="I306" s="1250"/>
      <c r="J306" s="87"/>
      <c r="K306" s="1250"/>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0"/>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7"/>
      <c r="C307" s="1248"/>
      <c r="D307" s="2487"/>
      <c r="E307" s="83">
        <f t="shared" si="203"/>
        <v>0</v>
      </c>
      <c r="F307" s="84"/>
      <c r="G307" s="85">
        <f t="shared" si="178"/>
        <v>0</v>
      </c>
      <c r="H307" s="86">
        <f t="shared" si="179"/>
        <v>0</v>
      </c>
      <c r="I307" s="1250"/>
      <c r="J307" s="87"/>
      <c r="K307" s="1250"/>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0"/>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7"/>
      <c r="C308" s="1248"/>
      <c r="D308" s="2487"/>
      <c r="E308" s="83">
        <f t="shared" si="203"/>
        <v>0</v>
      </c>
      <c r="F308" s="84"/>
      <c r="G308" s="85">
        <f t="shared" si="178"/>
        <v>0</v>
      </c>
      <c r="H308" s="86">
        <f t="shared" si="179"/>
        <v>0</v>
      </c>
      <c r="I308" s="1250"/>
      <c r="J308" s="87"/>
      <c r="K308" s="1250"/>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0"/>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7"/>
      <c r="C309" s="1248"/>
      <c r="D309" s="2487"/>
      <c r="E309" s="83">
        <f t="shared" si="203"/>
        <v>0</v>
      </c>
      <c r="F309" s="84"/>
      <c r="G309" s="85">
        <f t="shared" si="178"/>
        <v>0</v>
      </c>
      <c r="H309" s="86">
        <f t="shared" si="179"/>
        <v>0</v>
      </c>
      <c r="I309" s="1250"/>
      <c r="J309" s="87"/>
      <c r="K309" s="1250"/>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0"/>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7"/>
      <c r="C310" s="1248"/>
      <c r="D310" s="2487"/>
      <c r="E310" s="83">
        <f t="shared" si="203"/>
        <v>0</v>
      </c>
      <c r="F310" s="84"/>
      <c r="G310" s="85">
        <f t="shared" si="178"/>
        <v>0</v>
      </c>
      <c r="H310" s="86">
        <f t="shared" si="179"/>
        <v>0</v>
      </c>
      <c r="I310" s="1250"/>
      <c r="J310" s="87"/>
      <c r="K310" s="1250"/>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0"/>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7"/>
      <c r="C311" s="1248"/>
      <c r="D311" s="2487"/>
      <c r="E311" s="83">
        <f t="shared" si="203"/>
        <v>0</v>
      </c>
      <c r="F311" s="84"/>
      <c r="G311" s="85">
        <f t="shared" si="178"/>
        <v>0</v>
      </c>
      <c r="H311" s="86">
        <f t="shared" si="179"/>
        <v>0</v>
      </c>
      <c r="I311" s="1250"/>
      <c r="J311" s="87"/>
      <c r="K311" s="1250"/>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0"/>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7"/>
      <c r="C312" s="1248"/>
      <c r="D312" s="2487"/>
      <c r="E312" s="83">
        <f t="shared" si="203"/>
        <v>0</v>
      </c>
      <c r="F312" s="84"/>
      <c r="G312" s="85">
        <f t="shared" si="178"/>
        <v>0</v>
      </c>
      <c r="H312" s="86">
        <f t="shared" si="179"/>
        <v>0</v>
      </c>
      <c r="I312" s="1250"/>
      <c r="J312" s="87"/>
      <c r="K312" s="1250"/>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0"/>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7"/>
      <c r="C313" s="1248"/>
      <c r="D313" s="2487"/>
      <c r="E313" s="83">
        <f t="shared" si="203"/>
        <v>0</v>
      </c>
      <c r="F313" s="84"/>
      <c r="G313" s="85">
        <f t="shared" si="178"/>
        <v>0</v>
      </c>
      <c r="H313" s="86">
        <f t="shared" si="179"/>
        <v>0</v>
      </c>
      <c r="I313" s="1250"/>
      <c r="J313" s="87"/>
      <c r="K313" s="1250"/>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0"/>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7"/>
      <c r="C314" s="1248"/>
      <c r="D314" s="2487"/>
      <c r="E314" s="83">
        <f t="shared" si="203"/>
        <v>0</v>
      </c>
      <c r="F314" s="84"/>
      <c r="G314" s="85">
        <f t="shared" si="178"/>
        <v>0</v>
      </c>
      <c r="H314" s="86">
        <f t="shared" si="179"/>
        <v>0</v>
      </c>
      <c r="I314" s="1250"/>
      <c r="J314" s="87"/>
      <c r="K314" s="1250"/>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0"/>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7"/>
      <c r="C315" s="1248"/>
      <c r="D315" s="2487"/>
      <c r="E315" s="83">
        <f t="shared" si="203"/>
        <v>0</v>
      </c>
      <c r="F315" s="84"/>
      <c r="G315" s="85">
        <f t="shared" si="178"/>
        <v>0</v>
      </c>
      <c r="H315" s="86">
        <f t="shared" si="179"/>
        <v>0</v>
      </c>
      <c r="I315" s="1250"/>
      <c r="J315" s="87"/>
      <c r="K315" s="1250"/>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0"/>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7"/>
      <c r="C316" s="1248"/>
      <c r="D316" s="2487"/>
      <c r="E316" s="83">
        <f t="shared" si="203"/>
        <v>0</v>
      </c>
      <c r="F316" s="84"/>
      <c r="G316" s="85">
        <f t="shared" si="178"/>
        <v>0</v>
      </c>
      <c r="H316" s="86">
        <f t="shared" si="179"/>
        <v>0</v>
      </c>
      <c r="I316" s="1250"/>
      <c r="J316" s="87"/>
      <c r="K316" s="1250"/>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0"/>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7"/>
      <c r="C317" s="1248"/>
      <c r="D317" s="2487"/>
      <c r="E317" s="83">
        <f t="shared" si="203"/>
        <v>0</v>
      </c>
      <c r="F317" s="84"/>
      <c r="G317" s="85">
        <f t="shared" si="178"/>
        <v>0</v>
      </c>
      <c r="H317" s="86">
        <f t="shared" si="179"/>
        <v>0</v>
      </c>
      <c r="I317" s="1250"/>
      <c r="J317" s="87"/>
      <c r="K317" s="1250"/>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0"/>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7"/>
      <c r="C318" s="1248"/>
      <c r="D318" s="2487"/>
      <c r="E318" s="83">
        <f t="shared" si="203"/>
        <v>0</v>
      </c>
      <c r="F318" s="84"/>
      <c r="G318" s="85">
        <f t="shared" si="178"/>
        <v>0</v>
      </c>
      <c r="H318" s="86">
        <f t="shared" si="179"/>
        <v>0</v>
      </c>
      <c r="I318" s="1250"/>
      <c r="J318" s="87"/>
      <c r="K318" s="1250"/>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0"/>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7"/>
      <c r="C319" s="1248"/>
      <c r="D319" s="2487"/>
      <c r="E319" s="83">
        <f t="shared" si="203"/>
        <v>0</v>
      </c>
      <c r="F319" s="84"/>
      <c r="G319" s="85">
        <f t="shared" si="178"/>
        <v>0</v>
      </c>
      <c r="H319" s="86">
        <f t="shared" si="179"/>
        <v>0</v>
      </c>
      <c r="I319" s="1250"/>
      <c r="J319" s="87"/>
      <c r="K319" s="1250"/>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0"/>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7"/>
      <c r="C320" s="1248"/>
      <c r="D320" s="2487"/>
      <c r="E320" s="83">
        <f t="shared" si="203"/>
        <v>0</v>
      </c>
      <c r="F320" s="84"/>
      <c r="G320" s="85">
        <f t="shared" si="178"/>
        <v>0</v>
      </c>
      <c r="H320" s="86">
        <f t="shared" si="179"/>
        <v>0</v>
      </c>
      <c r="I320" s="1250"/>
      <c r="J320" s="87"/>
      <c r="K320" s="1250"/>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0"/>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7"/>
      <c r="C321" s="1248"/>
      <c r="D321" s="2487"/>
      <c r="E321" s="83">
        <f t="shared" si="203"/>
        <v>0</v>
      </c>
      <c r="F321" s="84"/>
      <c r="G321" s="85">
        <f t="shared" si="178"/>
        <v>0</v>
      </c>
      <c r="H321" s="86">
        <f t="shared" si="179"/>
        <v>0</v>
      </c>
      <c r="I321" s="1250"/>
      <c r="J321" s="87"/>
      <c r="K321" s="1250"/>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0"/>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7"/>
      <c r="C322" s="1248"/>
      <c r="D322" s="2487"/>
      <c r="E322" s="83">
        <f t="shared" si="203"/>
        <v>0</v>
      </c>
      <c r="F322" s="84"/>
      <c r="G322" s="85">
        <f t="shared" si="178"/>
        <v>0</v>
      </c>
      <c r="H322" s="86">
        <f t="shared" si="179"/>
        <v>0</v>
      </c>
      <c r="I322" s="1250"/>
      <c r="J322" s="87"/>
      <c r="K322" s="1250"/>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0"/>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7"/>
      <c r="C323" s="1248"/>
      <c r="D323" s="2487"/>
      <c r="E323" s="83">
        <f t="shared" si="203"/>
        <v>0</v>
      </c>
      <c r="F323" s="84"/>
      <c r="G323" s="85">
        <f t="shared" si="178"/>
        <v>0</v>
      </c>
      <c r="H323" s="86">
        <f t="shared" si="179"/>
        <v>0</v>
      </c>
      <c r="I323" s="1250"/>
      <c r="J323" s="87"/>
      <c r="K323" s="1250"/>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8"/>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7"/>
      <c r="C324" s="1248"/>
      <c r="D324" s="2487"/>
      <c r="E324" s="83">
        <f t="shared" si="203"/>
        <v>0</v>
      </c>
      <c r="F324" s="84"/>
      <c r="G324" s="85">
        <f t="shared" si="178"/>
        <v>0</v>
      </c>
      <c r="H324" s="86">
        <f t="shared" si="179"/>
        <v>0</v>
      </c>
      <c r="I324" s="1248"/>
      <c r="J324" s="87"/>
      <c r="K324" s="1248"/>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8"/>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7"/>
      <c r="C325" s="1248"/>
      <c r="D325" s="2487"/>
      <c r="E325" s="83">
        <f t="shared" si="203"/>
        <v>0</v>
      </c>
      <c r="F325" s="84"/>
      <c r="G325" s="85">
        <f t="shared" si="178"/>
        <v>0</v>
      </c>
      <c r="H325" s="86">
        <f t="shared" si="179"/>
        <v>0</v>
      </c>
      <c r="I325" s="1248"/>
      <c r="J325" s="87"/>
      <c r="K325" s="1248"/>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8"/>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7"/>
      <c r="C326" s="1248"/>
      <c r="D326" s="2487"/>
      <c r="E326" s="83">
        <f t="shared" si="203"/>
        <v>0</v>
      </c>
      <c r="F326" s="84"/>
      <c r="G326" s="85">
        <f t="shared" ref="G326:G357" si="207">H326+AC326+AT326</f>
        <v>0</v>
      </c>
      <c r="H326" s="86">
        <f t="shared" ref="H326:H357" si="208">SUMIF(I$12:AB$12,"总值",I326:AB326)</f>
        <v>0</v>
      </c>
      <c r="I326" s="1248"/>
      <c r="J326" s="87"/>
      <c r="K326" s="1248"/>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8"/>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7"/>
      <c r="C327" s="1248"/>
      <c r="D327" s="2487"/>
      <c r="E327" s="83">
        <f t="shared" si="203"/>
        <v>0</v>
      </c>
      <c r="F327" s="84"/>
      <c r="G327" s="85">
        <f t="shared" si="207"/>
        <v>0</v>
      </c>
      <c r="H327" s="86">
        <f t="shared" si="208"/>
        <v>0</v>
      </c>
      <c r="I327" s="1248"/>
      <c r="J327" s="87"/>
      <c r="K327" s="1248"/>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8"/>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7"/>
      <c r="C328" s="1248"/>
      <c r="D328" s="2487"/>
      <c r="E328" s="83">
        <f t="shared" si="203"/>
        <v>0</v>
      </c>
      <c r="F328" s="84"/>
      <c r="G328" s="85">
        <f t="shared" si="207"/>
        <v>0</v>
      </c>
      <c r="H328" s="86">
        <f t="shared" si="208"/>
        <v>0</v>
      </c>
      <c r="I328" s="1248"/>
      <c r="J328" s="87"/>
      <c r="K328" s="1248"/>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8"/>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7"/>
      <c r="C329" s="1248"/>
      <c r="D329" s="2487"/>
      <c r="E329" s="83">
        <f t="shared" ref="E329:E360" si="232">IF($C$3="是",ROUND($A$3*G329/$B$3,2),ROUND($A$3*(G329-AT329)/$B$3,2))</f>
        <v>0</v>
      </c>
      <c r="F329" s="84"/>
      <c r="G329" s="85">
        <f t="shared" si="207"/>
        <v>0</v>
      </c>
      <c r="H329" s="86">
        <f t="shared" si="208"/>
        <v>0</v>
      </c>
      <c r="I329" s="1248"/>
      <c r="J329" s="87"/>
      <c r="K329" s="1248"/>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8"/>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7"/>
      <c r="C330" s="1248"/>
      <c r="D330" s="2487"/>
      <c r="E330" s="83">
        <f t="shared" si="232"/>
        <v>0</v>
      </c>
      <c r="F330" s="84"/>
      <c r="G330" s="85">
        <f t="shared" si="207"/>
        <v>0</v>
      </c>
      <c r="H330" s="86">
        <f t="shared" si="208"/>
        <v>0</v>
      </c>
      <c r="I330" s="1248"/>
      <c r="J330" s="87"/>
      <c r="K330" s="1248"/>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8"/>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9"/>
      <c r="C331" s="1250"/>
      <c r="D331" s="2487"/>
      <c r="E331" s="83">
        <f t="shared" si="232"/>
        <v>0</v>
      </c>
      <c r="F331" s="84"/>
      <c r="G331" s="85">
        <f t="shared" si="207"/>
        <v>0</v>
      </c>
      <c r="H331" s="86">
        <f t="shared" si="208"/>
        <v>0</v>
      </c>
      <c r="I331" s="1248"/>
      <c r="J331" s="87"/>
      <c r="K331" s="1248"/>
      <c r="L331" s="87"/>
      <c r="M331" s="1248"/>
      <c r="N331" s="87"/>
      <c r="O331" s="87"/>
      <c r="P331" s="87"/>
      <c r="Q331" s="87"/>
      <c r="R331" s="87"/>
      <c r="S331" s="87"/>
      <c r="T331" s="87"/>
      <c r="U331" s="87"/>
      <c r="V331" s="87"/>
      <c r="W331" s="87"/>
      <c r="X331" s="87"/>
      <c r="Y331" s="87"/>
      <c r="Z331" s="87"/>
      <c r="AA331" s="87"/>
      <c r="AB331" s="87"/>
      <c r="AC331" s="83">
        <f t="shared" si="209"/>
        <v>0</v>
      </c>
      <c r="AD331" s="88"/>
      <c r="AE331" s="88"/>
      <c r="AF331" s="1248"/>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7"/>
      <c r="C389" s="1248"/>
      <c r="D389" s="2487"/>
      <c r="E389" s="83">
        <f t="shared" ref="E389:E480" si="265">IF($C$3="是",ROUND($A$3*G389/$B$3,2),ROUND($A$3*(G389-AT389)/$B$3,2))</f>
        <v>0</v>
      </c>
      <c r="F389" s="84"/>
      <c r="G389" s="85">
        <f t="shared" ref="G389:G477" si="266">H389+AC389+AT389</f>
        <v>0</v>
      </c>
      <c r="H389" s="86">
        <f t="shared" ref="H389:H477" si="267">SUMIF(I$12:AB$12,"总值",I389:AB389)</f>
        <v>0</v>
      </c>
      <c r="I389" s="1250"/>
      <c r="J389" s="87"/>
      <c r="K389" s="1250"/>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1"/>
      <c r="AG389" s="88"/>
      <c r="AH389" s="88"/>
      <c r="AI389" s="88"/>
      <c r="AJ389" s="88"/>
      <c r="AK389" s="88"/>
      <c r="AL389" s="88"/>
      <c r="AM389" s="88"/>
      <c r="AN389" s="1223"/>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7"/>
      <c r="C390" s="1248"/>
      <c r="D390" s="2487"/>
      <c r="E390" s="83">
        <f t="shared" si="265"/>
        <v>0</v>
      </c>
      <c r="F390" s="84"/>
      <c r="G390" s="85">
        <f t="shared" si="266"/>
        <v>0</v>
      </c>
      <c r="H390" s="86">
        <f t="shared" si="267"/>
        <v>0</v>
      </c>
      <c r="I390" s="1250"/>
      <c r="J390" s="87"/>
      <c r="K390" s="1250"/>
      <c r="L390" s="87"/>
      <c r="M390" s="1223"/>
      <c r="N390" s="87"/>
      <c r="O390" s="87"/>
      <c r="P390" s="87"/>
      <c r="Q390" s="87"/>
      <c r="R390" s="87"/>
      <c r="S390" s="87"/>
      <c r="T390" s="87"/>
      <c r="U390" s="87"/>
      <c r="V390" s="87"/>
      <c r="W390" s="87"/>
      <c r="X390" s="87"/>
      <c r="Y390" s="87"/>
      <c r="Z390" s="87"/>
      <c r="AA390" s="87"/>
      <c r="AB390" s="87"/>
      <c r="AC390" s="83">
        <f t="shared" si="268"/>
        <v>0</v>
      </c>
      <c r="AD390" s="1223"/>
      <c r="AE390" s="88"/>
      <c r="AF390" s="1251"/>
      <c r="AG390" s="88"/>
      <c r="AH390" s="88"/>
      <c r="AI390" s="88"/>
      <c r="AJ390" s="88"/>
      <c r="AK390" s="88"/>
      <c r="AL390" s="1223"/>
      <c r="AM390" s="88"/>
      <c r="AN390" s="1223"/>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7"/>
      <c r="C391" s="1248"/>
      <c r="D391" s="2487"/>
      <c r="E391" s="83">
        <f t="shared" si="265"/>
        <v>0</v>
      </c>
      <c r="F391" s="84"/>
      <c r="G391" s="85">
        <f t="shared" si="266"/>
        <v>0</v>
      </c>
      <c r="H391" s="86">
        <f t="shared" si="267"/>
        <v>0</v>
      </c>
      <c r="I391" s="1250"/>
      <c r="J391" s="87"/>
      <c r="K391" s="1250"/>
      <c r="L391" s="87"/>
      <c r="M391" s="1223"/>
      <c r="N391" s="87"/>
      <c r="O391" s="87"/>
      <c r="P391" s="87"/>
      <c r="Q391" s="87"/>
      <c r="R391" s="87"/>
      <c r="S391" s="87"/>
      <c r="T391" s="87"/>
      <c r="U391" s="87"/>
      <c r="V391" s="87"/>
      <c r="W391" s="87"/>
      <c r="X391" s="87"/>
      <c r="Y391" s="87"/>
      <c r="Z391" s="87"/>
      <c r="AA391" s="87"/>
      <c r="AB391" s="87"/>
      <c r="AC391" s="83">
        <f t="shared" si="268"/>
        <v>0</v>
      </c>
      <c r="AD391" s="88"/>
      <c r="AE391" s="88"/>
      <c r="AF391" s="1251"/>
      <c r="AG391" s="88"/>
      <c r="AH391" s="88"/>
      <c r="AI391" s="88"/>
      <c r="AJ391" s="88"/>
      <c r="AK391" s="88"/>
      <c r="AL391" s="1223"/>
      <c r="AM391" s="88"/>
      <c r="AN391" s="1223"/>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7"/>
      <c r="C392" s="1248"/>
      <c r="D392" s="2487"/>
      <c r="E392" s="83">
        <f t="shared" si="265"/>
        <v>0</v>
      </c>
      <c r="F392" s="84"/>
      <c r="G392" s="85">
        <f t="shared" si="266"/>
        <v>0</v>
      </c>
      <c r="H392" s="86">
        <f t="shared" si="267"/>
        <v>0</v>
      </c>
      <c r="I392" s="1250"/>
      <c r="J392" s="87"/>
      <c r="K392" s="1250"/>
      <c r="L392" s="87"/>
      <c r="M392" s="87"/>
      <c r="N392" s="87"/>
      <c r="O392" s="1223"/>
      <c r="P392" s="87"/>
      <c r="Q392" s="87"/>
      <c r="R392" s="87"/>
      <c r="S392" s="87"/>
      <c r="T392" s="87"/>
      <c r="U392" s="87"/>
      <c r="V392" s="87"/>
      <c r="W392" s="87"/>
      <c r="X392" s="87"/>
      <c r="Y392" s="87"/>
      <c r="Z392" s="87"/>
      <c r="AA392" s="87"/>
      <c r="AB392" s="87"/>
      <c r="AC392" s="83">
        <f t="shared" si="268"/>
        <v>0</v>
      </c>
      <c r="AD392" s="88"/>
      <c r="AE392" s="88"/>
      <c r="AF392" s="1251"/>
      <c r="AG392" s="88"/>
      <c r="AH392" s="88"/>
      <c r="AI392" s="88"/>
      <c r="AJ392" s="88"/>
      <c r="AK392" s="88"/>
      <c r="AL392" s="88"/>
      <c r="AM392" s="88"/>
      <c r="AN392" s="1223"/>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7"/>
      <c r="C393" s="1248"/>
      <c r="D393" s="2487"/>
      <c r="E393" s="83">
        <f t="shared" si="265"/>
        <v>0</v>
      </c>
      <c r="F393" s="84"/>
      <c r="G393" s="85">
        <f t="shared" si="266"/>
        <v>0</v>
      </c>
      <c r="H393" s="86">
        <f t="shared" si="267"/>
        <v>0</v>
      </c>
      <c r="I393" s="1250"/>
      <c r="J393" s="87"/>
      <c r="K393" s="1250"/>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1"/>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7"/>
      <c r="C394" s="1248"/>
      <c r="D394" s="2487"/>
      <c r="E394" s="83">
        <f t="shared" si="265"/>
        <v>0</v>
      </c>
      <c r="F394" s="84"/>
      <c r="G394" s="85">
        <f t="shared" si="266"/>
        <v>0</v>
      </c>
      <c r="H394" s="86">
        <f t="shared" si="267"/>
        <v>0</v>
      </c>
      <c r="I394" s="1250"/>
      <c r="J394" s="87"/>
      <c r="K394" s="1250"/>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1"/>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7"/>
      <c r="C395" s="1248"/>
      <c r="D395" s="2487"/>
      <c r="E395" s="83">
        <f t="shared" si="265"/>
        <v>0</v>
      </c>
      <c r="F395" s="84"/>
      <c r="G395" s="85">
        <f t="shared" si="266"/>
        <v>0</v>
      </c>
      <c r="H395" s="86">
        <f t="shared" si="267"/>
        <v>0</v>
      </c>
      <c r="I395" s="1250"/>
      <c r="J395" s="87"/>
      <c r="K395" s="1250"/>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1"/>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7"/>
      <c r="C396" s="1248"/>
      <c r="D396" s="2487"/>
      <c r="E396" s="83">
        <f t="shared" si="265"/>
        <v>0</v>
      </c>
      <c r="F396" s="84"/>
      <c r="G396" s="85">
        <f t="shared" si="266"/>
        <v>0</v>
      </c>
      <c r="H396" s="86">
        <f t="shared" si="267"/>
        <v>0</v>
      </c>
      <c r="I396" s="1250"/>
      <c r="J396" s="87"/>
      <c r="K396" s="1250"/>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0"/>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9"/>
      <c r="C397" s="1250"/>
      <c r="D397" s="2487"/>
      <c r="E397" s="83">
        <f t="shared" si="265"/>
        <v>0</v>
      </c>
      <c r="F397" s="84"/>
      <c r="G397" s="85">
        <f t="shared" si="266"/>
        <v>0</v>
      </c>
      <c r="H397" s="86">
        <f t="shared" si="267"/>
        <v>0</v>
      </c>
      <c r="I397" s="1250"/>
      <c r="J397" s="87"/>
      <c r="K397" s="1250"/>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0"/>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7"/>
      <c r="C398" s="1248"/>
      <c r="D398" s="2487"/>
      <c r="E398" s="83">
        <f t="shared" si="265"/>
        <v>0</v>
      </c>
      <c r="F398" s="84"/>
      <c r="G398" s="85">
        <f t="shared" si="266"/>
        <v>0</v>
      </c>
      <c r="H398" s="86">
        <f t="shared" si="267"/>
        <v>0</v>
      </c>
      <c r="I398" s="1250"/>
      <c r="J398" s="87"/>
      <c r="K398" s="1250"/>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0"/>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7"/>
      <c r="C399" s="1248"/>
      <c r="D399" s="2487"/>
      <c r="E399" s="83">
        <f t="shared" si="265"/>
        <v>0</v>
      </c>
      <c r="F399" s="84"/>
      <c r="G399" s="85">
        <f t="shared" si="266"/>
        <v>0</v>
      </c>
      <c r="H399" s="86">
        <f t="shared" si="267"/>
        <v>0</v>
      </c>
      <c r="I399" s="1250"/>
      <c r="J399" s="87"/>
      <c r="K399" s="1250"/>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0"/>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7"/>
      <c r="C400" s="1248"/>
      <c r="D400" s="2487"/>
      <c r="E400" s="83">
        <f t="shared" si="265"/>
        <v>0</v>
      </c>
      <c r="F400" s="84"/>
      <c r="G400" s="85">
        <f t="shared" si="266"/>
        <v>0</v>
      </c>
      <c r="H400" s="86">
        <f t="shared" si="267"/>
        <v>0</v>
      </c>
      <c r="I400" s="1250"/>
      <c r="J400" s="87"/>
      <c r="K400" s="1250"/>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0"/>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7"/>
      <c r="C401" s="1248"/>
      <c r="D401" s="2487"/>
      <c r="E401" s="83">
        <f t="shared" si="265"/>
        <v>0</v>
      </c>
      <c r="F401" s="84"/>
      <c r="G401" s="85">
        <f t="shared" si="266"/>
        <v>0</v>
      </c>
      <c r="H401" s="86">
        <f t="shared" si="267"/>
        <v>0</v>
      </c>
      <c r="I401" s="1250"/>
      <c r="J401" s="87"/>
      <c r="K401" s="1250"/>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0"/>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7"/>
      <c r="C402" s="1248"/>
      <c r="D402" s="2487"/>
      <c r="E402" s="83">
        <f t="shared" si="265"/>
        <v>0</v>
      </c>
      <c r="F402" s="84"/>
      <c r="G402" s="85">
        <f t="shared" si="266"/>
        <v>0</v>
      </c>
      <c r="H402" s="86">
        <f t="shared" si="267"/>
        <v>0</v>
      </c>
      <c r="I402" s="1250"/>
      <c r="J402" s="87"/>
      <c r="K402" s="1250"/>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0"/>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7"/>
      <c r="C403" s="1248"/>
      <c r="D403" s="2487"/>
      <c r="E403" s="83">
        <f t="shared" si="265"/>
        <v>0</v>
      </c>
      <c r="F403" s="84"/>
      <c r="G403" s="85">
        <f t="shared" si="266"/>
        <v>0</v>
      </c>
      <c r="H403" s="86">
        <f t="shared" si="267"/>
        <v>0</v>
      </c>
      <c r="I403" s="1250"/>
      <c r="J403" s="87"/>
      <c r="K403" s="1250"/>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0"/>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7"/>
      <c r="C404" s="1248"/>
      <c r="D404" s="2487"/>
      <c r="E404" s="83">
        <f t="shared" si="265"/>
        <v>0</v>
      </c>
      <c r="F404" s="84"/>
      <c r="G404" s="85">
        <f t="shared" si="266"/>
        <v>0</v>
      </c>
      <c r="H404" s="86">
        <f t="shared" si="267"/>
        <v>0</v>
      </c>
      <c r="I404" s="1250"/>
      <c r="J404" s="87"/>
      <c r="K404" s="1250"/>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0"/>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7"/>
      <c r="C405" s="1248"/>
      <c r="D405" s="2487"/>
      <c r="E405" s="83">
        <f t="shared" si="265"/>
        <v>0</v>
      </c>
      <c r="F405" s="84"/>
      <c r="G405" s="85">
        <f t="shared" si="266"/>
        <v>0</v>
      </c>
      <c r="H405" s="86">
        <f t="shared" si="267"/>
        <v>0</v>
      </c>
      <c r="I405" s="1250"/>
      <c r="J405" s="87"/>
      <c r="K405" s="1250"/>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0"/>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7"/>
      <c r="C406" s="1248"/>
      <c r="D406" s="2487"/>
      <c r="E406" s="83">
        <f t="shared" si="265"/>
        <v>0</v>
      </c>
      <c r="F406" s="84"/>
      <c r="G406" s="85">
        <f t="shared" si="266"/>
        <v>0</v>
      </c>
      <c r="H406" s="86">
        <f t="shared" si="267"/>
        <v>0</v>
      </c>
      <c r="I406" s="1250"/>
      <c r="J406" s="87"/>
      <c r="K406" s="1250"/>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0"/>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7"/>
      <c r="C407" s="1248"/>
      <c r="D407" s="2487"/>
      <c r="E407" s="83">
        <f t="shared" si="265"/>
        <v>0</v>
      </c>
      <c r="F407" s="84"/>
      <c r="G407" s="85">
        <f t="shared" si="266"/>
        <v>0</v>
      </c>
      <c r="H407" s="86">
        <f t="shared" si="267"/>
        <v>0</v>
      </c>
      <c r="I407" s="1250"/>
      <c r="J407" s="87"/>
      <c r="K407" s="1250"/>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0"/>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7"/>
      <c r="C408" s="1248"/>
      <c r="D408" s="2487"/>
      <c r="E408" s="83">
        <f t="shared" si="265"/>
        <v>0</v>
      </c>
      <c r="F408" s="84"/>
      <c r="G408" s="85">
        <f t="shared" si="266"/>
        <v>0</v>
      </c>
      <c r="H408" s="86">
        <f t="shared" si="267"/>
        <v>0</v>
      </c>
      <c r="I408" s="1250"/>
      <c r="J408" s="87"/>
      <c r="K408" s="1250"/>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0"/>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7"/>
      <c r="C409" s="1248"/>
      <c r="D409" s="2487"/>
      <c r="E409" s="83">
        <f t="shared" si="265"/>
        <v>0</v>
      </c>
      <c r="F409" s="84"/>
      <c r="G409" s="85">
        <f t="shared" si="266"/>
        <v>0</v>
      </c>
      <c r="H409" s="86">
        <f t="shared" si="267"/>
        <v>0</v>
      </c>
      <c r="I409" s="1250"/>
      <c r="J409" s="87"/>
      <c r="K409" s="1250"/>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0"/>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7"/>
      <c r="C410" s="1248"/>
      <c r="D410" s="2487"/>
      <c r="E410" s="83">
        <f t="shared" si="265"/>
        <v>0</v>
      </c>
      <c r="F410" s="84"/>
      <c r="G410" s="85">
        <f t="shared" si="266"/>
        <v>0</v>
      </c>
      <c r="H410" s="86">
        <f t="shared" si="267"/>
        <v>0</v>
      </c>
      <c r="I410" s="1250"/>
      <c r="J410" s="87"/>
      <c r="K410" s="1250"/>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0"/>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7"/>
      <c r="C411" s="1248"/>
      <c r="D411" s="2487"/>
      <c r="E411" s="83">
        <f t="shared" si="265"/>
        <v>0</v>
      </c>
      <c r="F411" s="84"/>
      <c r="G411" s="85">
        <f t="shared" si="266"/>
        <v>0</v>
      </c>
      <c r="H411" s="86">
        <f t="shared" si="267"/>
        <v>0</v>
      </c>
      <c r="I411" s="1250"/>
      <c r="J411" s="87"/>
      <c r="K411" s="1250"/>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0"/>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7"/>
      <c r="C412" s="1248"/>
      <c r="D412" s="2487"/>
      <c r="E412" s="83">
        <f t="shared" si="265"/>
        <v>0</v>
      </c>
      <c r="F412" s="84"/>
      <c r="G412" s="85">
        <f t="shared" si="266"/>
        <v>0</v>
      </c>
      <c r="H412" s="86">
        <f t="shared" si="267"/>
        <v>0</v>
      </c>
      <c r="I412" s="1250"/>
      <c r="J412" s="87"/>
      <c r="K412" s="1250"/>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0"/>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7"/>
      <c r="C413" s="1248"/>
      <c r="D413" s="2487"/>
      <c r="E413" s="83">
        <f t="shared" si="265"/>
        <v>0</v>
      </c>
      <c r="F413" s="84"/>
      <c r="G413" s="85">
        <f t="shared" si="266"/>
        <v>0</v>
      </c>
      <c r="H413" s="86">
        <f t="shared" si="267"/>
        <v>0</v>
      </c>
      <c r="I413" s="1250"/>
      <c r="J413" s="87"/>
      <c r="K413" s="1250"/>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0"/>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7"/>
      <c r="C414" s="1248"/>
      <c r="D414" s="2487"/>
      <c r="E414" s="83">
        <f t="shared" si="265"/>
        <v>0</v>
      </c>
      <c r="F414" s="84"/>
      <c r="G414" s="85">
        <f t="shared" si="266"/>
        <v>0</v>
      </c>
      <c r="H414" s="86">
        <f t="shared" si="267"/>
        <v>0</v>
      </c>
      <c r="I414" s="1250"/>
      <c r="J414" s="87"/>
      <c r="K414" s="1250"/>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0"/>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7"/>
      <c r="C415" s="1248"/>
      <c r="D415" s="2487"/>
      <c r="E415" s="83">
        <f t="shared" si="265"/>
        <v>0</v>
      </c>
      <c r="F415" s="84"/>
      <c r="G415" s="85">
        <f t="shared" si="266"/>
        <v>0</v>
      </c>
      <c r="H415" s="86">
        <f t="shared" si="267"/>
        <v>0</v>
      </c>
      <c r="I415" s="1250"/>
      <c r="J415" s="87"/>
      <c r="K415" s="1250"/>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8"/>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7"/>
      <c r="C416" s="1248"/>
      <c r="D416" s="2487"/>
      <c r="E416" s="83">
        <f t="shared" si="265"/>
        <v>0</v>
      </c>
      <c r="F416" s="84"/>
      <c r="G416" s="85">
        <f t="shared" si="266"/>
        <v>0</v>
      </c>
      <c r="H416" s="86">
        <f t="shared" si="267"/>
        <v>0</v>
      </c>
      <c r="I416" s="1248"/>
      <c r="J416" s="87"/>
      <c r="K416" s="1248"/>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8"/>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7"/>
      <c r="C417" s="1248"/>
      <c r="D417" s="2487"/>
      <c r="E417" s="83">
        <f t="shared" si="265"/>
        <v>0</v>
      </c>
      <c r="F417" s="84"/>
      <c r="G417" s="85">
        <f t="shared" si="266"/>
        <v>0</v>
      </c>
      <c r="H417" s="86">
        <f t="shared" si="267"/>
        <v>0</v>
      </c>
      <c r="I417" s="1248"/>
      <c r="J417" s="87"/>
      <c r="K417" s="1248"/>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8"/>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7"/>
      <c r="C418" s="1248"/>
      <c r="D418" s="2487"/>
      <c r="E418" s="83">
        <f t="shared" si="265"/>
        <v>0</v>
      </c>
      <c r="F418" s="84"/>
      <c r="G418" s="85">
        <f t="shared" si="266"/>
        <v>0</v>
      </c>
      <c r="H418" s="86">
        <f t="shared" si="267"/>
        <v>0</v>
      </c>
      <c r="I418" s="1248"/>
      <c r="J418" s="87"/>
      <c r="K418" s="1248"/>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8"/>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7"/>
      <c r="C419" s="1248"/>
      <c r="D419" s="2487"/>
      <c r="E419" s="83">
        <f t="shared" si="265"/>
        <v>0</v>
      </c>
      <c r="F419" s="84"/>
      <c r="G419" s="85">
        <f t="shared" si="266"/>
        <v>0</v>
      </c>
      <c r="H419" s="86">
        <f t="shared" si="267"/>
        <v>0</v>
      </c>
      <c r="I419" s="1248"/>
      <c r="J419" s="87"/>
      <c r="K419" s="1248"/>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8"/>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7"/>
      <c r="C420" s="1248"/>
      <c r="D420" s="2487"/>
      <c r="E420" s="83">
        <f t="shared" si="265"/>
        <v>0</v>
      </c>
      <c r="F420" s="84"/>
      <c r="G420" s="85">
        <f t="shared" si="266"/>
        <v>0</v>
      </c>
      <c r="H420" s="86">
        <f t="shared" si="267"/>
        <v>0</v>
      </c>
      <c r="I420" s="1248"/>
      <c r="J420" s="87"/>
      <c r="K420" s="1248"/>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8"/>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7"/>
      <c r="C421" s="1248"/>
      <c r="D421" s="2487"/>
      <c r="E421" s="83">
        <f t="shared" si="265"/>
        <v>0</v>
      </c>
      <c r="F421" s="84"/>
      <c r="G421" s="85">
        <f t="shared" si="266"/>
        <v>0</v>
      </c>
      <c r="H421" s="86">
        <f t="shared" si="267"/>
        <v>0</v>
      </c>
      <c r="I421" s="1248"/>
      <c r="J421" s="87"/>
      <c r="K421" s="1248"/>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8"/>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7"/>
      <c r="C422" s="1248"/>
      <c r="D422" s="2487"/>
      <c r="E422" s="83">
        <f t="shared" si="265"/>
        <v>0</v>
      </c>
      <c r="F422" s="84"/>
      <c r="G422" s="85">
        <f t="shared" si="266"/>
        <v>0</v>
      </c>
      <c r="H422" s="86">
        <f t="shared" si="267"/>
        <v>0</v>
      </c>
      <c r="I422" s="1248"/>
      <c r="J422" s="87"/>
      <c r="K422" s="1248"/>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8"/>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9"/>
      <c r="C423" s="1250"/>
      <c r="D423" s="2487"/>
      <c r="E423" s="83">
        <f t="shared" si="265"/>
        <v>0</v>
      </c>
      <c r="F423" s="84"/>
      <c r="G423" s="85">
        <f t="shared" si="266"/>
        <v>0</v>
      </c>
      <c r="H423" s="86">
        <f t="shared" si="267"/>
        <v>0</v>
      </c>
      <c r="I423" s="1248"/>
      <c r="J423" s="87"/>
      <c r="K423" s="1248"/>
      <c r="L423" s="87"/>
      <c r="M423" s="1248"/>
      <c r="N423" s="87"/>
      <c r="O423" s="87"/>
      <c r="P423" s="87"/>
      <c r="Q423" s="87"/>
      <c r="R423" s="87"/>
      <c r="S423" s="87"/>
      <c r="T423" s="87"/>
      <c r="U423" s="87"/>
      <c r="V423" s="87"/>
      <c r="W423" s="87"/>
      <c r="X423" s="87"/>
      <c r="Y423" s="87"/>
      <c r="Z423" s="87"/>
      <c r="AA423" s="87"/>
      <c r="AB423" s="87"/>
      <c r="AC423" s="83">
        <f t="shared" si="268"/>
        <v>0</v>
      </c>
      <c r="AD423" s="88"/>
      <c r="AE423" s="88"/>
      <c r="AF423" s="1248"/>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7"/>
      <c r="C481" s="1248"/>
      <c r="D481" s="2487"/>
      <c r="E481" s="83">
        <f t="shared" ref="E481:E504" si="319">IF($C$3="是",ROUND($A$3*G481/$B$3,2),ROUND($A$3*(G481-AT481)/$B$3,2))</f>
        <v>0</v>
      </c>
      <c r="F481" s="84"/>
      <c r="G481" s="85">
        <f t="shared" si="294"/>
        <v>0</v>
      </c>
      <c r="H481" s="86">
        <f t="shared" si="295"/>
        <v>0</v>
      </c>
      <c r="I481" s="1250"/>
      <c r="J481" s="87"/>
      <c r="K481" s="1250"/>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1"/>
      <c r="AG481" s="88"/>
      <c r="AH481" s="88"/>
      <c r="AI481" s="88"/>
      <c r="AJ481" s="88"/>
      <c r="AK481" s="88"/>
      <c r="AL481" s="88"/>
      <c r="AM481" s="88"/>
      <c r="AN481" s="1223"/>
      <c r="AO481" s="88"/>
      <c r="AP481" s="88"/>
      <c r="AQ481" s="88"/>
      <c r="AR481" s="88"/>
      <c r="AS481" s="88"/>
      <c r="AT481" s="89"/>
      <c r="AU481" s="90"/>
      <c r="AV481" s="953">
        <f t="shared" ref="AV481:AV505" si="320">A481</f>
        <v>0</v>
      </c>
      <c r="AW481" s="953">
        <f t="shared" ref="AW481:AW505" si="321">B481</f>
        <v>0</v>
      </c>
      <c r="AX481" s="953">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7"/>
      <c r="C482" s="1248"/>
      <c r="D482" s="2487"/>
      <c r="E482" s="83">
        <f t="shared" si="319"/>
        <v>0</v>
      </c>
      <c r="F482" s="84"/>
      <c r="G482" s="85">
        <f t="shared" si="294"/>
        <v>0</v>
      </c>
      <c r="H482" s="86">
        <f t="shared" si="295"/>
        <v>0</v>
      </c>
      <c r="I482" s="1250"/>
      <c r="J482" s="87"/>
      <c r="K482" s="1250"/>
      <c r="L482" s="87"/>
      <c r="M482" s="1223"/>
      <c r="N482" s="87"/>
      <c r="O482" s="87"/>
      <c r="P482" s="87"/>
      <c r="Q482" s="87"/>
      <c r="R482" s="87"/>
      <c r="S482" s="87"/>
      <c r="T482" s="87"/>
      <c r="U482" s="87"/>
      <c r="V482" s="87"/>
      <c r="W482" s="87"/>
      <c r="X482" s="87"/>
      <c r="Y482" s="87"/>
      <c r="Z482" s="87"/>
      <c r="AA482" s="87"/>
      <c r="AB482" s="87"/>
      <c r="AC482" s="83">
        <f t="shared" si="296"/>
        <v>0</v>
      </c>
      <c r="AD482" s="1223"/>
      <c r="AE482" s="88"/>
      <c r="AF482" s="1251"/>
      <c r="AG482" s="88"/>
      <c r="AH482" s="88"/>
      <c r="AI482" s="88"/>
      <c r="AJ482" s="88"/>
      <c r="AK482" s="88"/>
      <c r="AL482" s="1223"/>
      <c r="AM482" s="88"/>
      <c r="AN482" s="1223"/>
      <c r="AO482" s="88"/>
      <c r="AP482" s="88"/>
      <c r="AQ482" s="88"/>
      <c r="AR482" s="88"/>
      <c r="AS482" s="88"/>
      <c r="AT482" s="89"/>
      <c r="AU482" s="90"/>
      <c r="AV482" s="953">
        <f t="shared" si="320"/>
        <v>0</v>
      </c>
      <c r="AW482" s="953">
        <f t="shared" si="321"/>
        <v>0</v>
      </c>
      <c r="AX482" s="953">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7"/>
      <c r="C483" s="1248"/>
      <c r="D483" s="2487"/>
      <c r="E483" s="83">
        <f t="shared" si="319"/>
        <v>0</v>
      </c>
      <c r="F483" s="84"/>
      <c r="G483" s="85">
        <f t="shared" si="294"/>
        <v>0</v>
      </c>
      <c r="H483" s="86">
        <f t="shared" si="295"/>
        <v>0</v>
      </c>
      <c r="I483" s="1250"/>
      <c r="J483" s="87"/>
      <c r="K483" s="1250"/>
      <c r="L483" s="87"/>
      <c r="M483" s="1223"/>
      <c r="N483" s="87"/>
      <c r="O483" s="87"/>
      <c r="P483" s="87"/>
      <c r="Q483" s="87"/>
      <c r="R483" s="87"/>
      <c r="S483" s="87"/>
      <c r="T483" s="87"/>
      <c r="U483" s="87"/>
      <c r="V483" s="87"/>
      <c r="W483" s="87"/>
      <c r="X483" s="87"/>
      <c r="Y483" s="87"/>
      <c r="Z483" s="87"/>
      <c r="AA483" s="87"/>
      <c r="AB483" s="87"/>
      <c r="AC483" s="83">
        <f t="shared" si="296"/>
        <v>0</v>
      </c>
      <c r="AD483" s="88"/>
      <c r="AE483" s="88"/>
      <c r="AF483" s="1251"/>
      <c r="AG483" s="88"/>
      <c r="AH483" s="88"/>
      <c r="AI483" s="88"/>
      <c r="AJ483" s="88"/>
      <c r="AK483" s="88"/>
      <c r="AL483" s="1223"/>
      <c r="AM483" s="88"/>
      <c r="AN483" s="1223"/>
      <c r="AO483" s="88"/>
      <c r="AP483" s="88"/>
      <c r="AQ483" s="88"/>
      <c r="AR483" s="88"/>
      <c r="AS483" s="88"/>
      <c r="AT483" s="89"/>
      <c r="AU483" s="90"/>
      <c r="AV483" s="953">
        <f t="shared" si="320"/>
        <v>0</v>
      </c>
      <c r="AW483" s="953">
        <f t="shared" si="321"/>
        <v>0</v>
      </c>
      <c r="AX483" s="953">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7"/>
      <c r="C484" s="1248"/>
      <c r="D484" s="2487"/>
      <c r="E484" s="83">
        <f t="shared" si="319"/>
        <v>0</v>
      </c>
      <c r="F484" s="84"/>
      <c r="G484" s="85">
        <f t="shared" si="294"/>
        <v>0</v>
      </c>
      <c r="H484" s="86">
        <f t="shared" si="295"/>
        <v>0</v>
      </c>
      <c r="I484" s="1250"/>
      <c r="J484" s="87"/>
      <c r="K484" s="1250"/>
      <c r="L484" s="87"/>
      <c r="M484" s="87"/>
      <c r="N484" s="87"/>
      <c r="O484" s="1223"/>
      <c r="P484" s="87"/>
      <c r="Q484" s="87"/>
      <c r="R484" s="87"/>
      <c r="S484" s="87"/>
      <c r="T484" s="87"/>
      <c r="U484" s="87"/>
      <c r="V484" s="87"/>
      <c r="W484" s="87"/>
      <c r="X484" s="87"/>
      <c r="Y484" s="87"/>
      <c r="Z484" s="87"/>
      <c r="AA484" s="87"/>
      <c r="AB484" s="87"/>
      <c r="AC484" s="83">
        <f t="shared" si="296"/>
        <v>0</v>
      </c>
      <c r="AD484" s="88"/>
      <c r="AE484" s="88"/>
      <c r="AF484" s="1251"/>
      <c r="AG484" s="88"/>
      <c r="AH484" s="88"/>
      <c r="AI484" s="88"/>
      <c r="AJ484" s="88"/>
      <c r="AK484" s="88"/>
      <c r="AL484" s="88"/>
      <c r="AM484" s="88"/>
      <c r="AN484" s="1223"/>
      <c r="AO484" s="88"/>
      <c r="AP484" s="88"/>
      <c r="AQ484" s="88"/>
      <c r="AR484" s="88"/>
      <c r="AS484" s="88"/>
      <c r="AT484" s="89"/>
      <c r="AU484" s="90"/>
      <c r="AV484" s="953">
        <f t="shared" si="320"/>
        <v>0</v>
      </c>
      <c r="AW484" s="953">
        <f t="shared" si="321"/>
        <v>0</v>
      </c>
      <c r="AX484" s="953">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7"/>
      <c r="C485" s="1248"/>
      <c r="D485" s="2487"/>
      <c r="E485" s="83">
        <f t="shared" si="319"/>
        <v>0</v>
      </c>
      <c r="F485" s="84"/>
      <c r="G485" s="85">
        <f t="shared" si="294"/>
        <v>0</v>
      </c>
      <c r="H485" s="86">
        <f t="shared" si="295"/>
        <v>0</v>
      </c>
      <c r="I485" s="1250"/>
      <c r="J485" s="87"/>
      <c r="K485" s="1250"/>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1"/>
      <c r="AG485" s="88"/>
      <c r="AH485" s="88"/>
      <c r="AI485" s="88"/>
      <c r="AJ485" s="88"/>
      <c r="AK485" s="88"/>
      <c r="AL485" s="88"/>
      <c r="AM485" s="88"/>
      <c r="AN485" s="88"/>
      <c r="AO485" s="88"/>
      <c r="AP485" s="88"/>
      <c r="AQ485" s="88"/>
      <c r="AR485" s="88"/>
      <c r="AS485" s="88"/>
      <c r="AT485" s="89"/>
      <c r="AU485" s="90"/>
      <c r="AV485" s="953">
        <f t="shared" si="320"/>
        <v>0</v>
      </c>
      <c r="AW485" s="953">
        <f t="shared" si="321"/>
        <v>0</v>
      </c>
      <c r="AX485" s="953">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7"/>
      <c r="C486" s="1248"/>
      <c r="D486" s="2487"/>
      <c r="E486" s="83">
        <f t="shared" si="319"/>
        <v>0</v>
      </c>
      <c r="F486" s="84"/>
      <c r="G486" s="85">
        <f t="shared" si="294"/>
        <v>0</v>
      </c>
      <c r="H486" s="86">
        <f t="shared" si="295"/>
        <v>0</v>
      </c>
      <c r="I486" s="1250"/>
      <c r="J486" s="87"/>
      <c r="K486" s="1250"/>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1"/>
      <c r="AG486" s="88"/>
      <c r="AH486" s="88"/>
      <c r="AI486" s="88"/>
      <c r="AJ486" s="88"/>
      <c r="AK486" s="88"/>
      <c r="AL486" s="88"/>
      <c r="AM486" s="88"/>
      <c r="AN486" s="88"/>
      <c r="AO486" s="88"/>
      <c r="AP486" s="88"/>
      <c r="AQ486" s="88"/>
      <c r="AR486" s="88"/>
      <c r="AS486" s="88"/>
      <c r="AT486" s="89"/>
      <c r="AU486" s="90"/>
      <c r="AV486" s="953">
        <f t="shared" si="320"/>
        <v>0</v>
      </c>
      <c r="AW486" s="953">
        <f t="shared" si="321"/>
        <v>0</v>
      </c>
      <c r="AX486" s="953">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7"/>
      <c r="C487" s="1248"/>
      <c r="D487" s="2487"/>
      <c r="E487" s="83">
        <f t="shared" si="319"/>
        <v>0</v>
      </c>
      <c r="F487" s="84"/>
      <c r="G487" s="85">
        <f t="shared" si="294"/>
        <v>0</v>
      </c>
      <c r="H487" s="86">
        <f t="shared" si="295"/>
        <v>0</v>
      </c>
      <c r="I487" s="1250"/>
      <c r="J487" s="87"/>
      <c r="K487" s="1250"/>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1"/>
      <c r="AG487" s="88"/>
      <c r="AH487" s="88"/>
      <c r="AI487" s="88"/>
      <c r="AJ487" s="88"/>
      <c r="AK487" s="88"/>
      <c r="AL487" s="88"/>
      <c r="AM487" s="88"/>
      <c r="AN487" s="88"/>
      <c r="AO487" s="88"/>
      <c r="AP487" s="88"/>
      <c r="AQ487" s="88"/>
      <c r="AR487" s="88"/>
      <c r="AS487" s="88"/>
      <c r="AT487" s="89"/>
      <c r="AU487" s="90"/>
      <c r="AV487" s="953">
        <f t="shared" si="320"/>
        <v>0</v>
      </c>
      <c r="AW487" s="953">
        <f t="shared" si="321"/>
        <v>0</v>
      </c>
      <c r="AX487" s="953">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7"/>
      <c r="C488" s="1248"/>
      <c r="D488" s="2487"/>
      <c r="E488" s="83">
        <f t="shared" si="319"/>
        <v>0</v>
      </c>
      <c r="F488" s="84"/>
      <c r="G488" s="85">
        <f t="shared" si="294"/>
        <v>0</v>
      </c>
      <c r="H488" s="86">
        <f t="shared" si="295"/>
        <v>0</v>
      </c>
      <c r="I488" s="1250"/>
      <c r="J488" s="87"/>
      <c r="K488" s="1250"/>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0"/>
      <c r="AG488" s="88"/>
      <c r="AH488" s="88"/>
      <c r="AI488" s="88"/>
      <c r="AJ488" s="88"/>
      <c r="AK488" s="88"/>
      <c r="AL488" s="88"/>
      <c r="AM488" s="88"/>
      <c r="AN488" s="88"/>
      <c r="AO488" s="88"/>
      <c r="AP488" s="88"/>
      <c r="AQ488" s="88"/>
      <c r="AR488" s="88"/>
      <c r="AS488" s="88"/>
      <c r="AT488" s="89"/>
      <c r="AU488" s="90"/>
      <c r="AV488" s="953">
        <f t="shared" si="320"/>
        <v>0</v>
      </c>
      <c r="AW488" s="953">
        <f t="shared" si="321"/>
        <v>0</v>
      </c>
      <c r="AX488" s="953">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9"/>
      <c r="C489" s="1250"/>
      <c r="D489" s="2487"/>
      <c r="E489" s="83">
        <f t="shared" si="319"/>
        <v>0</v>
      </c>
      <c r="F489" s="84"/>
      <c r="G489" s="85">
        <f t="shared" si="294"/>
        <v>0</v>
      </c>
      <c r="H489" s="86">
        <f t="shared" si="295"/>
        <v>0</v>
      </c>
      <c r="I489" s="1250"/>
      <c r="J489" s="87"/>
      <c r="K489" s="1250"/>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0"/>
      <c r="AG489" s="88"/>
      <c r="AH489" s="88"/>
      <c r="AI489" s="88"/>
      <c r="AJ489" s="88"/>
      <c r="AK489" s="88"/>
      <c r="AL489" s="88"/>
      <c r="AM489" s="88"/>
      <c r="AN489" s="88"/>
      <c r="AO489" s="88"/>
      <c r="AP489" s="88"/>
      <c r="AQ489" s="88"/>
      <c r="AR489" s="88"/>
      <c r="AS489" s="88"/>
      <c r="AT489" s="89"/>
      <c r="AU489" s="90"/>
      <c r="AV489" s="953">
        <f t="shared" si="320"/>
        <v>0</v>
      </c>
      <c r="AW489" s="953">
        <f t="shared" si="321"/>
        <v>0</v>
      </c>
      <c r="AX489" s="953">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7"/>
      <c r="C490" s="1248"/>
      <c r="D490" s="2487"/>
      <c r="E490" s="83">
        <f t="shared" si="319"/>
        <v>0</v>
      </c>
      <c r="F490" s="84"/>
      <c r="G490" s="85">
        <f t="shared" si="294"/>
        <v>0</v>
      </c>
      <c r="H490" s="86">
        <f t="shared" si="295"/>
        <v>0</v>
      </c>
      <c r="I490" s="1250"/>
      <c r="J490" s="87"/>
      <c r="K490" s="1250"/>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0"/>
      <c r="AG490" s="88"/>
      <c r="AH490" s="88"/>
      <c r="AI490" s="88"/>
      <c r="AJ490" s="88"/>
      <c r="AK490" s="88"/>
      <c r="AL490" s="88"/>
      <c r="AM490" s="88"/>
      <c r="AN490" s="88"/>
      <c r="AO490" s="88"/>
      <c r="AP490" s="88"/>
      <c r="AQ490" s="88"/>
      <c r="AR490" s="88"/>
      <c r="AS490" s="88"/>
      <c r="AT490" s="89"/>
      <c r="AU490" s="90"/>
      <c r="AV490" s="953">
        <f t="shared" si="320"/>
        <v>0</v>
      </c>
      <c r="AW490" s="953">
        <f t="shared" si="321"/>
        <v>0</v>
      </c>
      <c r="AX490" s="953">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7"/>
      <c r="C491" s="1248"/>
      <c r="D491" s="2487"/>
      <c r="E491" s="83">
        <f t="shared" si="319"/>
        <v>0</v>
      </c>
      <c r="F491" s="84"/>
      <c r="G491" s="85">
        <f t="shared" si="294"/>
        <v>0</v>
      </c>
      <c r="H491" s="86">
        <f t="shared" si="295"/>
        <v>0</v>
      </c>
      <c r="I491" s="1250"/>
      <c r="J491" s="87"/>
      <c r="K491" s="1250"/>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0"/>
      <c r="AG491" s="88"/>
      <c r="AH491" s="88"/>
      <c r="AI491" s="88"/>
      <c r="AJ491" s="88"/>
      <c r="AK491" s="88"/>
      <c r="AL491" s="88"/>
      <c r="AM491" s="88"/>
      <c r="AN491" s="88"/>
      <c r="AO491" s="88"/>
      <c r="AP491" s="88"/>
      <c r="AQ491" s="88"/>
      <c r="AR491" s="88"/>
      <c r="AS491" s="88"/>
      <c r="AT491" s="89"/>
      <c r="AU491" s="90"/>
      <c r="AV491" s="953">
        <f t="shared" si="320"/>
        <v>0</v>
      </c>
      <c r="AW491" s="953">
        <f t="shared" si="321"/>
        <v>0</v>
      </c>
      <c r="AX491" s="953">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7"/>
      <c r="C492" s="1248"/>
      <c r="D492" s="2487"/>
      <c r="E492" s="83">
        <f t="shared" si="319"/>
        <v>0</v>
      </c>
      <c r="F492" s="84"/>
      <c r="G492" s="85">
        <f t="shared" si="294"/>
        <v>0</v>
      </c>
      <c r="H492" s="86">
        <f t="shared" si="295"/>
        <v>0</v>
      </c>
      <c r="I492" s="1250"/>
      <c r="J492" s="87"/>
      <c r="K492" s="1250"/>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0"/>
      <c r="AG492" s="88"/>
      <c r="AH492" s="88"/>
      <c r="AI492" s="88"/>
      <c r="AJ492" s="88"/>
      <c r="AK492" s="88"/>
      <c r="AL492" s="88"/>
      <c r="AM492" s="88"/>
      <c r="AN492" s="88"/>
      <c r="AO492" s="88"/>
      <c r="AP492" s="88"/>
      <c r="AQ492" s="88"/>
      <c r="AR492" s="88"/>
      <c r="AS492" s="88"/>
      <c r="AT492" s="89"/>
      <c r="AU492" s="90"/>
      <c r="AV492" s="953">
        <f t="shared" si="320"/>
        <v>0</v>
      </c>
      <c r="AW492" s="953">
        <f t="shared" si="321"/>
        <v>0</v>
      </c>
      <c r="AX492" s="953">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7"/>
      <c r="C493" s="1248"/>
      <c r="D493" s="2487"/>
      <c r="E493" s="83">
        <f t="shared" si="319"/>
        <v>0</v>
      </c>
      <c r="F493" s="84"/>
      <c r="G493" s="85">
        <f t="shared" si="294"/>
        <v>0</v>
      </c>
      <c r="H493" s="86">
        <f t="shared" si="295"/>
        <v>0</v>
      </c>
      <c r="I493" s="1250"/>
      <c r="J493" s="87"/>
      <c r="K493" s="1250"/>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0"/>
      <c r="AG493" s="88"/>
      <c r="AH493" s="88"/>
      <c r="AI493" s="88"/>
      <c r="AJ493" s="88"/>
      <c r="AK493" s="88"/>
      <c r="AL493" s="88"/>
      <c r="AM493" s="88"/>
      <c r="AN493" s="88"/>
      <c r="AO493" s="88"/>
      <c r="AP493" s="88"/>
      <c r="AQ493" s="88"/>
      <c r="AR493" s="88"/>
      <c r="AS493" s="88"/>
      <c r="AT493" s="89"/>
      <c r="AU493" s="90"/>
      <c r="AV493" s="953">
        <f t="shared" si="320"/>
        <v>0</v>
      </c>
      <c r="AW493" s="953">
        <f t="shared" si="321"/>
        <v>0</v>
      </c>
      <c r="AX493" s="953">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7"/>
      <c r="C494" s="1248"/>
      <c r="D494" s="2487"/>
      <c r="E494" s="83">
        <f t="shared" si="319"/>
        <v>0</v>
      </c>
      <c r="F494" s="84"/>
      <c r="G494" s="85">
        <f t="shared" si="294"/>
        <v>0</v>
      </c>
      <c r="H494" s="86">
        <f t="shared" si="295"/>
        <v>0</v>
      </c>
      <c r="I494" s="1250"/>
      <c r="J494" s="87"/>
      <c r="K494" s="1250"/>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0"/>
      <c r="AG494" s="88"/>
      <c r="AH494" s="88"/>
      <c r="AI494" s="88"/>
      <c r="AJ494" s="88"/>
      <c r="AK494" s="88"/>
      <c r="AL494" s="88"/>
      <c r="AM494" s="88"/>
      <c r="AN494" s="88"/>
      <c r="AO494" s="88"/>
      <c r="AP494" s="88"/>
      <c r="AQ494" s="88"/>
      <c r="AR494" s="88"/>
      <c r="AS494" s="88"/>
      <c r="AT494" s="89"/>
      <c r="AU494" s="90"/>
      <c r="AV494" s="953">
        <f t="shared" si="320"/>
        <v>0</v>
      </c>
      <c r="AW494" s="953">
        <f t="shared" si="321"/>
        <v>0</v>
      </c>
      <c r="AX494" s="953">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7"/>
      <c r="C495" s="1248"/>
      <c r="D495" s="2487"/>
      <c r="E495" s="83">
        <f t="shared" si="319"/>
        <v>0</v>
      </c>
      <c r="F495" s="84"/>
      <c r="G495" s="85">
        <f t="shared" si="294"/>
        <v>0</v>
      </c>
      <c r="H495" s="86">
        <f t="shared" si="295"/>
        <v>0</v>
      </c>
      <c r="I495" s="1250"/>
      <c r="J495" s="87"/>
      <c r="K495" s="1250"/>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0"/>
      <c r="AG495" s="88"/>
      <c r="AH495" s="88"/>
      <c r="AI495" s="88"/>
      <c r="AJ495" s="88"/>
      <c r="AK495" s="88"/>
      <c r="AL495" s="88"/>
      <c r="AM495" s="88"/>
      <c r="AN495" s="88"/>
      <c r="AO495" s="88"/>
      <c r="AP495" s="88"/>
      <c r="AQ495" s="88"/>
      <c r="AR495" s="88"/>
      <c r="AS495" s="88"/>
      <c r="AT495" s="89"/>
      <c r="AU495" s="90"/>
      <c r="AV495" s="953">
        <f t="shared" si="320"/>
        <v>0</v>
      </c>
      <c r="AW495" s="953">
        <f t="shared" si="321"/>
        <v>0</v>
      </c>
      <c r="AX495" s="953">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7"/>
      <c r="C496" s="1248"/>
      <c r="D496" s="2487"/>
      <c r="E496" s="83">
        <f t="shared" si="319"/>
        <v>0</v>
      </c>
      <c r="F496" s="84"/>
      <c r="G496" s="85">
        <f t="shared" si="294"/>
        <v>0</v>
      </c>
      <c r="H496" s="86">
        <f t="shared" si="295"/>
        <v>0</v>
      </c>
      <c r="I496" s="1250"/>
      <c r="J496" s="87"/>
      <c r="K496" s="1250"/>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0"/>
      <c r="AG496" s="88"/>
      <c r="AH496" s="88"/>
      <c r="AI496" s="88"/>
      <c r="AJ496" s="88"/>
      <c r="AK496" s="88"/>
      <c r="AL496" s="88"/>
      <c r="AM496" s="88"/>
      <c r="AN496" s="88"/>
      <c r="AO496" s="88"/>
      <c r="AP496" s="88"/>
      <c r="AQ496" s="88"/>
      <c r="AR496" s="88"/>
      <c r="AS496" s="88"/>
      <c r="AT496" s="89"/>
      <c r="AU496" s="90"/>
      <c r="AV496" s="953">
        <f t="shared" si="320"/>
        <v>0</v>
      </c>
      <c r="AW496" s="953">
        <f t="shared" si="321"/>
        <v>0</v>
      </c>
      <c r="AX496" s="953">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7"/>
      <c r="C497" s="1248"/>
      <c r="D497" s="2487"/>
      <c r="E497" s="83">
        <f t="shared" si="319"/>
        <v>0</v>
      </c>
      <c r="F497" s="84"/>
      <c r="G497" s="85">
        <f t="shared" si="294"/>
        <v>0</v>
      </c>
      <c r="H497" s="86">
        <f t="shared" si="295"/>
        <v>0</v>
      </c>
      <c r="I497" s="1250"/>
      <c r="J497" s="87"/>
      <c r="K497" s="1250"/>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0"/>
      <c r="AG497" s="88"/>
      <c r="AH497" s="88"/>
      <c r="AI497" s="88"/>
      <c r="AJ497" s="88"/>
      <c r="AK497" s="88"/>
      <c r="AL497" s="88"/>
      <c r="AM497" s="88"/>
      <c r="AN497" s="88"/>
      <c r="AO497" s="88"/>
      <c r="AP497" s="88"/>
      <c r="AQ497" s="88"/>
      <c r="AR497" s="88"/>
      <c r="AS497" s="88"/>
      <c r="AT497" s="89"/>
      <c r="AU497" s="90"/>
      <c r="AV497" s="953">
        <f t="shared" si="320"/>
        <v>0</v>
      </c>
      <c r="AW497" s="953">
        <f t="shared" si="321"/>
        <v>0</v>
      </c>
      <c r="AX497" s="953">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7"/>
      <c r="C498" s="1248"/>
      <c r="D498" s="2487"/>
      <c r="E498" s="83">
        <f t="shared" si="319"/>
        <v>0</v>
      </c>
      <c r="F498" s="84"/>
      <c r="G498" s="85">
        <f t="shared" si="294"/>
        <v>0</v>
      </c>
      <c r="H498" s="86">
        <f t="shared" si="295"/>
        <v>0</v>
      </c>
      <c r="I498" s="1250"/>
      <c r="J498" s="87"/>
      <c r="K498" s="1250"/>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0"/>
      <c r="AG498" s="88"/>
      <c r="AH498" s="88"/>
      <c r="AI498" s="88"/>
      <c r="AJ498" s="88"/>
      <c r="AK498" s="88"/>
      <c r="AL498" s="88"/>
      <c r="AM498" s="88"/>
      <c r="AN498" s="88"/>
      <c r="AO498" s="88"/>
      <c r="AP498" s="88"/>
      <c r="AQ498" s="88"/>
      <c r="AR498" s="88"/>
      <c r="AS498" s="88"/>
      <c r="AT498" s="89"/>
      <c r="AU498" s="90"/>
      <c r="AV498" s="953">
        <f t="shared" si="320"/>
        <v>0</v>
      </c>
      <c r="AW498" s="953">
        <f t="shared" si="321"/>
        <v>0</v>
      </c>
      <c r="AX498" s="953">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7"/>
      <c r="C499" s="1248"/>
      <c r="D499" s="2487"/>
      <c r="E499" s="83">
        <f t="shared" si="319"/>
        <v>0</v>
      </c>
      <c r="F499" s="84"/>
      <c r="G499" s="85">
        <f t="shared" si="294"/>
        <v>0</v>
      </c>
      <c r="H499" s="86">
        <f t="shared" si="295"/>
        <v>0</v>
      </c>
      <c r="I499" s="1250"/>
      <c r="J499" s="87"/>
      <c r="K499" s="1250"/>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0"/>
      <c r="AG499" s="88"/>
      <c r="AH499" s="88"/>
      <c r="AI499" s="88"/>
      <c r="AJ499" s="88"/>
      <c r="AK499" s="88"/>
      <c r="AL499" s="88"/>
      <c r="AM499" s="88"/>
      <c r="AN499" s="88"/>
      <c r="AO499" s="88"/>
      <c r="AP499" s="88"/>
      <c r="AQ499" s="88"/>
      <c r="AR499" s="88"/>
      <c r="AS499" s="88"/>
      <c r="AT499" s="89"/>
      <c r="AU499" s="90"/>
      <c r="AV499" s="953">
        <f t="shared" si="320"/>
        <v>0</v>
      </c>
      <c r="AW499" s="953">
        <f t="shared" si="321"/>
        <v>0</v>
      </c>
      <c r="AX499" s="953">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7"/>
      <c r="C500" s="1248"/>
      <c r="D500" s="2487"/>
      <c r="E500" s="83">
        <f t="shared" si="319"/>
        <v>0</v>
      </c>
      <c r="F500" s="84"/>
      <c r="G500" s="85">
        <f t="shared" si="294"/>
        <v>0</v>
      </c>
      <c r="H500" s="86">
        <f t="shared" si="295"/>
        <v>0</v>
      </c>
      <c r="I500" s="1250"/>
      <c r="J500" s="87"/>
      <c r="K500" s="1250"/>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0"/>
      <c r="AG500" s="88"/>
      <c r="AH500" s="88"/>
      <c r="AI500" s="88"/>
      <c r="AJ500" s="88"/>
      <c r="AK500" s="88"/>
      <c r="AL500" s="88"/>
      <c r="AM500" s="88"/>
      <c r="AN500" s="88"/>
      <c r="AO500" s="88"/>
      <c r="AP500" s="88"/>
      <c r="AQ500" s="88"/>
      <c r="AR500" s="88"/>
      <c r="AS500" s="88"/>
      <c r="AT500" s="89"/>
      <c r="AU500" s="90"/>
      <c r="AV500" s="953">
        <f t="shared" si="320"/>
        <v>0</v>
      </c>
      <c r="AW500" s="953">
        <f t="shared" si="321"/>
        <v>0</v>
      </c>
      <c r="AX500" s="953">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7"/>
      <c r="C501" s="1248"/>
      <c r="D501" s="2487"/>
      <c r="E501" s="83">
        <f t="shared" si="319"/>
        <v>0</v>
      </c>
      <c r="F501" s="84"/>
      <c r="G501" s="85">
        <f t="shared" si="294"/>
        <v>0</v>
      </c>
      <c r="H501" s="86">
        <f t="shared" si="295"/>
        <v>0</v>
      </c>
      <c r="I501" s="1250"/>
      <c r="J501" s="87"/>
      <c r="K501" s="1250"/>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0"/>
      <c r="AG501" s="88"/>
      <c r="AH501" s="88"/>
      <c r="AI501" s="88"/>
      <c r="AJ501" s="88"/>
      <c r="AK501" s="88"/>
      <c r="AL501" s="88"/>
      <c r="AM501" s="88"/>
      <c r="AN501" s="88"/>
      <c r="AO501" s="88"/>
      <c r="AP501" s="88"/>
      <c r="AQ501" s="88"/>
      <c r="AR501" s="88"/>
      <c r="AS501" s="88"/>
      <c r="AT501" s="89"/>
      <c r="AU501" s="90"/>
      <c r="AV501" s="953">
        <f t="shared" si="320"/>
        <v>0</v>
      </c>
      <c r="AW501" s="953">
        <f t="shared" si="321"/>
        <v>0</v>
      </c>
      <c r="AX501" s="953">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7"/>
      <c r="C502" s="1248"/>
      <c r="D502" s="2487"/>
      <c r="E502" s="83">
        <f t="shared" si="319"/>
        <v>0</v>
      </c>
      <c r="F502" s="84"/>
      <c r="G502" s="85">
        <f t="shared" si="294"/>
        <v>0</v>
      </c>
      <c r="H502" s="86">
        <f t="shared" si="295"/>
        <v>0</v>
      </c>
      <c r="I502" s="1250"/>
      <c r="J502" s="87"/>
      <c r="K502" s="1250"/>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0"/>
      <c r="AG502" s="88"/>
      <c r="AH502" s="88"/>
      <c r="AI502" s="88"/>
      <c r="AJ502" s="88"/>
      <c r="AK502" s="88"/>
      <c r="AL502" s="88"/>
      <c r="AM502" s="88"/>
      <c r="AN502" s="88"/>
      <c r="AO502" s="88"/>
      <c r="AP502" s="88"/>
      <c r="AQ502" s="88"/>
      <c r="AR502" s="88"/>
      <c r="AS502" s="88"/>
      <c r="AT502" s="89"/>
      <c r="AU502" s="90"/>
      <c r="AV502" s="953">
        <f t="shared" si="320"/>
        <v>0</v>
      </c>
      <c r="AW502" s="953">
        <f t="shared" si="321"/>
        <v>0</v>
      </c>
      <c r="AX502" s="953">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7"/>
      <c r="C503" s="1248"/>
      <c r="D503" s="2487"/>
      <c r="E503" s="83">
        <f t="shared" si="319"/>
        <v>0</v>
      </c>
      <c r="F503" s="84"/>
      <c r="G503" s="85">
        <f t="shared" si="294"/>
        <v>0</v>
      </c>
      <c r="H503" s="86">
        <f t="shared" si="295"/>
        <v>0</v>
      </c>
      <c r="I503" s="1250"/>
      <c r="J503" s="87"/>
      <c r="K503" s="1250"/>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0"/>
      <c r="AG503" s="88"/>
      <c r="AH503" s="88"/>
      <c r="AI503" s="88"/>
      <c r="AJ503" s="88"/>
      <c r="AK503" s="88"/>
      <c r="AL503" s="88"/>
      <c r="AM503" s="88"/>
      <c r="AN503" s="88"/>
      <c r="AO503" s="88"/>
      <c r="AP503" s="88"/>
      <c r="AQ503" s="88"/>
      <c r="AR503" s="88"/>
      <c r="AS503" s="88"/>
      <c r="AT503" s="89"/>
      <c r="AU503" s="90"/>
      <c r="AV503" s="953">
        <f t="shared" si="320"/>
        <v>0</v>
      </c>
      <c r="AW503" s="953">
        <f t="shared" si="321"/>
        <v>0</v>
      </c>
      <c r="AX503" s="953">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7"/>
      <c r="C504" s="1248"/>
      <c r="D504" s="2487"/>
      <c r="E504" s="83">
        <f t="shared" si="319"/>
        <v>0</v>
      </c>
      <c r="F504" s="84"/>
      <c r="G504" s="85">
        <f t="shared" si="294"/>
        <v>0</v>
      </c>
      <c r="H504" s="86">
        <f t="shared" si="295"/>
        <v>0</v>
      </c>
      <c r="I504" s="1250"/>
      <c r="J504" s="87"/>
      <c r="K504" s="1250"/>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0"/>
      <c r="AG504" s="88"/>
      <c r="AH504" s="88"/>
      <c r="AI504" s="88"/>
      <c r="AJ504" s="88"/>
      <c r="AK504" s="88"/>
      <c r="AL504" s="88"/>
      <c r="AM504" s="88"/>
      <c r="AN504" s="88"/>
      <c r="AO504" s="88"/>
      <c r="AP504" s="88"/>
      <c r="AQ504" s="88"/>
      <c r="AR504" s="88"/>
      <c r="AS504" s="88"/>
      <c r="AT504" s="89"/>
      <c r="AU504" s="90"/>
      <c r="AV504" s="953">
        <f t="shared" si="320"/>
        <v>0</v>
      </c>
      <c r="AW504" s="953">
        <f t="shared" si="321"/>
        <v>0</v>
      </c>
      <c r="AX504" s="953">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7"/>
      <c r="C505" s="1248"/>
      <c r="D505" s="2487"/>
      <c r="E505" s="83">
        <f t="shared" ref="E505:E536" si="323">IF($C$3="是",ROUND($A$3*G505/$B$3,2),ROUND($A$3*(G505-AT505)/$B$3,2))</f>
        <v>0</v>
      </c>
      <c r="F505" s="84"/>
      <c r="G505" s="85">
        <f t="shared" si="294"/>
        <v>0</v>
      </c>
      <c r="H505" s="86">
        <f t="shared" si="295"/>
        <v>0</v>
      </c>
      <c r="I505" s="1250"/>
      <c r="J505" s="87"/>
      <c r="K505" s="1250"/>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0"/>
      <c r="AG505" s="88"/>
      <c r="AH505" s="88"/>
      <c r="AI505" s="88"/>
      <c r="AJ505" s="88"/>
      <c r="AK505" s="88"/>
      <c r="AL505" s="88"/>
      <c r="AM505" s="88"/>
      <c r="AN505" s="88"/>
      <c r="AO505" s="88"/>
      <c r="AP505" s="88"/>
      <c r="AQ505" s="88"/>
      <c r="AR505" s="88"/>
      <c r="AS505" s="88"/>
      <c r="AT505" s="89"/>
      <c r="AU505" s="90"/>
      <c r="AV505" s="953">
        <f t="shared" si="320"/>
        <v>0</v>
      </c>
      <c r="AW505" s="953">
        <f t="shared" si="321"/>
        <v>0</v>
      </c>
      <c r="AX505" s="953">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7"/>
      <c r="C506" s="1248"/>
      <c r="D506" s="2487"/>
      <c r="E506" s="83">
        <f t="shared" si="323"/>
        <v>0</v>
      </c>
      <c r="F506" s="84"/>
      <c r="G506" s="85">
        <f t="shared" si="294"/>
        <v>0</v>
      </c>
      <c r="H506" s="86">
        <f t="shared" si="295"/>
        <v>0</v>
      </c>
      <c r="I506" s="1250"/>
      <c r="J506" s="87"/>
      <c r="K506" s="1250"/>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0"/>
      <c r="AG506" s="88"/>
      <c r="AH506" s="88"/>
      <c r="AI506" s="88"/>
      <c r="AJ506" s="88"/>
      <c r="AK506" s="88"/>
      <c r="AL506" s="88"/>
      <c r="AM506" s="88"/>
      <c r="AN506" s="88"/>
      <c r="AO506" s="88"/>
      <c r="AP506" s="88"/>
      <c r="AQ506" s="88"/>
      <c r="AR506" s="88"/>
      <c r="AS506" s="88"/>
      <c r="AT506" s="89"/>
      <c r="AU506" s="90"/>
      <c r="AV506" s="953">
        <f t="shared" ref="AV506:AV537" si="324">A506</f>
        <v>0</v>
      </c>
      <c r="AW506" s="953">
        <f t="shared" ref="AW506:AW537" si="325">B506</f>
        <v>0</v>
      </c>
      <c r="AX506" s="953">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7"/>
      <c r="C507" s="1248"/>
      <c r="D507" s="2487"/>
      <c r="E507" s="83">
        <f t="shared" si="323"/>
        <v>0</v>
      </c>
      <c r="F507" s="84"/>
      <c r="G507" s="85">
        <f t="shared" si="294"/>
        <v>0</v>
      </c>
      <c r="H507" s="86">
        <f t="shared" si="295"/>
        <v>0</v>
      </c>
      <c r="I507" s="1250"/>
      <c r="J507" s="87"/>
      <c r="K507" s="1250"/>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8"/>
      <c r="AG507" s="88"/>
      <c r="AH507" s="88"/>
      <c r="AI507" s="88"/>
      <c r="AJ507" s="88"/>
      <c r="AK507" s="88"/>
      <c r="AL507" s="88"/>
      <c r="AM507" s="88"/>
      <c r="AN507" s="88"/>
      <c r="AO507" s="88"/>
      <c r="AP507" s="88"/>
      <c r="AQ507" s="88"/>
      <c r="AR507" s="88"/>
      <c r="AS507" s="88"/>
      <c r="AT507" s="89"/>
      <c r="AU507" s="90"/>
      <c r="AV507" s="953">
        <f t="shared" si="324"/>
        <v>0</v>
      </c>
      <c r="AW507" s="953">
        <f t="shared" si="325"/>
        <v>0</v>
      </c>
      <c r="AX507" s="953">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7"/>
      <c r="C508" s="1248"/>
      <c r="D508" s="2487"/>
      <c r="E508" s="83">
        <f t="shared" si="323"/>
        <v>0</v>
      </c>
      <c r="F508" s="84"/>
      <c r="G508" s="85">
        <f t="shared" si="294"/>
        <v>0</v>
      </c>
      <c r="H508" s="86">
        <f t="shared" si="295"/>
        <v>0</v>
      </c>
      <c r="I508" s="1248"/>
      <c r="J508" s="87"/>
      <c r="K508" s="1248"/>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8"/>
      <c r="AG508" s="88"/>
      <c r="AH508" s="88"/>
      <c r="AI508" s="88"/>
      <c r="AJ508" s="88"/>
      <c r="AK508" s="88"/>
      <c r="AL508" s="88"/>
      <c r="AM508" s="88"/>
      <c r="AN508" s="88"/>
      <c r="AO508" s="88"/>
      <c r="AP508" s="88"/>
      <c r="AQ508" s="88"/>
      <c r="AR508" s="88"/>
      <c r="AS508" s="88"/>
      <c r="AT508" s="89"/>
      <c r="AU508" s="90"/>
      <c r="AV508" s="953">
        <f t="shared" si="324"/>
        <v>0</v>
      </c>
      <c r="AW508" s="953">
        <f t="shared" si="325"/>
        <v>0</v>
      </c>
      <c r="AX508" s="953">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7"/>
      <c r="C509" s="1248"/>
      <c r="D509" s="2487"/>
      <c r="E509" s="83">
        <f t="shared" si="323"/>
        <v>0</v>
      </c>
      <c r="F509" s="84"/>
      <c r="G509" s="85">
        <f t="shared" si="294"/>
        <v>0</v>
      </c>
      <c r="H509" s="86">
        <f t="shared" si="295"/>
        <v>0</v>
      </c>
      <c r="I509" s="1248"/>
      <c r="J509" s="87"/>
      <c r="K509" s="1248"/>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8"/>
      <c r="AG509" s="88"/>
      <c r="AH509" s="88"/>
      <c r="AI509" s="88"/>
      <c r="AJ509" s="88"/>
      <c r="AK509" s="88"/>
      <c r="AL509" s="88"/>
      <c r="AM509" s="88"/>
      <c r="AN509" s="88"/>
      <c r="AO509" s="88"/>
      <c r="AP509" s="88"/>
      <c r="AQ509" s="88"/>
      <c r="AR509" s="88"/>
      <c r="AS509" s="88"/>
      <c r="AT509" s="89"/>
      <c r="AU509" s="90"/>
      <c r="AV509" s="953">
        <f t="shared" si="324"/>
        <v>0</v>
      </c>
      <c r="AW509" s="953">
        <f t="shared" si="325"/>
        <v>0</v>
      </c>
      <c r="AX509" s="953">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7"/>
      <c r="C510" s="1248"/>
      <c r="D510" s="2487"/>
      <c r="E510" s="83">
        <f t="shared" si="323"/>
        <v>0</v>
      </c>
      <c r="F510" s="84"/>
      <c r="G510" s="85">
        <f t="shared" ref="G510:G537" si="327">H510+AC510+AT510</f>
        <v>0</v>
      </c>
      <c r="H510" s="86">
        <f t="shared" ref="H510:H537" si="328">SUMIF(I$12:AB$12,"总值",I510:AB510)</f>
        <v>0</v>
      </c>
      <c r="I510" s="1248"/>
      <c r="J510" s="87"/>
      <c r="K510" s="1248"/>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8"/>
      <c r="AG510" s="88"/>
      <c r="AH510" s="88"/>
      <c r="AI510" s="88"/>
      <c r="AJ510" s="88"/>
      <c r="AK510" s="88"/>
      <c r="AL510" s="88"/>
      <c r="AM510" s="88"/>
      <c r="AN510" s="88"/>
      <c r="AO510" s="88"/>
      <c r="AP510" s="88"/>
      <c r="AQ510" s="88"/>
      <c r="AR510" s="88"/>
      <c r="AS510" s="88"/>
      <c r="AT510" s="89"/>
      <c r="AU510" s="90"/>
      <c r="AV510" s="953">
        <f t="shared" si="324"/>
        <v>0</v>
      </c>
      <c r="AW510" s="953">
        <f t="shared" si="325"/>
        <v>0</v>
      </c>
      <c r="AX510" s="953">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7"/>
      <c r="C511" s="1248"/>
      <c r="D511" s="2487"/>
      <c r="E511" s="83">
        <f t="shared" si="323"/>
        <v>0</v>
      </c>
      <c r="F511" s="84"/>
      <c r="G511" s="85">
        <f t="shared" si="327"/>
        <v>0</v>
      </c>
      <c r="H511" s="86">
        <f t="shared" si="328"/>
        <v>0</v>
      </c>
      <c r="I511" s="1248"/>
      <c r="J511" s="87"/>
      <c r="K511" s="1248"/>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8"/>
      <c r="AG511" s="88"/>
      <c r="AH511" s="88"/>
      <c r="AI511" s="88"/>
      <c r="AJ511" s="88"/>
      <c r="AK511" s="88"/>
      <c r="AL511" s="88"/>
      <c r="AM511" s="88"/>
      <c r="AN511" s="88"/>
      <c r="AO511" s="88"/>
      <c r="AP511" s="88"/>
      <c r="AQ511" s="88"/>
      <c r="AR511" s="88"/>
      <c r="AS511" s="88"/>
      <c r="AT511" s="89"/>
      <c r="AU511" s="90"/>
      <c r="AV511" s="953">
        <f t="shared" si="324"/>
        <v>0</v>
      </c>
      <c r="AW511" s="953">
        <f t="shared" si="325"/>
        <v>0</v>
      </c>
      <c r="AX511" s="953">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7"/>
      <c r="C512" s="1248"/>
      <c r="D512" s="2487"/>
      <c r="E512" s="83">
        <f t="shared" si="323"/>
        <v>0</v>
      </c>
      <c r="F512" s="84"/>
      <c r="G512" s="85">
        <f t="shared" si="327"/>
        <v>0</v>
      </c>
      <c r="H512" s="86">
        <f t="shared" si="328"/>
        <v>0</v>
      </c>
      <c r="I512" s="1248"/>
      <c r="J512" s="87"/>
      <c r="K512" s="1248"/>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8"/>
      <c r="AG512" s="88"/>
      <c r="AH512" s="88"/>
      <c r="AI512" s="88"/>
      <c r="AJ512" s="88"/>
      <c r="AK512" s="88"/>
      <c r="AL512" s="88"/>
      <c r="AM512" s="88"/>
      <c r="AN512" s="88"/>
      <c r="AO512" s="88"/>
      <c r="AP512" s="88"/>
      <c r="AQ512" s="88"/>
      <c r="AR512" s="88"/>
      <c r="AS512" s="88"/>
      <c r="AT512" s="89"/>
      <c r="AU512" s="90"/>
      <c r="AV512" s="953">
        <f t="shared" si="324"/>
        <v>0</v>
      </c>
      <c r="AW512" s="953">
        <f t="shared" si="325"/>
        <v>0</v>
      </c>
      <c r="AX512" s="953">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7"/>
      <c r="C513" s="1248"/>
      <c r="D513" s="2487"/>
      <c r="E513" s="83">
        <f t="shared" si="323"/>
        <v>0</v>
      </c>
      <c r="F513" s="84"/>
      <c r="G513" s="85">
        <f t="shared" si="327"/>
        <v>0</v>
      </c>
      <c r="H513" s="86">
        <f t="shared" si="328"/>
        <v>0</v>
      </c>
      <c r="I513" s="1248"/>
      <c r="J513" s="87"/>
      <c r="K513" s="1248"/>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8"/>
      <c r="AG513" s="88"/>
      <c r="AH513" s="88"/>
      <c r="AI513" s="88"/>
      <c r="AJ513" s="88"/>
      <c r="AK513" s="88"/>
      <c r="AL513" s="88"/>
      <c r="AM513" s="88"/>
      <c r="AN513" s="88"/>
      <c r="AO513" s="88"/>
      <c r="AP513" s="88"/>
      <c r="AQ513" s="88"/>
      <c r="AR513" s="88"/>
      <c r="AS513" s="88"/>
      <c r="AT513" s="89"/>
      <c r="AU513" s="90"/>
      <c r="AV513" s="953">
        <f t="shared" si="324"/>
        <v>0</v>
      </c>
      <c r="AW513" s="953">
        <f t="shared" si="325"/>
        <v>0</v>
      </c>
      <c r="AX513" s="953">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7"/>
      <c r="C514" s="1248"/>
      <c r="D514" s="2487"/>
      <c r="E514" s="83">
        <f t="shared" si="323"/>
        <v>0</v>
      </c>
      <c r="F514" s="84"/>
      <c r="G514" s="85">
        <f t="shared" si="327"/>
        <v>0</v>
      </c>
      <c r="H514" s="86">
        <f t="shared" si="328"/>
        <v>0</v>
      </c>
      <c r="I514" s="1248"/>
      <c r="J514" s="87"/>
      <c r="K514" s="1248"/>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8"/>
      <c r="AG514" s="88"/>
      <c r="AH514" s="88"/>
      <c r="AI514" s="88"/>
      <c r="AJ514" s="88"/>
      <c r="AK514" s="88"/>
      <c r="AL514" s="88"/>
      <c r="AM514" s="88"/>
      <c r="AN514" s="88"/>
      <c r="AO514" s="88"/>
      <c r="AP514" s="88"/>
      <c r="AQ514" s="88"/>
      <c r="AR514" s="88"/>
      <c r="AS514" s="88"/>
      <c r="AT514" s="89"/>
      <c r="AU514" s="90"/>
      <c r="AV514" s="953">
        <f t="shared" si="324"/>
        <v>0</v>
      </c>
      <c r="AW514" s="953">
        <f t="shared" si="325"/>
        <v>0</v>
      </c>
      <c r="AX514" s="953">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9"/>
      <c r="C515" s="1250"/>
      <c r="D515" s="2487"/>
      <c r="E515" s="83">
        <f t="shared" si="323"/>
        <v>0</v>
      </c>
      <c r="F515" s="84"/>
      <c r="G515" s="85">
        <f t="shared" si="327"/>
        <v>0</v>
      </c>
      <c r="H515" s="86">
        <f t="shared" si="328"/>
        <v>0</v>
      </c>
      <c r="I515" s="1248"/>
      <c r="J515" s="87"/>
      <c r="K515" s="1248"/>
      <c r="L515" s="87"/>
      <c r="M515" s="1248"/>
      <c r="N515" s="87"/>
      <c r="O515" s="87"/>
      <c r="P515" s="87"/>
      <c r="Q515" s="87"/>
      <c r="R515" s="87"/>
      <c r="S515" s="87"/>
      <c r="T515" s="87"/>
      <c r="U515" s="87"/>
      <c r="V515" s="87"/>
      <c r="W515" s="87"/>
      <c r="X515" s="87"/>
      <c r="Y515" s="87"/>
      <c r="Z515" s="87"/>
      <c r="AA515" s="87"/>
      <c r="AB515" s="87"/>
      <c r="AC515" s="83">
        <f t="shared" si="329"/>
        <v>0</v>
      </c>
      <c r="AD515" s="88"/>
      <c r="AE515" s="88"/>
      <c r="AF515" s="1248"/>
      <c r="AG515" s="88"/>
      <c r="AH515" s="88"/>
      <c r="AI515" s="88"/>
      <c r="AJ515" s="88"/>
      <c r="AK515" s="88"/>
      <c r="AL515" s="88"/>
      <c r="AM515" s="88"/>
      <c r="AN515" s="88"/>
      <c r="AO515" s="88"/>
      <c r="AP515" s="88"/>
      <c r="AQ515" s="88"/>
      <c r="AR515" s="88"/>
      <c r="AS515" s="88"/>
      <c r="AT515" s="89"/>
      <c r="AU515" s="90"/>
      <c r="AV515" s="953">
        <f t="shared" si="324"/>
        <v>0</v>
      </c>
      <c r="AW515" s="953">
        <f t="shared" si="325"/>
        <v>0</v>
      </c>
      <c r="AX515" s="953">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3">
        <f t="shared" si="324"/>
        <v>0</v>
      </c>
      <c r="AW516" s="953">
        <f t="shared" si="325"/>
        <v>0</v>
      </c>
      <c r="AX516" s="953">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3">
        <f t="shared" si="324"/>
        <v>0</v>
      </c>
      <c r="AW517" s="953">
        <f t="shared" si="325"/>
        <v>0</v>
      </c>
      <c r="AX517" s="953">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3">
        <f t="shared" si="324"/>
        <v>0</v>
      </c>
      <c r="AW518" s="953">
        <f t="shared" si="325"/>
        <v>0</v>
      </c>
      <c r="AX518" s="953">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3">
        <f t="shared" si="324"/>
        <v>0</v>
      </c>
      <c r="AW519" s="953">
        <f t="shared" si="325"/>
        <v>0</v>
      </c>
      <c r="AX519" s="953">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3">
        <f t="shared" si="324"/>
        <v>0</v>
      </c>
      <c r="AW520" s="953">
        <f t="shared" si="325"/>
        <v>0</v>
      </c>
      <c r="AX520" s="953">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3">
        <f t="shared" si="324"/>
        <v>0</v>
      </c>
      <c r="AW521" s="953">
        <f t="shared" si="325"/>
        <v>0</v>
      </c>
      <c r="AX521" s="953">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3">
        <f t="shared" si="324"/>
        <v>0</v>
      </c>
      <c r="AW522" s="953">
        <f t="shared" si="325"/>
        <v>0</v>
      </c>
      <c r="AX522" s="953">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3">
        <f t="shared" si="324"/>
        <v>0</v>
      </c>
      <c r="AW523" s="953">
        <f t="shared" si="325"/>
        <v>0</v>
      </c>
      <c r="AX523" s="953">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3">
        <f t="shared" si="324"/>
        <v>0</v>
      </c>
      <c r="AW524" s="953">
        <f t="shared" si="325"/>
        <v>0</v>
      </c>
      <c r="AX524" s="953">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3">
        <f t="shared" si="324"/>
        <v>0</v>
      </c>
      <c r="AW525" s="953">
        <f t="shared" si="325"/>
        <v>0</v>
      </c>
      <c r="AX525" s="953">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3">
        <f t="shared" si="324"/>
        <v>0</v>
      </c>
      <c r="AW526" s="953">
        <f t="shared" si="325"/>
        <v>0</v>
      </c>
      <c r="AX526" s="953">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3">
        <f t="shared" si="324"/>
        <v>0</v>
      </c>
      <c r="AW527" s="953">
        <f t="shared" si="325"/>
        <v>0</v>
      </c>
      <c r="AX527" s="953">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3">
        <f t="shared" si="324"/>
        <v>0</v>
      </c>
      <c r="AW528" s="953">
        <f t="shared" si="325"/>
        <v>0</v>
      </c>
      <c r="AX528" s="953">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3">
        <f t="shared" si="324"/>
        <v>0</v>
      </c>
      <c r="AW529" s="953">
        <f t="shared" si="325"/>
        <v>0</v>
      </c>
      <c r="AX529" s="953">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3">
        <f t="shared" si="324"/>
        <v>0</v>
      </c>
      <c r="AW530" s="953">
        <f t="shared" si="325"/>
        <v>0</v>
      </c>
      <c r="AX530" s="953">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3">
        <f t="shared" si="324"/>
        <v>0</v>
      </c>
      <c r="AW531" s="953">
        <f t="shared" si="325"/>
        <v>0</v>
      </c>
      <c r="AX531" s="953">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3">
        <f t="shared" si="324"/>
        <v>0</v>
      </c>
      <c r="AW532" s="953">
        <f t="shared" si="325"/>
        <v>0</v>
      </c>
      <c r="AX532" s="953">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3">
        <f t="shared" si="324"/>
        <v>0</v>
      </c>
      <c r="AW533" s="953">
        <f t="shared" si="325"/>
        <v>0</v>
      </c>
      <c r="AX533" s="953">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3">
        <f t="shared" si="324"/>
        <v>0</v>
      </c>
      <c r="AW534" s="953">
        <f t="shared" si="325"/>
        <v>0</v>
      </c>
      <c r="AX534" s="953">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3">
        <f t="shared" si="324"/>
        <v>0</v>
      </c>
      <c r="AW535" s="953">
        <f t="shared" si="325"/>
        <v>0</v>
      </c>
      <c r="AX535" s="953">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3">
        <f t="shared" si="324"/>
        <v>0</v>
      </c>
      <c r="AW536" s="953">
        <f t="shared" si="325"/>
        <v>0</v>
      </c>
      <c r="AX536" s="953">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3">
        <f t="shared" si="324"/>
        <v>0</v>
      </c>
      <c r="AW537" s="953">
        <f t="shared" si="325"/>
        <v>0</v>
      </c>
      <c r="AX537" s="953">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3">
        <f t="shared" ref="AV538:AV572" si="356">A538</f>
        <v>0</v>
      </c>
      <c r="AW538" s="953">
        <f t="shared" ref="AW538:AW572" si="357">B538</f>
        <v>0</v>
      </c>
      <c r="AX538" s="953">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3">
        <f t="shared" si="356"/>
        <v>0</v>
      </c>
      <c r="AW539" s="953">
        <f t="shared" si="357"/>
        <v>0</v>
      </c>
      <c r="AX539" s="953">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3">
        <f t="shared" si="356"/>
        <v>0</v>
      </c>
      <c r="AW540" s="953">
        <f t="shared" si="357"/>
        <v>0</v>
      </c>
      <c r="AX540" s="953">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3">
        <f t="shared" si="356"/>
        <v>0</v>
      </c>
      <c r="AW541" s="953">
        <f t="shared" si="357"/>
        <v>0</v>
      </c>
      <c r="AX541" s="953">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3">
        <f t="shared" si="356"/>
        <v>0</v>
      </c>
      <c r="AW542" s="953">
        <f t="shared" si="357"/>
        <v>0</v>
      </c>
      <c r="AX542" s="953">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3">
        <f t="shared" si="356"/>
        <v>0</v>
      </c>
      <c r="AW543" s="953">
        <f t="shared" si="357"/>
        <v>0</v>
      </c>
      <c r="AX543" s="953">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3">
        <f t="shared" si="356"/>
        <v>0</v>
      </c>
      <c r="AW544" s="953">
        <f t="shared" si="357"/>
        <v>0</v>
      </c>
      <c r="AX544" s="953">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3">
        <f t="shared" si="356"/>
        <v>0</v>
      </c>
      <c r="AW545" s="953">
        <f t="shared" si="357"/>
        <v>0</v>
      </c>
      <c r="AX545" s="953">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3">
        <f t="shared" si="356"/>
        <v>0</v>
      </c>
      <c r="AW546" s="953">
        <f t="shared" si="357"/>
        <v>0</v>
      </c>
      <c r="AX546" s="953">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3">
        <f t="shared" si="356"/>
        <v>0</v>
      </c>
      <c r="AW547" s="953">
        <f t="shared" si="357"/>
        <v>0</v>
      </c>
      <c r="AX547" s="953">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3">
        <f t="shared" si="356"/>
        <v>0</v>
      </c>
      <c r="AW548" s="953">
        <f t="shared" si="357"/>
        <v>0</v>
      </c>
      <c r="AX548" s="953">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3">
        <f t="shared" si="356"/>
        <v>0</v>
      </c>
      <c r="AW549" s="953">
        <f t="shared" si="357"/>
        <v>0</v>
      </c>
      <c r="AX549" s="953">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3">
        <f t="shared" si="356"/>
        <v>0</v>
      </c>
      <c r="AW550" s="953">
        <f t="shared" si="357"/>
        <v>0</v>
      </c>
      <c r="AX550" s="953">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3">
        <f t="shared" si="356"/>
        <v>0</v>
      </c>
      <c r="AW551" s="953">
        <f t="shared" si="357"/>
        <v>0</v>
      </c>
      <c r="AX551" s="953">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3">
        <f t="shared" si="356"/>
        <v>0</v>
      </c>
      <c r="AW552" s="953">
        <f t="shared" si="357"/>
        <v>0</v>
      </c>
      <c r="AX552" s="953">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3">
        <f t="shared" si="356"/>
        <v>0</v>
      </c>
      <c r="AW553" s="953">
        <f t="shared" si="357"/>
        <v>0</v>
      </c>
      <c r="AX553" s="953">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3">
        <f t="shared" si="356"/>
        <v>0</v>
      </c>
      <c r="AW554" s="953">
        <f t="shared" si="357"/>
        <v>0</v>
      </c>
      <c r="AX554" s="953">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3">
        <f t="shared" si="356"/>
        <v>0</v>
      </c>
      <c r="AW555" s="953">
        <f t="shared" si="357"/>
        <v>0</v>
      </c>
      <c r="AX555" s="953">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3">
        <f t="shared" si="356"/>
        <v>0</v>
      </c>
      <c r="AW556" s="953">
        <f t="shared" si="357"/>
        <v>0</v>
      </c>
      <c r="AX556" s="953">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3">
        <f t="shared" si="356"/>
        <v>0</v>
      </c>
      <c r="AW557" s="953">
        <f t="shared" si="357"/>
        <v>0</v>
      </c>
      <c r="AX557" s="953">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3">
        <f t="shared" si="356"/>
        <v>0</v>
      </c>
      <c r="AW558" s="953">
        <f t="shared" si="357"/>
        <v>0</v>
      </c>
      <c r="AX558" s="953">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3">
        <f t="shared" si="356"/>
        <v>0</v>
      </c>
      <c r="AW559" s="953">
        <f t="shared" si="357"/>
        <v>0</v>
      </c>
      <c r="AX559" s="953">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3">
        <f t="shared" si="356"/>
        <v>0</v>
      </c>
      <c r="AW560" s="953">
        <f t="shared" si="357"/>
        <v>0</v>
      </c>
      <c r="AX560" s="953">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3">
        <f t="shared" si="356"/>
        <v>0</v>
      </c>
      <c r="AW561" s="953">
        <f t="shared" si="357"/>
        <v>0</v>
      </c>
      <c r="AX561" s="953">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3">
        <f t="shared" si="356"/>
        <v>0</v>
      </c>
      <c r="AW562" s="953">
        <f t="shared" si="357"/>
        <v>0</v>
      </c>
      <c r="AX562" s="953">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3">
        <f t="shared" si="356"/>
        <v>0</v>
      </c>
      <c r="AW563" s="953">
        <f t="shared" si="357"/>
        <v>0</v>
      </c>
      <c r="AX563" s="953">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3">
        <f t="shared" si="356"/>
        <v>0</v>
      </c>
      <c r="AW564" s="953">
        <f t="shared" si="357"/>
        <v>0</v>
      </c>
      <c r="AX564" s="953">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3">
        <f t="shared" si="356"/>
        <v>0</v>
      </c>
      <c r="AW565" s="953">
        <f t="shared" si="357"/>
        <v>0</v>
      </c>
      <c r="AX565" s="953">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3">
        <f t="shared" si="356"/>
        <v>0</v>
      </c>
      <c r="AW566" s="953">
        <f t="shared" si="357"/>
        <v>0</v>
      </c>
      <c r="AX566" s="953">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3">
        <f t="shared" si="356"/>
        <v>0</v>
      </c>
      <c r="AW567" s="953">
        <f t="shared" si="357"/>
        <v>0</v>
      </c>
      <c r="AX567" s="953">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3">
        <f t="shared" si="356"/>
        <v>0</v>
      </c>
      <c r="AW568" s="953">
        <f t="shared" si="357"/>
        <v>0</v>
      </c>
      <c r="AX568" s="953">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3">
        <f t="shared" si="356"/>
        <v>0</v>
      </c>
      <c r="AW569" s="953">
        <f t="shared" si="357"/>
        <v>0</v>
      </c>
      <c r="AX569" s="953">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3">
        <f t="shared" si="356"/>
        <v>0</v>
      </c>
      <c r="AW570" s="953">
        <f t="shared" si="357"/>
        <v>0</v>
      </c>
      <c r="AX570" s="953">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3">
        <f t="shared" si="356"/>
        <v>0</v>
      </c>
      <c r="AW571" s="953">
        <f t="shared" si="357"/>
        <v>0</v>
      </c>
      <c r="AX571" s="953">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3">
        <f t="shared" si="356"/>
        <v>0</v>
      </c>
      <c r="AW572" s="953">
        <f t="shared" si="357"/>
        <v>0</v>
      </c>
      <c r="AX572" s="953">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disablePrompts="1"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70" zoomScaleNormal="70" zoomScaleSheetLayoutView="70" workbookViewId="0">
      <selection activeCell="I43" sqref="I43"/>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752" t="s">
        <v>169</v>
      </c>
      <c r="B2" s="3752"/>
      <c r="C2" s="3752"/>
      <c r="D2" s="1728" t="s">
        <v>170</v>
      </c>
      <c r="E2" s="102" t="s">
        <v>171</v>
      </c>
      <c r="F2" s="2824"/>
      <c r="G2" s="1095"/>
      <c r="H2" s="1096"/>
      <c r="I2" s="1097" t="s">
        <v>795</v>
      </c>
      <c r="J2" s="2824"/>
      <c r="K2" s="2824"/>
      <c r="L2" s="2824"/>
      <c r="M2" s="2824"/>
      <c r="N2" s="2824"/>
      <c r="O2" s="2824"/>
      <c r="P2" s="2824"/>
    </row>
    <row r="3" spans="1:16" ht="15.75" thickBot="1">
      <c r="A3" s="3753" t="s">
        <v>172</v>
      </c>
      <c r="B3" s="3753"/>
      <c r="C3" s="3753"/>
      <c r="D3" s="103">
        <f>'数据-基础表'!AY6</f>
        <v>18265.05</v>
      </c>
      <c r="E3" s="103">
        <f>'数据-基础表'!AZ5</f>
        <v>59771.28</v>
      </c>
      <c r="F3" s="2824"/>
      <c r="G3" s="271" t="s">
        <v>796</v>
      </c>
      <c r="H3" s="266" t="s">
        <v>797</v>
      </c>
      <c r="I3" s="1729">
        <f>ROUND('数据-基础表'!B3/'数据-基础表'!A3,2)</f>
        <v>3.27</v>
      </c>
      <c r="J3" s="2824"/>
      <c r="K3" s="2824"/>
      <c r="L3" s="2824"/>
      <c r="M3" s="2824"/>
      <c r="N3" s="2824"/>
      <c r="O3" s="2824"/>
      <c r="P3" s="2824"/>
    </row>
    <row r="4" spans="1:16" ht="15">
      <c r="A4" s="3754"/>
      <c r="B4" s="3755"/>
      <c r="C4" s="3756"/>
      <c r="D4" s="104" t="s">
        <v>170</v>
      </c>
      <c r="E4" s="105" t="s">
        <v>171</v>
      </c>
      <c r="F4" s="2824"/>
      <c r="G4" s="1098"/>
      <c r="H4" s="266" t="s">
        <v>798</v>
      </c>
      <c r="I4" s="1729">
        <f>ROUND(SUMIF('数据-基础表'!I9:AS9,"地上",'数据-基础表'!I5:AS5)/'数据-基础表'!A3,2)</f>
        <v>2.31</v>
      </c>
      <c r="J4" s="2824"/>
      <c r="K4" s="2824"/>
      <c r="L4" s="2824"/>
      <c r="M4" s="2824"/>
      <c r="N4" s="2824"/>
      <c r="O4" s="2824"/>
      <c r="P4" s="2824"/>
    </row>
    <row r="5" spans="1:16">
      <c r="A5" s="106" t="s">
        <v>173</v>
      </c>
      <c r="B5" s="3757" t="s">
        <v>196</v>
      </c>
      <c r="C5" s="3757"/>
      <c r="D5" s="107">
        <f>ROUND($D$3*E5/$E$3,2)</f>
        <v>0</v>
      </c>
      <c r="E5" s="108">
        <f>SUMIF('数据-基础表'!$11:$11,"住宅",'数据-基础表'!$5:$5)</f>
        <v>0</v>
      </c>
      <c r="F5" s="2824"/>
      <c r="G5" s="271" t="s">
        <v>799</v>
      </c>
      <c r="H5" s="266" t="s">
        <v>797</v>
      </c>
      <c r="I5" s="1729">
        <f>ROUND(E31/D31,2)</f>
        <v>3.27</v>
      </c>
      <c r="J5" s="2824"/>
      <c r="K5" s="2824"/>
      <c r="L5" s="2824"/>
      <c r="M5" s="2824"/>
      <c r="N5" s="2824"/>
      <c r="O5" s="2824"/>
      <c r="P5" s="2824"/>
    </row>
    <row r="6" spans="1:16" ht="15" thickBot="1">
      <c r="A6" s="109"/>
      <c r="B6" s="3757" t="s">
        <v>174</v>
      </c>
      <c r="C6" s="3757"/>
      <c r="D6" s="107">
        <f>ROUND($D$3*E6/$E$3,2)</f>
        <v>18265.05</v>
      </c>
      <c r="E6" s="108">
        <f>E3-E5</f>
        <v>59771.28</v>
      </c>
      <c r="F6" s="2824"/>
      <c r="G6" s="1098"/>
      <c r="H6" s="266" t="s">
        <v>798</v>
      </c>
      <c r="I6" s="1729">
        <f>ROUND(F31/D31,2)</f>
        <v>2.4500000000000002</v>
      </c>
      <c r="J6" s="2824"/>
      <c r="K6" s="2824"/>
      <c r="L6" s="2824"/>
      <c r="M6" s="2824"/>
      <c r="N6" s="2824"/>
      <c r="O6" s="2824"/>
      <c r="P6" s="2824"/>
    </row>
    <row r="7" spans="1:16" ht="15">
      <c r="A7" s="3749"/>
      <c r="B7" s="3750"/>
      <c r="C7" s="3751"/>
      <c r="D7" s="104" t="s">
        <v>170</v>
      </c>
      <c r="E7" s="110" t="s">
        <v>197</v>
      </c>
      <c r="F7" s="2824"/>
      <c r="G7" s="1054" t="s">
        <v>1180</v>
      </c>
      <c r="H7" s="1055"/>
      <c r="I7" s="1630">
        <v>2</v>
      </c>
      <c r="J7" s="2824"/>
      <c r="K7" s="2824"/>
      <c r="L7" s="2824"/>
      <c r="M7" s="2824"/>
      <c r="N7" s="2824"/>
      <c r="O7" s="2824"/>
      <c r="P7" s="2824"/>
    </row>
    <row r="8" spans="1:16">
      <c r="A8" s="106" t="s">
        <v>175</v>
      </c>
      <c r="B8" s="111" t="s">
        <v>176</v>
      </c>
      <c r="C8" s="107" t="s">
        <v>177</v>
      </c>
      <c r="D8" s="107">
        <f t="shared" ref="D8:D15" si="0">ROUND($D$3*E8/$E$3,2)</f>
        <v>11725.67</v>
      </c>
      <c r="E8" s="112">
        <f>SUMIF('数据-基础表'!BB10:BK10,"地上",'数据-基础表'!BB5:BK5)</f>
        <v>38371.56</v>
      </c>
      <c r="F8" s="2824"/>
      <c r="G8" s="2825"/>
      <c r="H8" s="2825"/>
      <c r="I8" s="2824"/>
      <c r="J8" s="2824"/>
      <c r="K8" s="2824"/>
      <c r="L8" s="2824"/>
      <c r="M8" s="2824"/>
      <c r="N8" s="2824"/>
      <c r="O8" s="2824"/>
      <c r="P8" s="2824"/>
    </row>
    <row r="9" spans="1:16">
      <c r="A9" s="113"/>
      <c r="B9" s="114"/>
      <c r="C9" s="107" t="s">
        <v>178</v>
      </c>
      <c r="D9" s="107">
        <f t="shared" si="0"/>
        <v>0</v>
      </c>
      <c r="E9" s="115"/>
      <c r="F9" s="2824"/>
      <c r="G9" s="2825"/>
      <c r="H9" s="2825"/>
      <c r="I9" s="2824"/>
      <c r="J9" s="2824"/>
      <c r="K9" s="2824"/>
      <c r="L9" s="2824"/>
      <c r="M9" s="2824"/>
      <c r="N9" s="2824"/>
      <c r="O9" s="2824"/>
      <c r="P9" s="2824"/>
    </row>
    <row r="10" spans="1:16">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8" t="s">
        <v>1684</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c r="A13" s="113"/>
      <c r="B13" s="114"/>
      <c r="C13" s="2048" t="s">
        <v>1691</v>
      </c>
      <c r="D13" s="107">
        <f t="shared" si="0"/>
        <v>4302.6000000000004</v>
      </c>
      <c r="E13" s="112">
        <f>SUMPRODUCT(('数据-基础表'!BB10:BK10="地下")*('数据-基础表'!BB11:BK11="车库")*('数据-基础表'!BB5:BK5))</f>
        <v>14080</v>
      </c>
      <c r="F13" s="2824"/>
      <c r="G13" s="2825"/>
      <c r="H13" s="2825"/>
      <c r="I13" s="2824"/>
      <c r="J13" s="2824"/>
      <c r="K13" s="2824"/>
      <c r="L13" s="2824"/>
      <c r="M13" s="2824"/>
      <c r="N13" s="2824"/>
      <c r="O13" s="2824"/>
      <c r="P13" s="2824"/>
    </row>
    <row r="14" spans="1:16">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181</v>
      </c>
      <c r="D16" s="111">
        <f>SUM(D8:D15)</f>
        <v>16028.27</v>
      </c>
      <c r="E16" s="116">
        <f>SUM(E8:E15)</f>
        <v>52451.56</v>
      </c>
      <c r="F16" s="2824"/>
      <c r="G16" s="2825"/>
      <c r="H16" s="929" t="s">
        <v>185</v>
      </c>
      <c r="I16" s="930"/>
      <c r="J16" s="1737"/>
      <c r="K16" s="3743" t="s">
        <v>1849</v>
      </c>
      <c r="L16" s="3744"/>
      <c r="M16" s="3744"/>
      <c r="N16" s="3744"/>
      <c r="O16" s="3744"/>
      <c r="P16" s="3745"/>
    </row>
    <row r="17" spans="1:19" ht="15">
      <c r="A17" s="117" t="s">
        <v>182</v>
      </c>
      <c r="B17" s="118" t="s">
        <v>183</v>
      </c>
      <c r="C17" s="2015" t="s">
        <v>1670</v>
      </c>
      <c r="D17" s="104" t="s">
        <v>170</v>
      </c>
      <c r="E17" s="120" t="s">
        <v>171</v>
      </c>
      <c r="F17" s="121"/>
      <c r="G17" s="1224"/>
      <c r="H17" s="931" t="s">
        <v>184</v>
      </c>
      <c r="I17" s="932" t="s">
        <v>1669</v>
      </c>
      <c r="J17" s="1737"/>
      <c r="K17" s="3746" t="s">
        <v>1850</v>
      </c>
      <c r="L17" s="3747"/>
      <c r="M17" s="3748"/>
      <c r="N17" s="3746" t="s">
        <v>1851</v>
      </c>
      <c r="O17" s="3747"/>
      <c r="P17" s="3748"/>
      <c r="R17" s="2016" t="s">
        <v>1668</v>
      </c>
      <c r="S17" s="137"/>
    </row>
    <row r="18" spans="1:19" ht="15">
      <c r="A18" s="113"/>
      <c r="B18" s="124"/>
      <c r="C18" s="125"/>
      <c r="D18" s="2246"/>
      <c r="E18" s="126" t="s">
        <v>186</v>
      </c>
      <c r="F18" s="127" t="s">
        <v>187</v>
      </c>
      <c r="G18" s="1225" t="s">
        <v>188</v>
      </c>
      <c r="H18" s="933" t="s">
        <v>189</v>
      </c>
      <c r="I18" s="934" t="s">
        <v>190</v>
      </c>
      <c r="J18" s="1737"/>
      <c r="K18" s="2211" t="s">
        <v>1852</v>
      </c>
      <c r="L18" s="2212" t="s">
        <v>1853</v>
      </c>
      <c r="M18" s="2213" t="s">
        <v>1854</v>
      </c>
      <c r="N18" s="2211" t="s">
        <v>1852</v>
      </c>
      <c r="O18" s="2212" t="s">
        <v>1853</v>
      </c>
      <c r="P18" s="2213" t="s">
        <v>1854</v>
      </c>
      <c r="R18" s="2017" t="s">
        <v>1666</v>
      </c>
      <c r="S18" s="2017" t="s">
        <v>1667</v>
      </c>
    </row>
    <row r="19" spans="1:19">
      <c r="A19" s="129"/>
      <c r="B19" s="111" t="s">
        <v>191</v>
      </c>
      <c r="C19" s="2496" t="s">
        <v>3258</v>
      </c>
      <c r="D19" s="107">
        <f t="shared" ref="D19:D26" si="1">ROUND($D$3*E19/$E$3,2)</f>
        <v>11725.67</v>
      </c>
      <c r="E19" s="130">
        <f t="shared" ref="E19:E26" si="2">SUM(F19:G19)</f>
        <v>38371.56</v>
      </c>
      <c r="F19" s="2826">
        <f>'数据-基础表'!I13</f>
        <v>38371.56</v>
      </c>
      <c r="G19" s="2827"/>
      <c r="H19" s="935">
        <f>ROUND($D$3*I19/$E$3,2)</f>
        <v>1741.26</v>
      </c>
      <c r="I19" s="112">
        <f>IF($I$17="自定义",P19,M19)</f>
        <v>5698.16</v>
      </c>
      <c r="J19" s="1737"/>
      <c r="K19" s="2214">
        <f t="shared" ref="K19:K26" si="3">ROUND(E$28*E19/E$27,2)</f>
        <v>4419.16</v>
      </c>
      <c r="L19" s="266">
        <f t="shared" ref="L19:L26" si="4">ROUND(IF(COUNTIF(C19,"*住宅*")&gt;0,E$29*E19/E$32,0),2)</f>
        <v>1279</v>
      </c>
      <c r="M19" s="2215">
        <f>K19+L19</f>
        <v>5698.16</v>
      </c>
      <c r="N19" s="2216"/>
      <c r="O19" s="2217"/>
      <c r="P19" s="2218">
        <f>N19+O19</f>
        <v>0</v>
      </c>
      <c r="R19" s="266">
        <f t="shared" ref="R19:S26" si="5">D19+H19</f>
        <v>13466.93</v>
      </c>
      <c r="S19" s="2018">
        <f t="shared" si="5"/>
        <v>44069.72</v>
      </c>
    </row>
    <row r="20" spans="1:19">
      <c r="A20" s="133"/>
      <c r="B20" s="111" t="s">
        <v>192</v>
      </c>
      <c r="C20" s="2496" t="s">
        <v>3297</v>
      </c>
      <c r="D20" s="107">
        <f t="shared" si="1"/>
        <v>4302.6000000000004</v>
      </c>
      <c r="E20" s="130">
        <f t="shared" si="2"/>
        <v>14080</v>
      </c>
      <c r="F20" s="2826"/>
      <c r="G20" s="2827">
        <f>'数据-基础表'!K14</f>
        <v>14080</v>
      </c>
      <c r="H20" s="935">
        <f t="shared" ref="H20:H26" si="6">ROUND($D$3*I20/$E$3,2)</f>
        <v>495.52</v>
      </c>
      <c r="I20" s="112">
        <f t="shared" ref="I20:I26" si="7">IF($I$17="自定义",P20,M20)</f>
        <v>1621.56</v>
      </c>
      <c r="J20" s="1737"/>
      <c r="K20" s="2214">
        <f t="shared" si="3"/>
        <v>1621.56</v>
      </c>
      <c r="L20" s="266">
        <f t="shared" si="4"/>
        <v>0</v>
      </c>
      <c r="M20" s="2215">
        <f t="shared" ref="M20:M26" si="8">K20+L20</f>
        <v>1621.56</v>
      </c>
      <c r="N20" s="2216"/>
      <c r="O20" s="2217"/>
      <c r="P20" s="2218">
        <f t="shared" ref="P20:P26" si="9">N20+O20</f>
        <v>0</v>
      </c>
      <c r="R20" s="266">
        <f t="shared" si="5"/>
        <v>4798.1200000000008</v>
      </c>
      <c r="S20" s="2018">
        <f t="shared" si="5"/>
        <v>15701.56</v>
      </c>
    </row>
    <row r="21" spans="1:19">
      <c r="A21" s="133"/>
      <c r="B21" s="111" t="s">
        <v>192</v>
      </c>
      <c r="C21" s="2496"/>
      <c r="D21" s="107">
        <f t="shared" si="1"/>
        <v>0</v>
      </c>
      <c r="E21" s="130">
        <f t="shared" si="2"/>
        <v>0</v>
      </c>
      <c r="F21" s="2826"/>
      <c r="G21" s="2827"/>
      <c r="H21" s="935">
        <f t="shared" si="6"/>
        <v>0</v>
      </c>
      <c r="I21" s="112">
        <f t="shared" si="7"/>
        <v>0</v>
      </c>
      <c r="J21" s="1737"/>
      <c r="K21" s="2214">
        <f t="shared" si="3"/>
        <v>0</v>
      </c>
      <c r="L21" s="266">
        <f t="shared" si="4"/>
        <v>0</v>
      </c>
      <c r="M21" s="2215">
        <f t="shared" si="8"/>
        <v>0</v>
      </c>
      <c r="N21" s="2216"/>
      <c r="O21" s="2217"/>
      <c r="P21" s="2218">
        <f t="shared" si="9"/>
        <v>0</v>
      </c>
      <c r="R21" s="266">
        <f t="shared" si="5"/>
        <v>0</v>
      </c>
      <c r="S21" s="2018">
        <f t="shared" si="5"/>
        <v>0</v>
      </c>
    </row>
    <row r="22" spans="1:19">
      <c r="A22" s="133"/>
      <c r="B22" s="111" t="s">
        <v>192</v>
      </c>
      <c r="C22" s="3337"/>
      <c r="D22" s="107">
        <f t="shared" si="1"/>
        <v>0</v>
      </c>
      <c r="E22" s="130">
        <f t="shared" si="2"/>
        <v>0</v>
      </c>
      <c r="F22" s="2828"/>
      <c r="G22" s="2829"/>
      <c r="H22" s="935">
        <f t="shared" si="6"/>
        <v>0</v>
      </c>
      <c r="I22" s="112">
        <f t="shared" si="7"/>
        <v>0</v>
      </c>
      <c r="J22" s="1737"/>
      <c r="K22" s="2214">
        <f t="shared" si="3"/>
        <v>0</v>
      </c>
      <c r="L22" s="266">
        <f t="shared" si="4"/>
        <v>0</v>
      </c>
      <c r="M22" s="2215">
        <f t="shared" si="8"/>
        <v>0</v>
      </c>
      <c r="N22" s="2216"/>
      <c r="O22" s="2217"/>
      <c r="P22" s="2218">
        <f t="shared" si="9"/>
        <v>0</v>
      </c>
      <c r="R22" s="266">
        <f t="shared" si="5"/>
        <v>0</v>
      </c>
      <c r="S22" s="2018">
        <f t="shared" si="5"/>
        <v>0</v>
      </c>
    </row>
    <row r="23" spans="1:19">
      <c r="A23" s="133"/>
      <c r="B23" s="111" t="s">
        <v>192</v>
      </c>
      <c r="C23" s="3337"/>
      <c r="D23" s="107">
        <f>ROUND($D$3*E23/$E$3,2)</f>
        <v>0</v>
      </c>
      <c r="E23" s="130">
        <f>SUM(F23:G23)</f>
        <v>0</v>
      </c>
      <c r="F23" s="2828"/>
      <c r="G23" s="2829"/>
      <c r="H23" s="935">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c r="A24" s="133"/>
      <c r="B24" s="111" t="s">
        <v>192</v>
      </c>
      <c r="C24" s="3337"/>
      <c r="D24" s="107">
        <f>ROUND($D$3*E24/$E$3,2)</f>
        <v>0</v>
      </c>
      <c r="E24" s="130">
        <f>SUM(F24:G24)</f>
        <v>0</v>
      </c>
      <c r="F24" s="2828"/>
      <c r="G24" s="2829"/>
      <c r="H24" s="935">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c r="A25" s="133"/>
      <c r="B25" s="111" t="s">
        <v>192</v>
      </c>
      <c r="C25" s="3337"/>
      <c r="D25" s="107">
        <f t="shared" si="1"/>
        <v>0</v>
      </c>
      <c r="E25" s="130">
        <f t="shared" si="2"/>
        <v>0</v>
      </c>
      <c r="F25" s="2828"/>
      <c r="G25" s="2829"/>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c r="A26" s="133"/>
      <c r="B26" s="111" t="s">
        <v>192</v>
      </c>
      <c r="C26" s="135"/>
      <c r="D26" s="107">
        <f t="shared" si="1"/>
        <v>0</v>
      </c>
      <c r="E26" s="130">
        <f t="shared" si="2"/>
        <v>0</v>
      </c>
      <c r="F26" s="2828"/>
      <c r="G26" s="2829"/>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15.75" thickBot="1">
      <c r="A27" s="133"/>
      <c r="B27" s="107"/>
      <c r="C27" s="123" t="s">
        <v>181</v>
      </c>
      <c r="D27" s="130">
        <f>SUM(D19:D26)</f>
        <v>16028.27</v>
      </c>
      <c r="E27" s="136">
        <f>IF(SUM(E19:E26)='数据-基础表'!BA5,SUM(E19:E26),IF(F27="地上面积有误","面积有误","地下面积有误"))</f>
        <v>52451.56</v>
      </c>
      <c r="F27" s="130">
        <f>IF(SUM(F19:F26)=E8,SUM(F19:F26),"地上面积有误")</f>
        <v>38371.56</v>
      </c>
      <c r="G27" s="108">
        <f>SUM(G19:G26)</f>
        <v>14080</v>
      </c>
      <c r="H27" s="936">
        <f>SUM(H19:H26)</f>
        <v>2236.7799999999997</v>
      </c>
      <c r="I27" s="937">
        <f>SUM(I19:I26)</f>
        <v>7319.7199999999993</v>
      </c>
      <c r="J27" s="1737"/>
      <c r="K27" s="2223">
        <f t="shared" ref="K27:P27" si="10">SUM(K19:K26)</f>
        <v>6040.7199999999993</v>
      </c>
      <c r="L27" s="2224">
        <f t="shared" si="10"/>
        <v>1279</v>
      </c>
      <c r="M27" s="2225">
        <f t="shared" si="10"/>
        <v>7319.7199999999993</v>
      </c>
      <c r="N27" s="2223">
        <f t="shared" si="10"/>
        <v>0</v>
      </c>
      <c r="O27" s="2224">
        <f t="shared" si="10"/>
        <v>0</v>
      </c>
      <c r="P27" s="2226">
        <f t="shared" si="10"/>
        <v>0</v>
      </c>
      <c r="R27" s="2022">
        <f>IF(SUM(R19:R26)=$D$3,SUM(R19:R26),SUM(R19:R26)&amp;"误差"&amp;ROUND(SUM(R19:R26)-$D$3,2))</f>
        <v>18265.050000000003</v>
      </c>
      <c r="S27" s="266">
        <f>IF(SUM(S19:S26)=$E$3,SUM(S19:S26),SUM(S19:S26)&amp;"误差"&amp;ROUND(SUM(S19:S26)-E3,2))</f>
        <v>59771.28</v>
      </c>
    </row>
    <row r="28" spans="1:19">
      <c r="A28" s="133"/>
      <c r="B28" s="111" t="s">
        <v>193</v>
      </c>
      <c r="C28" s="131" t="s">
        <v>194</v>
      </c>
      <c r="D28" s="107">
        <f>ROUND($D$3*E28/$E$3,2)</f>
        <v>1845.94</v>
      </c>
      <c r="E28" s="130">
        <f>SUM(F28:G28)</f>
        <v>6040.7199999999993</v>
      </c>
      <c r="F28" s="137">
        <f>'数据-基础表'!BQ5+'数据-基础表'!BS5</f>
        <v>6040.7199999999993</v>
      </c>
      <c r="G28" s="138">
        <f>'数据-基础表'!BR5+'数据-基础表'!BT5</f>
        <v>0</v>
      </c>
      <c r="H28" s="2824"/>
      <c r="I28" s="2824"/>
      <c r="J28" s="2824"/>
      <c r="K28" s="2824"/>
      <c r="L28" s="2824"/>
      <c r="M28" s="2824"/>
      <c r="N28" s="2824"/>
      <c r="O28" s="2824"/>
      <c r="P28" s="2824"/>
    </row>
    <row r="29" spans="1:19">
      <c r="A29" s="133"/>
      <c r="B29" s="111" t="s">
        <v>193</v>
      </c>
      <c r="C29" s="2030" t="s">
        <v>1677</v>
      </c>
      <c r="D29" s="107">
        <f>ROUND($D$3*E29/$E$3,2)</f>
        <v>390.84</v>
      </c>
      <c r="E29" s="130">
        <f>SUM(F29:G29)</f>
        <v>1279</v>
      </c>
      <c r="F29" s="137">
        <f>'数据-基础表'!BM5+'数据-基础表'!BO5</f>
        <v>276</v>
      </c>
      <c r="G29" s="139">
        <f>'数据-基础表'!BN5+'数据-基础表'!BP5</f>
        <v>1003</v>
      </c>
      <c r="H29" s="2824"/>
      <c r="I29" s="2824"/>
      <c r="J29" s="2824"/>
      <c r="K29" s="2824"/>
      <c r="L29" s="2824"/>
      <c r="M29" s="2824"/>
      <c r="N29" s="2824"/>
      <c r="O29" s="2824"/>
      <c r="P29" s="2824"/>
    </row>
    <row r="30" spans="1:19">
      <c r="A30" s="133"/>
      <c r="B30" s="107"/>
      <c r="C30" s="140" t="s">
        <v>181</v>
      </c>
      <c r="D30" s="130">
        <f>SUM(D28:D29)</f>
        <v>2236.7800000000002</v>
      </c>
      <c r="E30" s="130">
        <f>SUM(E28:E29)</f>
        <v>7319.7199999999993</v>
      </c>
      <c r="F30" s="130">
        <f>SUM(F28:F29)</f>
        <v>6316.7199999999993</v>
      </c>
      <c r="G30" s="108">
        <f>SUM(G28:G29)</f>
        <v>1003</v>
      </c>
      <c r="H30" s="2824"/>
      <c r="I30" s="2824"/>
      <c r="J30" s="2824"/>
      <c r="K30" s="2824"/>
      <c r="L30" s="2824"/>
      <c r="M30" s="2824"/>
      <c r="N30" s="2824"/>
      <c r="O30" s="2824"/>
      <c r="P30" s="2824"/>
    </row>
    <row r="31" spans="1:19" ht="32.25" customHeight="1" thickBot="1">
      <c r="A31" s="1226"/>
      <c r="B31" s="1227" t="s">
        <v>195</v>
      </c>
      <c r="C31" s="2047" t="s">
        <v>1679</v>
      </c>
      <c r="D31" s="1228">
        <f>D27+D30</f>
        <v>18265.05</v>
      </c>
      <c r="E31" s="1228">
        <f>E27+E30</f>
        <v>59771.28</v>
      </c>
      <c r="F31" s="1229">
        <f>F27+F30</f>
        <v>44688.28</v>
      </c>
      <c r="G31" s="1230">
        <f>G27+G30</f>
        <v>15083</v>
      </c>
      <c r="H31" s="2824"/>
      <c r="I31" s="2824"/>
      <c r="J31" s="2824"/>
      <c r="K31" s="2824"/>
      <c r="L31" s="2824"/>
      <c r="M31" s="2824"/>
      <c r="N31" s="2824"/>
      <c r="O31" s="2824"/>
      <c r="P31" s="2824"/>
    </row>
    <row r="32" spans="1:19">
      <c r="A32" s="1737"/>
      <c r="B32" s="2059" t="s">
        <v>1678</v>
      </c>
      <c r="C32" s="2250"/>
      <c r="D32" s="1098"/>
      <c r="E32" s="1098">
        <f>SUMIF(C19:C26,"*住宅*",E19:E26)</f>
        <v>38371.56</v>
      </c>
      <c r="F32" s="1098"/>
      <c r="G32" s="1098"/>
      <c r="H32" s="2824"/>
      <c r="I32" s="2824"/>
      <c r="J32" s="2824"/>
      <c r="K32" s="2824"/>
      <c r="L32" s="2824"/>
      <c r="M32" s="2824"/>
      <c r="N32" s="2824"/>
      <c r="O32" s="2824"/>
      <c r="P32" s="2824"/>
    </row>
    <row r="33" spans="4:7">
      <c r="D33" s="1739"/>
    </row>
    <row r="36" spans="4:7">
      <c r="F36" s="1738">
        <f>F19/E31</f>
        <v>0.64197320184543472</v>
      </c>
      <c r="G36" s="1738">
        <f>G20/E31</f>
        <v>0.23556463907080458</v>
      </c>
    </row>
    <row r="40" spans="4:7">
      <c r="G40" s="1739">
        <f>G27+'[3]数据-汇总表'!$G$27+'[4]数据-汇总表'!$G$27</f>
        <v>41130</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B33" sqref="B33:B38"/>
    </sheetView>
  </sheetViews>
  <sheetFormatPr defaultColWidth="13.75" defaultRowHeight="12.75"/>
  <cols>
    <col min="1" max="1" width="20.875" style="1113" customWidth="1"/>
    <col min="2" max="3" width="12" style="1100" customWidth="1"/>
    <col min="4" max="4" width="9.125" style="1114" customWidth="1"/>
    <col min="5" max="5" width="15" style="1100" bestFit="1" customWidth="1"/>
    <col min="6" max="10" width="8.875" style="1100" customWidth="1"/>
    <col min="11" max="12" width="12.375" style="1115" customWidth="1"/>
    <col min="13" max="13" width="8.625" style="1100" customWidth="1"/>
    <col min="14" max="14" width="9.75" style="1100" customWidth="1"/>
    <col min="15" max="16" width="9.625" style="1100" customWidth="1"/>
    <col min="17" max="17" width="10.875" style="1100" customWidth="1"/>
    <col min="18" max="19" width="12.5" style="1100" customWidth="1"/>
    <col min="20" max="20" width="12.125" style="1100" customWidth="1"/>
    <col min="21" max="21" width="7.5" style="1100" customWidth="1"/>
    <col min="22" max="22" width="6.375" style="1100" customWidth="1"/>
    <col min="23" max="24" width="6.75" style="1100" customWidth="1"/>
    <col min="25" max="25" width="8.125" style="1100" customWidth="1"/>
    <col min="26" max="30" width="6.75" style="1100" customWidth="1"/>
    <col min="31" max="31" width="6.5" style="1100" customWidth="1"/>
    <col min="32" max="34" width="7.25" style="1100" customWidth="1"/>
    <col min="35" max="39" width="8" style="1100" customWidth="1"/>
    <col min="40" max="41" width="13.75" style="1747"/>
    <col min="42" max="42" width="13.75" style="1747" customWidth="1"/>
    <col min="43" max="83" width="13.75" style="1747"/>
    <col min="84" max="16384" width="13.75" style="1100"/>
  </cols>
  <sheetData>
    <row r="1" spans="1:83" ht="19.5" thickBot="1">
      <c r="A1" s="141" t="s">
        <v>200</v>
      </c>
      <c r="B1" s="1099"/>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3" customFormat="1" ht="15.75" thickBot="1">
      <c r="A2" s="142" t="s">
        <v>201</v>
      </c>
      <c r="B2" s="2055">
        <f>项目基本情况!D3</f>
        <v>45175</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3" customFormat="1" ht="15" thickBot="1">
      <c r="A3" s="1104"/>
      <c r="B3" s="1101"/>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3" customFormat="1" ht="15" thickBot="1">
      <c r="A4" s="143" t="s">
        <v>802</v>
      </c>
      <c r="B4" s="145"/>
      <c r="C4" s="146"/>
      <c r="D4" s="1105"/>
      <c r="E4" s="1106" t="s">
        <v>803</v>
      </c>
      <c r="F4" s="146"/>
      <c r="G4" s="146"/>
      <c r="H4" s="146"/>
      <c r="I4" s="146"/>
      <c r="J4" s="147"/>
      <c r="K4" s="1107"/>
      <c r="L4" s="1108"/>
      <c r="M4" s="146"/>
      <c r="N4" s="1106" t="s">
        <v>804</v>
      </c>
      <c r="O4" s="146"/>
      <c r="P4" s="146"/>
      <c r="Q4" s="146"/>
      <c r="R4" s="146"/>
      <c r="S4" s="147"/>
      <c r="T4" s="938"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09" customFormat="1" ht="54">
      <c r="A5" s="2021"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6" t="s">
        <v>3240</v>
      </c>
      <c r="O5" s="156" t="s">
        <v>212</v>
      </c>
      <c r="P5" s="158" t="s">
        <v>213</v>
      </c>
      <c r="Q5" s="159" t="s">
        <v>214</v>
      </c>
      <c r="R5" s="160" t="s">
        <v>215</v>
      </c>
      <c r="S5" s="2227" t="s">
        <v>1855</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1680</v>
      </c>
      <c r="AI5" s="164" t="s">
        <v>1649</v>
      </c>
      <c r="AJ5" s="164" t="s">
        <v>224</v>
      </c>
      <c r="AK5" s="152" t="s">
        <v>225</v>
      </c>
      <c r="AL5" s="152" t="s">
        <v>226</v>
      </c>
      <c r="AM5" s="165" t="s">
        <v>227</v>
      </c>
      <c r="AN5" s="2081" t="s">
        <v>1727</v>
      </c>
      <c r="AO5" s="2845"/>
      <c r="AP5" s="2830" t="s">
        <v>2255</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3" customFormat="1" ht="14.25">
      <c r="A6" s="2019" t="str">
        <f>'数据-汇总表'!C19</f>
        <v>住宅</v>
      </c>
      <c r="B6" s="2054" t="str">
        <f>IF(A6=0,"","经营性")</f>
        <v>经营性</v>
      </c>
      <c r="C6" s="166" t="s">
        <v>851</v>
      </c>
      <c r="D6" s="2025">
        <f>SUMIF(项目基本情况!C$15:I$15,C6,项目基本情况!C$18:I$18)</f>
        <v>70</v>
      </c>
      <c r="E6" s="2026">
        <f>IF(B6="","",SUMIF(项目基本情况!C$15:I$15,C6,项目基本情况!C$17:I$17))</f>
        <v>70708</v>
      </c>
      <c r="F6" s="167">
        <f>SUMIF(项目基本情况!C$15:I$15,C6,项目基本情况!C$19:I$19)</f>
        <v>69.95</v>
      </c>
      <c r="G6" s="168">
        <f t="shared" ref="G6:G13" si="0">IF(ISERROR(ROUND(POWER(1+H6,D6-F6)*(POWER(1+H6,F6)-1)/(POWER(1+H6,D6)-1),3)),0,ROUND(POWER(1+H6,D6-F6)*(POWER(1+H6,F6)-1)/(POWER(1+H6,D6)-1),3))</f>
        <v>1</v>
      </c>
      <c r="H6" s="2497">
        <v>0.05</v>
      </c>
      <c r="I6" s="2497">
        <v>5.5E-2</v>
      </c>
      <c r="J6" s="169">
        <v>7.4999999999999997E-2</v>
      </c>
      <c r="K6" s="172">
        <f>SUMIF('数据-汇总表'!C$19:C$33,'数据-取费表'!A6,'数据-汇总表'!E$19:E$33)</f>
        <v>38371.56</v>
      </c>
      <c r="L6" s="2498">
        <v>4000</v>
      </c>
      <c r="M6" s="170">
        <f t="shared" ref="M6:M14" si="1">ROUND(K6*L6/10000,0)</f>
        <v>15349</v>
      </c>
      <c r="N6" s="2499">
        <v>0</v>
      </c>
      <c r="O6" s="170">
        <f>IF($N$5="成新度","——",ROUND(M6*N6,0))</f>
        <v>0</v>
      </c>
      <c r="P6" s="171">
        <f>IF($N$5="成新度","——",M6-O6)</f>
        <v>15349</v>
      </c>
      <c r="Q6" s="2500">
        <v>0.15</v>
      </c>
      <c r="R6" s="172">
        <f>SUMIF('数据-汇总表'!C$19:C$33,A6,'数据-汇总表'!R$19:R$33)</f>
        <v>13466.93</v>
      </c>
      <c r="S6" s="128">
        <f>IF('数据-汇总表'!$I$17="按面积比例",SUMIF('数据-汇总表'!C$19:C$33,A6,'数据-汇总表'!K$19:K$33),SUMIF('数据-汇总表'!C$19:C$33,A6,'数据-汇总表'!N$19:N$33))</f>
        <v>4419.16</v>
      </c>
      <c r="T6" s="1951">
        <f>IF($T$4="按面积比例",IF(ISERROR(ROUND($M$14*S6/S$16,0)),"0",ROUND($M$14*S6/S$16,0)),"需自行计算录入")</f>
        <v>0</v>
      </c>
      <c r="U6" s="173"/>
      <c r="V6" s="174"/>
      <c r="W6" s="174"/>
      <c r="X6" s="2038"/>
      <c r="Y6" s="175"/>
      <c r="Z6" s="176"/>
      <c r="AA6" s="169"/>
      <c r="AB6" s="169"/>
      <c r="AC6" s="2041"/>
      <c r="AD6" s="177"/>
      <c r="AE6" s="933">
        <f ca="1">IF(AN6="",0,SUMIF(INDIRECT("'"&amp;AN6&amp;"'"&amp;"!E:E"),$AE$5,INDIRECT("'"&amp;AN6&amp;"'"&amp;"!F:F")))</f>
        <v>0</v>
      </c>
      <c r="AF6" s="134"/>
      <c r="AG6" s="1110">
        <f>IF(AF6="",0,AE6-AF6)</f>
        <v>0</v>
      </c>
      <c r="AH6" s="134"/>
      <c r="AI6" s="180"/>
      <c r="AJ6" s="181"/>
      <c r="AK6" s="182"/>
      <c r="AL6" s="183"/>
      <c r="AM6" s="2509"/>
      <c r="AN6" s="2082"/>
      <c r="AO6" s="2834"/>
      <c r="AP6" s="1101">
        <f>ROUND(1-1/(1+H6)^F6,3)</f>
        <v>0.96699999999999997</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3" customFormat="1" ht="14.25">
      <c r="A7" s="2019" t="str">
        <f>'数据-汇总表'!C20</f>
        <v>地下车库</v>
      </c>
      <c r="B7" s="2054" t="str">
        <f t="shared" ref="B7:B13" si="2">IF(A7=0,"","经营性")</f>
        <v>经营性</v>
      </c>
      <c r="C7" s="166" t="s">
        <v>2734</v>
      </c>
      <c r="D7" s="2025">
        <f>SUMIF(项目基本情况!C$15:I$15,C7,项目基本情况!C$18:I$18)</f>
        <v>50</v>
      </c>
      <c r="E7" s="2026">
        <f>IF(B7="","",SUMIF(项目基本情况!C$15:I$15,C7,项目基本情况!C$17:I$17))</f>
        <v>63403</v>
      </c>
      <c r="F7" s="167">
        <f>SUMIF(项目基本情况!C$15:I$15,C7,项目基本情况!C$19:I$19)</f>
        <v>49.93</v>
      </c>
      <c r="G7" s="168">
        <f t="shared" si="0"/>
        <v>1</v>
      </c>
      <c r="H7" s="2497">
        <v>0.05</v>
      </c>
      <c r="I7" s="2497">
        <v>5.5E-2</v>
      </c>
      <c r="J7" s="169">
        <v>7.4999999999999997E-2</v>
      </c>
      <c r="K7" s="172">
        <f>SUMIF('数据-汇总表'!C$19:C$33,'数据-取费表'!A7,'数据-汇总表'!E$19:E$33)</f>
        <v>14080</v>
      </c>
      <c r="L7" s="2498">
        <v>4000</v>
      </c>
      <c r="M7" s="170">
        <f t="shared" si="1"/>
        <v>5632</v>
      </c>
      <c r="N7" s="2499">
        <v>0</v>
      </c>
      <c r="O7" s="170">
        <f t="shared" ref="O7:O14" si="3">IF($N$5="成新度","——",ROUND(M7*N7,0))</f>
        <v>0</v>
      </c>
      <c r="P7" s="171">
        <f t="shared" ref="P7:P14" si="4">IF($N$5="成新度","——",M7-O7)</f>
        <v>5632</v>
      </c>
      <c r="Q7" s="2500">
        <v>0.05</v>
      </c>
      <c r="R7" s="172">
        <f>SUMIF('数据-汇总表'!C$19:C$33,A7,'数据-汇总表'!R$19:R$33)</f>
        <v>4798.1200000000008</v>
      </c>
      <c r="S7" s="128">
        <f>IF('数据-汇总表'!$I$17="按面积比例",SUMIF('数据-汇总表'!C$19:C$33,A7,'数据-汇总表'!K$19:K$33),SUMIF('数据-汇总表'!C$19:C$33,A7,'数据-汇总表'!N$19:N$33))</f>
        <v>1621.56</v>
      </c>
      <c r="T7" s="1951">
        <f t="shared" ref="T7:T13" si="5">IF($T$4="按面积比例",IF(ISERROR(ROUND($M$14*S7/S$16,0)),"0",ROUND($M$14*S7/S$16,0)),"需自行计算录入")</f>
        <v>0</v>
      </c>
      <c r="U7" s="173"/>
      <c r="V7" s="174"/>
      <c r="W7" s="174"/>
      <c r="X7" s="2038"/>
      <c r="Y7" s="175"/>
      <c r="Z7" s="176"/>
      <c r="AA7" s="169"/>
      <c r="AB7" s="169"/>
      <c r="AC7" s="2041"/>
      <c r="AD7" s="177"/>
      <c r="AE7" s="933">
        <f t="shared" ref="AE7:AE13" ca="1" si="6">IF(AN7="",0,SUMIF(INDIRECT("'"&amp;AN7&amp;"'"&amp;"!E:E"),$AE$5,INDIRECT("'"&amp;AN7&amp;"'"&amp;"!F:F")))</f>
        <v>0</v>
      </c>
      <c r="AF7" s="134"/>
      <c r="AG7" s="1110">
        <f t="shared" ref="AG7:AG13" si="7">IF(AF7="",0,AE7-AF7)</f>
        <v>0</v>
      </c>
      <c r="AH7" s="134">
        <v>412</v>
      </c>
      <c r="AI7" s="180">
        <v>12</v>
      </c>
      <c r="AJ7" s="181"/>
      <c r="AK7" s="182"/>
      <c r="AL7" s="183"/>
      <c r="AM7" s="2509"/>
      <c r="AN7" s="2082"/>
      <c r="AO7" s="2834"/>
      <c r="AP7" s="1101">
        <f t="shared" ref="AP7:AP13" si="8">ROUND(1-1/(1+H7)^F7,3)</f>
        <v>0.91200000000000003</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3" customFormat="1" ht="14.25">
      <c r="A8" s="2019">
        <f>'数据-汇总表'!C21</f>
        <v>0</v>
      </c>
      <c r="B8" s="2054" t="str">
        <f t="shared" si="2"/>
        <v/>
      </c>
      <c r="C8" s="166"/>
      <c r="D8" s="2025">
        <f>SUMIF(项目基本情况!C$15:I$15,C8,项目基本情况!C$18:I$18)</f>
        <v>0</v>
      </c>
      <c r="E8" s="2026" t="str">
        <f>IF(B8="","",SUMIF(项目基本情况!C$15:I$15,C8,项目基本情况!C$17:I$17))</f>
        <v/>
      </c>
      <c r="F8" s="167">
        <f>SUMIF(项目基本情况!C$15:I$15,C8,项目基本情况!C$19:I$19)</f>
        <v>0</v>
      </c>
      <c r="G8" s="168">
        <f t="shared" si="0"/>
        <v>0</v>
      </c>
      <c r="H8" s="2497"/>
      <c r="I8" s="2497"/>
      <c r="J8" s="169"/>
      <c r="K8" s="172">
        <f>SUMIF('数据-汇总表'!C$19:C$33,'数据-取费表'!A8,'数据-汇总表'!E$19:E$33)</f>
        <v>0</v>
      </c>
      <c r="L8" s="2498"/>
      <c r="M8" s="170">
        <f>ROUND(K8*L8/10000,0)</f>
        <v>0</v>
      </c>
      <c r="N8" s="2499"/>
      <c r="O8" s="170">
        <f t="shared" si="3"/>
        <v>0</v>
      </c>
      <c r="P8" s="171">
        <f t="shared" si="4"/>
        <v>0</v>
      </c>
      <c r="Q8" s="2500"/>
      <c r="R8" s="172">
        <f>SUMIF('数据-汇总表'!C$19:C$33,A8,'数据-汇总表'!R$19:R$33)</f>
        <v>0</v>
      </c>
      <c r="S8" s="128">
        <f>IF('数据-汇总表'!$I$17="按面积比例",SUMIF('数据-汇总表'!C$19:C$33,A8,'数据-汇总表'!K$19:K$33),SUMIF('数据-汇总表'!C$19:C$33,A8,'数据-汇总表'!N$19:N$33))</f>
        <v>0</v>
      </c>
      <c r="T8" s="1951">
        <f t="shared" si="5"/>
        <v>0</v>
      </c>
      <c r="U8" s="173"/>
      <c r="V8" s="174"/>
      <c r="W8" s="174"/>
      <c r="X8" s="2038"/>
      <c r="Y8" s="175"/>
      <c r="Z8" s="176"/>
      <c r="AA8" s="169"/>
      <c r="AB8" s="169"/>
      <c r="AC8" s="2041"/>
      <c r="AD8" s="177"/>
      <c r="AE8" s="933">
        <f t="shared" ca="1" si="6"/>
        <v>0</v>
      </c>
      <c r="AF8" s="134"/>
      <c r="AG8" s="1110">
        <f t="shared" si="7"/>
        <v>0</v>
      </c>
      <c r="AH8" s="134"/>
      <c r="AI8" s="180"/>
      <c r="AJ8" s="181"/>
      <c r="AK8" s="182"/>
      <c r="AL8" s="183"/>
      <c r="AM8" s="2509"/>
      <c r="AN8" s="2082"/>
      <c r="AO8" s="2834"/>
      <c r="AP8" s="1101">
        <f t="shared" si="8"/>
        <v>0</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3" customFormat="1" ht="14.25">
      <c r="A9" s="2019">
        <f>'数据-汇总表'!C22</f>
        <v>0</v>
      </c>
      <c r="B9" s="2054" t="str">
        <f t="shared" si="2"/>
        <v/>
      </c>
      <c r="C9" s="166"/>
      <c r="D9" s="2025">
        <f>SUMIF(项目基本情况!C$15:I$15,C9,项目基本情况!C$18:I$18)</f>
        <v>0</v>
      </c>
      <c r="E9" s="2026"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1">
        <f t="shared" si="5"/>
        <v>0</v>
      </c>
      <c r="U9" s="173"/>
      <c r="V9" s="174"/>
      <c r="W9" s="174"/>
      <c r="X9" s="2038"/>
      <c r="Y9" s="175"/>
      <c r="Z9" s="176"/>
      <c r="AA9" s="169"/>
      <c r="AB9" s="169"/>
      <c r="AC9" s="2041"/>
      <c r="AD9" s="177"/>
      <c r="AE9" s="933">
        <f t="shared" ca="1" si="6"/>
        <v>0</v>
      </c>
      <c r="AF9" s="134"/>
      <c r="AG9" s="1110">
        <f t="shared" si="7"/>
        <v>0</v>
      </c>
      <c r="AH9" s="134"/>
      <c r="AI9" s="180"/>
      <c r="AJ9" s="181"/>
      <c r="AK9" s="182"/>
      <c r="AL9" s="183"/>
      <c r="AM9" s="2509"/>
      <c r="AN9" s="2082"/>
      <c r="AO9" s="2834"/>
      <c r="AP9" s="1101">
        <f t="shared" si="8"/>
        <v>0</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3"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f t="shared" si="5"/>
        <v>0</v>
      </c>
      <c r="U10" s="173"/>
      <c r="V10" s="174"/>
      <c r="W10" s="174"/>
      <c r="X10" s="2038"/>
      <c r="Y10" s="175"/>
      <c r="Z10" s="176"/>
      <c r="AA10" s="169"/>
      <c r="AB10" s="169"/>
      <c r="AC10" s="2041"/>
      <c r="AD10" s="177"/>
      <c r="AE10" s="933">
        <f t="shared" ca="1" si="6"/>
        <v>0</v>
      </c>
      <c r="AF10" s="134"/>
      <c r="AG10" s="1110">
        <f t="shared" si="7"/>
        <v>0</v>
      </c>
      <c r="AH10" s="134"/>
      <c r="AI10" s="180"/>
      <c r="AJ10" s="181"/>
      <c r="AK10" s="182"/>
      <c r="AL10" s="183"/>
      <c r="AM10" s="2509"/>
      <c r="AN10" s="2082"/>
      <c r="AO10" s="2834"/>
      <c r="AP10" s="1101">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3"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f t="shared" si="5"/>
        <v>0</v>
      </c>
      <c r="U11" s="178"/>
      <c r="V11" s="174"/>
      <c r="W11" s="169"/>
      <c r="X11" s="2041"/>
      <c r="Y11" s="175"/>
      <c r="Z11" s="188"/>
      <c r="AA11" s="169"/>
      <c r="AB11" s="169"/>
      <c r="AC11" s="2041"/>
      <c r="AD11" s="177"/>
      <c r="AE11" s="933">
        <f t="shared" ca="1" si="6"/>
        <v>0</v>
      </c>
      <c r="AF11" s="134"/>
      <c r="AG11" s="1110">
        <f t="shared" si="7"/>
        <v>0</v>
      </c>
      <c r="AH11" s="134"/>
      <c r="AI11" s="180"/>
      <c r="AJ11" s="181"/>
      <c r="AK11" s="182"/>
      <c r="AL11" s="183"/>
      <c r="AM11" s="2509"/>
      <c r="AN11" s="2082"/>
      <c r="AO11" s="2834"/>
      <c r="AP11" s="1101">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3"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f t="shared" si="5"/>
        <v>0</v>
      </c>
      <c r="U12" s="178"/>
      <c r="V12" s="174"/>
      <c r="W12" s="169"/>
      <c r="X12" s="2041"/>
      <c r="Y12" s="175"/>
      <c r="Z12" s="188"/>
      <c r="AA12" s="169"/>
      <c r="AB12" s="169"/>
      <c r="AC12" s="2041"/>
      <c r="AD12" s="177"/>
      <c r="AE12" s="933">
        <f t="shared" ca="1" si="6"/>
        <v>0</v>
      </c>
      <c r="AF12" s="134"/>
      <c r="AG12" s="1110">
        <f t="shared" si="7"/>
        <v>0</v>
      </c>
      <c r="AH12" s="134"/>
      <c r="AI12" s="180"/>
      <c r="AJ12" s="181"/>
      <c r="AK12" s="182"/>
      <c r="AL12" s="183"/>
      <c r="AM12" s="2509"/>
      <c r="AN12" s="2082"/>
      <c r="AO12" s="2834"/>
      <c r="AP12" s="1101">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3"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f t="shared" si="5"/>
        <v>0</v>
      </c>
      <c r="U13" s="173"/>
      <c r="V13" s="174"/>
      <c r="W13" s="174"/>
      <c r="X13" s="2038"/>
      <c r="Y13" s="175"/>
      <c r="Z13" s="176"/>
      <c r="AA13" s="169"/>
      <c r="AB13" s="169"/>
      <c r="AC13" s="2041"/>
      <c r="AD13" s="177"/>
      <c r="AE13" s="933">
        <f t="shared" ca="1" si="6"/>
        <v>0</v>
      </c>
      <c r="AF13" s="134"/>
      <c r="AG13" s="1110">
        <f t="shared" si="7"/>
        <v>0</v>
      </c>
      <c r="AH13" s="134"/>
      <c r="AI13" s="180"/>
      <c r="AJ13" s="181"/>
      <c r="AK13" s="182"/>
      <c r="AL13" s="183"/>
      <c r="AM13" s="2080"/>
      <c r="AN13" s="2082"/>
      <c r="AO13" s="2834"/>
      <c r="AP13" s="1101">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3" customFormat="1" ht="14.25">
      <c r="A14" s="2020" t="s">
        <v>1671</v>
      </c>
      <c r="B14" s="2023" t="s">
        <v>1213</v>
      </c>
      <c r="C14" s="2024" t="s">
        <v>1671</v>
      </c>
      <c r="D14" s="2025"/>
      <c r="E14" s="2026"/>
      <c r="F14" s="167"/>
      <c r="G14" s="168"/>
      <c r="H14" s="2027"/>
      <c r="I14" s="2027"/>
      <c r="J14" s="2027"/>
      <c r="K14" s="172">
        <f>SUMIF('数据-汇总表'!C$19:C$33,'数据-取费表'!A14,'数据-汇总表'!E$19:E$33)</f>
        <v>6040.7199999999993</v>
      </c>
      <c r="L14" s="186"/>
      <c r="M14" s="170">
        <f t="shared" si="1"/>
        <v>0</v>
      </c>
      <c r="N14" s="187"/>
      <c r="O14" s="170">
        <f t="shared" si="3"/>
        <v>0</v>
      </c>
      <c r="P14" s="171">
        <f t="shared" si="4"/>
        <v>0</v>
      </c>
      <c r="Q14" s="2035"/>
      <c r="R14" s="172"/>
      <c r="S14" s="128"/>
      <c r="T14" s="2034"/>
      <c r="U14" s="935"/>
      <c r="V14" s="2037"/>
      <c r="W14" s="2037"/>
      <c r="X14" s="2038"/>
      <c r="Y14" s="2039"/>
      <c r="Z14" s="131"/>
      <c r="AA14" s="2040"/>
      <c r="AB14" s="2040"/>
      <c r="AC14" s="2041"/>
      <c r="AD14" s="2038"/>
      <c r="AE14" s="933"/>
      <c r="AF14" s="2013"/>
      <c r="AG14" s="1110"/>
      <c r="AH14" s="2013"/>
      <c r="AI14" s="1383"/>
      <c r="AJ14" s="1383"/>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3" customFormat="1" ht="27">
      <c r="A15" s="2029" t="s">
        <v>1673</v>
      </c>
      <c r="B15" s="2023" t="s">
        <v>1213</v>
      </c>
      <c r="C15" s="2024" t="s">
        <v>1672</v>
      </c>
      <c r="D15" s="2025"/>
      <c r="E15" s="2026"/>
      <c r="F15" s="167"/>
      <c r="G15" s="168"/>
      <c r="H15" s="2027"/>
      <c r="I15" s="2027"/>
      <c r="J15" s="2027"/>
      <c r="K15" s="172">
        <f>SUMIF('数据-汇总表'!C$19:C$33,'数据-取费表'!A15,'数据-汇总表'!E$19:E$33)</f>
        <v>1279</v>
      </c>
      <c r="L15" s="2033"/>
      <c r="M15" s="170"/>
      <c r="N15" s="2036"/>
      <c r="O15" s="170"/>
      <c r="P15" s="171"/>
      <c r="Q15" s="2035"/>
      <c r="R15" s="172"/>
      <c r="S15" s="128"/>
      <c r="T15" s="2034"/>
      <c r="U15" s="935"/>
      <c r="V15" s="2037"/>
      <c r="W15" s="2037"/>
      <c r="X15" s="2038"/>
      <c r="Y15" s="2039"/>
      <c r="Z15" s="131"/>
      <c r="AA15" s="2040"/>
      <c r="AB15" s="2040"/>
      <c r="AC15" s="2041"/>
      <c r="AD15" s="2038"/>
      <c r="AE15" s="933"/>
      <c r="AF15" s="2013"/>
      <c r="AG15" s="1110"/>
      <c r="AH15" s="2013"/>
      <c r="AI15" s="1383"/>
      <c r="AJ15" s="1383"/>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3" customFormat="1" ht="15.75" thickBot="1">
      <c r="A16" s="189" t="s">
        <v>228</v>
      </c>
      <c r="B16" s="190"/>
      <c r="C16" s="191"/>
      <c r="D16" s="192"/>
      <c r="E16" s="190"/>
      <c r="F16" s="190"/>
      <c r="G16" s="193">
        <f>ROUND(SUMPRODUCT(G6:G13,K6:K13)/SUMPRODUCT((G6:G13&gt;0)*(K6:K13)),3)</f>
        <v>1</v>
      </c>
      <c r="H16" s="194">
        <f>ROUND(SUMPRODUCT(H6:H13,K6:K13)/SUMPRODUCT((H6:H13&gt;0)*(K6:K13)),3)</f>
        <v>0.05</v>
      </c>
      <c r="I16" s="195"/>
      <c r="J16" s="195"/>
      <c r="K16" s="196">
        <f>SUM(K6:K15)</f>
        <v>59771.28</v>
      </c>
      <c r="L16" s="197">
        <f>ROUND(M16*10000/SUM(K6:K14),0)</f>
        <v>3587</v>
      </c>
      <c r="M16" s="197">
        <f>SUM(M6:M14)</f>
        <v>20981</v>
      </c>
      <c r="N16" s="198">
        <f>ROUND(SUMPRODUCT(M6:M14,N6:N14)/M16,3)</f>
        <v>0</v>
      </c>
      <c r="O16" s="197">
        <f>SUM(O6:O14)</f>
        <v>0</v>
      </c>
      <c r="P16" s="197">
        <f>SUM(P6:P14)</f>
        <v>20981</v>
      </c>
      <c r="Q16" s="199">
        <f>ROUND(SUMPRODUCT(Q6:Q13,K6:K13)/SUMPRODUCT((Q6:Q13&gt;0)*(K6:K13)),2)</f>
        <v>0.12</v>
      </c>
      <c r="R16" s="2028">
        <f>SUM(R6:R13)</f>
        <v>18265.050000000003</v>
      </c>
      <c r="S16" s="200">
        <f>SUM(S6:S13)</f>
        <v>6040.7199999999993</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1">
        <f>ROUND(SUMPRODUCT(AP6:AP13,K6:K13)/SUMPRODUCT((AP6:AP13&gt;0)*(K6:K13)),3)</f>
        <v>0.95199999999999996</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1"/>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230</v>
      </c>
      <c r="B19" s="209">
        <v>0</v>
      </c>
      <c r="C19" s="2846" t="s">
        <v>2267</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231</v>
      </c>
      <c r="B20" s="211">
        <v>2</v>
      </c>
      <c r="C20" s="2846" t="s">
        <v>1692</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f>'数据-汇总表'!G20/'数据-取费表'!AH7</f>
        <v>34.174757281553397</v>
      </c>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232</v>
      </c>
      <c r="B21" s="211">
        <v>0</v>
      </c>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233</v>
      </c>
      <c r="B22" s="213">
        <f>B19+B20</f>
        <v>2</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234</v>
      </c>
      <c r="B23" s="213">
        <f>B19+B21</f>
        <v>0</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2</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4"/>
      <c r="B25" s="1101"/>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2" customFormat="1" ht="27.75">
      <c r="A27" s="217" t="s">
        <v>1694</v>
      </c>
      <c r="B27" s="218">
        <v>160</v>
      </c>
      <c r="C27" s="2847" t="s">
        <v>2268</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2" customFormat="1" ht="27.75">
      <c r="A28" s="219" t="s">
        <v>1695</v>
      </c>
      <c r="B28" s="220">
        <v>200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2" customFormat="1" ht="28.5" thickBot="1">
      <c r="A29" s="222" t="s">
        <v>1693</v>
      </c>
      <c r="B29" s="223"/>
      <c r="C29" s="2848" t="s">
        <v>1696</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2" customFormat="1" ht="27">
      <c r="A30" s="226" t="s">
        <v>239</v>
      </c>
      <c r="B30" s="939">
        <v>200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2" customFormat="1" ht="27">
      <c r="A31" s="219" t="s">
        <v>240</v>
      </c>
      <c r="B31" s="221">
        <f>B30-B32</f>
        <v>200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2" customFormat="1" ht="27.75" thickBot="1">
      <c r="A32" s="228" t="s">
        <v>241</v>
      </c>
      <c r="B32" s="1234">
        <v>0</v>
      </c>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2" customFormat="1" ht="14.25">
      <c r="A33" s="217" t="s">
        <v>244</v>
      </c>
      <c r="B33" s="1235">
        <v>0.05</v>
      </c>
      <c r="C33" s="2849" t="s">
        <v>2256</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245</v>
      </c>
      <c r="B34" s="224">
        <v>0.1</v>
      </c>
      <c r="C34" s="2849" t="s">
        <v>2257</v>
      </c>
      <c r="D34" s="2850" t="s">
        <v>2264</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242</v>
      </c>
      <c r="B35" s="220">
        <v>200</v>
      </c>
      <c r="C35" s="2849" t="s">
        <v>2258</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2259</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6" t="s">
        <v>246</v>
      </c>
      <c r="B37" s="227">
        <v>0.02</v>
      </c>
      <c r="C37" s="2849" t="s">
        <v>2260</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247</v>
      </c>
      <c r="B38" s="224">
        <v>0.02</v>
      </c>
      <c r="C38" s="2849" t="s">
        <v>2260</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4" t="s">
        <v>1801</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20" t="s">
        <v>2282</v>
      </c>
      <c r="B40" s="2128">
        <f ca="1">IF(A40="利息：取LPR",存贷款利率!E2,存贷款利率!E2+C40)</f>
        <v>3.4500000000000003E-2</v>
      </c>
      <c r="C40" s="3021">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248</v>
      </c>
      <c r="B41" s="229">
        <f>B42+B43</f>
        <v>5.6000000000000001E-2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0"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0" t="s">
        <v>250</v>
      </c>
      <c r="B43" s="232">
        <f>B42*(B44+B45+B46)+B47</f>
        <v>6.000000000000001E-3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30" t="s">
        <v>251</v>
      </c>
      <c r="B44" s="233">
        <v>7.0000000000000007E-2</v>
      </c>
      <c r="C44" s="2849" t="s">
        <v>2265</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30" t="s">
        <v>252</v>
      </c>
      <c r="B45" s="231">
        <v>0.03</v>
      </c>
      <c r="C45" s="2852" t="s">
        <v>2261</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30" t="s">
        <v>253</v>
      </c>
      <c r="B46" s="231">
        <v>0.02</v>
      </c>
      <c r="C46" s="2852" t="s">
        <v>2262</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c r="C47" s="2847" t="s">
        <v>2269</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6" t="s">
        <v>255</v>
      </c>
      <c r="B48" s="237">
        <v>0.03</v>
      </c>
      <c r="C48" s="2852" t="s">
        <v>2261</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2263</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8" t="s">
        <v>259</v>
      </c>
      <c r="B52" s="241">
        <f>SUMIF(A54:A63,B53,B54:B63)</f>
        <v>1.5</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260</v>
      </c>
      <c r="B53" s="242" t="s">
        <v>1153</v>
      </c>
      <c r="C53" s="2842" t="s">
        <v>2167</v>
      </c>
      <c r="D53" s="2853" t="s">
        <v>2266</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2168</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2169</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2170</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2171</v>
      </c>
      <c r="B57" s="179"/>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2172</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2173</v>
      </c>
      <c r="B59" s="179">
        <v>1.5</v>
      </c>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2174</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2175</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2176</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2177</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190" priority="12" stopIfTrue="1" operator="containsText" text="自行计算">
      <formula>NOT(ISERROR(SEARCH("自行计算",T6)))</formula>
    </cfRule>
    <cfRule type="containsText" dxfId="189" priority="13" stopIfTrue="1" operator="containsText" text="自行计算">
      <formula>NOT(ISERROR(SEARCH("自行计算",T6)))</formula>
    </cfRule>
  </conditionalFormatting>
  <conditionalFormatting sqref="T6:T13">
    <cfRule type="containsText" dxfId="188" priority="10" stopIfTrue="1" operator="containsText" text="自行计算">
      <formula>NOT(ISERROR(SEARCH("自行计算",T6)))</formula>
    </cfRule>
    <cfRule type="containsText" dxfId="187" priority="11" stopIfTrue="1" operator="containsText" text="自行计算">
      <formula>NOT(ISERROR(SEARCH("自行计算",T6)))</formula>
    </cfRule>
  </conditionalFormatting>
  <conditionalFormatting sqref="T12:T13">
    <cfRule type="containsText" dxfId="186" priority="4" stopIfTrue="1" operator="containsText" text="自行计算">
      <formula>NOT(ISERROR(SEARCH("自行计算",T12)))</formula>
    </cfRule>
    <cfRule type="containsText" dxfId="185" priority="5" stopIfTrue="1" operator="containsText" text="自行计算">
      <formula>NOT(ISERROR(SEARCH("自行计算",T12)))</formula>
    </cfRule>
  </conditionalFormatting>
  <conditionalFormatting sqref="T12:T13">
    <cfRule type="containsText" dxfId="184" priority="2" stopIfTrue="1" operator="containsText" text="自行计算">
      <formula>NOT(ISERROR(SEARCH("自行计算",T12)))</formula>
    </cfRule>
    <cfRule type="containsText" dxfId="183" priority="3" stopIfTrue="1" operator="containsText" text="自行计算">
      <formula>NOT(ISERROR(SEARCH("自行计算",T12)))</formula>
    </cfRule>
  </conditionalFormatting>
  <conditionalFormatting sqref="T6:T15">
    <cfRule type="expression" dxfId="182"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865" customWidth="1"/>
    <col min="2" max="2" width="23.5" style="2900" customWidth="1"/>
    <col min="3" max="3" width="32.25" style="2902" customWidth="1"/>
    <col min="4" max="4" width="2.625" style="2902" customWidth="1"/>
    <col min="5" max="5" width="5.875" style="2902" customWidth="1"/>
    <col min="6" max="6" width="23.625" style="2900" customWidth="1"/>
    <col min="7" max="7" width="33.375" style="2901" customWidth="1"/>
    <col min="8" max="8" width="11.875" style="2900" customWidth="1"/>
    <col min="9" max="9" width="16.75" style="2901" customWidth="1"/>
    <col min="10" max="10" width="2.625" style="2902" customWidth="1"/>
    <col min="11" max="11" width="11.875" style="2900" customWidth="1"/>
    <col min="12" max="12" width="16.75" style="2901" customWidth="1"/>
    <col min="13" max="13" width="2.625" style="2902" customWidth="1"/>
    <col min="14" max="14" width="11.875" style="2900" customWidth="1"/>
    <col min="15" max="15" width="16.75" style="2901" customWidth="1"/>
    <col min="16" max="16" width="2.625" style="2902" customWidth="1"/>
    <col min="17" max="17" width="11.875" style="2900" customWidth="1"/>
    <col min="18" max="18" width="16.75" style="2903" customWidth="1"/>
    <col min="19" max="16384" width="9" style="2865"/>
  </cols>
  <sheetData>
    <row r="1" spans="1:18" s="2859" customFormat="1" ht="19.5" thickBot="1">
      <c r="A1" s="3758" t="s">
        <v>1198</v>
      </c>
      <c r="B1" s="3759"/>
      <c r="C1" s="3759"/>
      <c r="D1" s="3759"/>
      <c r="E1" s="3759"/>
      <c r="F1" s="3759"/>
      <c r="G1" s="3759"/>
      <c r="H1" s="2854"/>
      <c r="I1" s="2855"/>
      <c r="J1" s="2856"/>
      <c r="K1" s="2854"/>
      <c r="L1" s="2855"/>
      <c r="M1" s="2856"/>
      <c r="N1" s="2854"/>
      <c r="O1" s="2855"/>
      <c r="P1" s="2856"/>
      <c r="Q1" s="2857"/>
      <c r="R1" s="2858"/>
    </row>
    <row r="2" spans="1:18" ht="14.25" thickBot="1">
      <c r="A2" s="2860"/>
      <c r="B2" s="2861"/>
      <c r="C2" s="2862" t="s">
        <v>1199</v>
      </c>
      <c r="D2" s="2863"/>
      <c r="E2" s="2860"/>
      <c r="F2" s="2864"/>
      <c r="G2" s="2862" t="s">
        <v>1200</v>
      </c>
      <c r="H2" s="2865"/>
      <c r="I2" s="2865"/>
      <c r="J2" s="2865"/>
      <c r="K2" s="2865"/>
      <c r="L2" s="2865"/>
      <c r="M2" s="2865"/>
      <c r="N2" s="2865"/>
      <c r="O2" s="2865"/>
      <c r="P2" s="2865"/>
      <c r="Q2" s="2865"/>
      <c r="R2" s="2865"/>
    </row>
    <row r="3" spans="1:18" ht="27">
      <c r="A3" s="2866" t="s">
        <v>1201</v>
      </c>
      <c r="B3" s="2867" t="s">
        <v>1188</v>
      </c>
      <c r="C3" s="2868"/>
      <c r="D3" s="2869"/>
      <c r="E3" s="2870" t="s">
        <v>1201</v>
      </c>
      <c r="F3" s="2871" t="s">
        <v>1189</v>
      </c>
      <c r="G3" s="2872"/>
      <c r="H3" s="2865"/>
      <c r="I3" s="2865"/>
      <c r="J3" s="2865"/>
      <c r="K3" s="2865"/>
      <c r="L3" s="2865"/>
      <c r="M3" s="2865"/>
      <c r="N3" s="2865"/>
      <c r="O3" s="2865"/>
      <c r="P3" s="2865"/>
      <c r="Q3" s="2865"/>
      <c r="R3" s="2865"/>
    </row>
    <row r="4" spans="1:18" ht="14.25">
      <c r="A4" s="2870"/>
      <c r="B4" s="2873" t="s">
        <v>1202</v>
      </c>
      <c r="C4" s="2874"/>
      <c r="D4" s="2869"/>
      <c r="E4" s="2875"/>
      <c r="F4" s="2876" t="s">
        <v>1203</v>
      </c>
      <c r="G4" s="2877"/>
      <c r="H4" s="2865"/>
      <c r="I4" s="2865"/>
      <c r="J4" s="2865"/>
      <c r="K4" s="2865"/>
      <c r="L4" s="2865"/>
      <c r="M4" s="2865"/>
      <c r="N4" s="2865"/>
      <c r="O4" s="2865"/>
      <c r="P4" s="2865"/>
      <c r="Q4" s="2865"/>
      <c r="R4" s="2865"/>
    </row>
    <row r="5" spans="1:18" ht="14.25">
      <c r="A5" s="2870"/>
      <c r="B5" s="2873" t="s">
        <v>1204</v>
      </c>
      <c r="C5" s="2874"/>
      <c r="D5" s="2869"/>
      <c r="E5" s="2875"/>
      <c r="F5" s="2873" t="s">
        <v>1829</v>
      </c>
      <c r="G5" s="2877"/>
      <c r="H5" s="2865"/>
      <c r="I5" s="2865"/>
      <c r="J5" s="2865"/>
      <c r="K5" s="2865"/>
      <c r="L5" s="2865"/>
      <c r="M5" s="2865"/>
      <c r="N5" s="2865"/>
      <c r="O5" s="2865"/>
      <c r="P5" s="2865"/>
      <c r="Q5" s="2865"/>
      <c r="R5" s="2865"/>
    </row>
    <row r="6" spans="1:18" ht="14.25">
      <c r="A6" s="2870"/>
      <c r="B6" s="2873" t="s">
        <v>1190</v>
      </c>
      <c r="C6" s="2877"/>
      <c r="D6" s="2869"/>
      <c r="E6" s="2875"/>
      <c r="F6" s="2873" t="s">
        <v>1830</v>
      </c>
      <c r="G6" s="2877"/>
      <c r="H6" s="2865"/>
      <c r="I6" s="2865"/>
      <c r="J6" s="2865"/>
      <c r="K6" s="2865"/>
      <c r="L6" s="2865"/>
      <c r="M6" s="2865"/>
      <c r="N6" s="2865"/>
      <c r="O6" s="2865"/>
      <c r="P6" s="2865"/>
      <c r="Q6" s="2865"/>
      <c r="R6" s="2865"/>
    </row>
    <row r="7" spans="1:18" ht="15" thickBot="1">
      <c r="A7" s="2870"/>
      <c r="B7" s="2873" t="s">
        <v>1829</v>
      </c>
      <c r="C7" s="2877"/>
      <c r="D7" s="2878"/>
      <c r="E7" s="2879"/>
      <c r="F7" s="2880" t="s">
        <v>1205</v>
      </c>
      <c r="G7" s="2881"/>
      <c r="H7" s="2865"/>
      <c r="I7" s="2865"/>
      <c r="J7" s="2865"/>
      <c r="K7" s="2865"/>
      <c r="L7" s="2865"/>
      <c r="M7" s="2865"/>
      <c r="N7" s="2865"/>
      <c r="O7" s="2865"/>
      <c r="P7" s="2865"/>
      <c r="Q7" s="2865"/>
      <c r="R7" s="2865"/>
    </row>
    <row r="8" spans="1:18" ht="14.25">
      <c r="A8" s="2870"/>
      <c r="B8" s="2873" t="s">
        <v>1830</v>
      </c>
      <c r="C8" s="2877"/>
      <c r="D8" s="2878"/>
      <c r="E8" s="2878"/>
      <c r="F8" s="2882"/>
      <c r="G8" s="2882"/>
      <c r="H8" s="2865"/>
      <c r="I8" s="2865"/>
      <c r="J8" s="2865"/>
      <c r="K8" s="2865"/>
      <c r="L8" s="2865"/>
      <c r="M8" s="2865"/>
      <c r="N8" s="2865"/>
      <c r="O8" s="2865"/>
      <c r="P8" s="2865"/>
      <c r="Q8" s="2865"/>
      <c r="R8" s="2865"/>
    </row>
    <row r="9" spans="1:18" ht="14.25">
      <c r="A9" s="2870"/>
      <c r="B9" s="2873" t="s">
        <v>1191</v>
      </c>
      <c r="C9" s="2874"/>
      <c r="D9" s="2869"/>
      <c r="E9" s="2878"/>
      <c r="F9" s="2882"/>
      <c r="G9" s="2882"/>
      <c r="H9" s="2865"/>
      <c r="I9" s="2865"/>
      <c r="J9" s="2865"/>
      <c r="K9" s="2865"/>
      <c r="L9" s="2865"/>
      <c r="M9" s="2865"/>
      <c r="N9" s="2865"/>
      <c r="O9" s="2865"/>
      <c r="P9" s="2865"/>
      <c r="Q9" s="2865"/>
      <c r="R9" s="2865"/>
    </row>
    <row r="10" spans="1:18" s="2889" customFormat="1" ht="15" thickBot="1">
      <c r="A10" s="2883"/>
      <c r="B10" s="2884" t="s">
        <v>1206</v>
      </c>
      <c r="C10" s="2885"/>
      <c r="D10" s="2869"/>
      <c r="E10" s="2869"/>
      <c r="F10" s="2882"/>
      <c r="G10" s="2882"/>
      <c r="H10" s="2886"/>
      <c r="I10" s="2887"/>
      <c r="J10" s="2888"/>
      <c r="K10" s="2886"/>
      <c r="L10" s="2887"/>
      <c r="M10" s="2888"/>
      <c r="N10" s="2886"/>
      <c r="O10" s="2887"/>
      <c r="P10" s="2888"/>
      <c r="Q10" s="2886"/>
      <c r="R10" s="2887"/>
    </row>
    <row r="11" spans="1:18" s="2889" customFormat="1">
      <c r="A11" s="2890"/>
      <c r="B11" s="2878"/>
      <c r="C11" s="2869"/>
      <c r="D11" s="2869"/>
      <c r="E11" s="2869"/>
      <c r="F11" s="2878"/>
      <c r="G11" s="2891"/>
      <c r="H11" s="2886"/>
      <c r="I11" s="2887"/>
      <c r="J11" s="2888"/>
      <c r="K11" s="2886"/>
      <c r="L11" s="2887"/>
      <c r="M11" s="2888"/>
      <c r="N11" s="2886"/>
      <c r="O11" s="2887"/>
      <c r="P11" s="2888"/>
      <c r="Q11" s="2886"/>
      <c r="R11" s="2887"/>
    </row>
    <row r="12" spans="1:18" s="2859" customFormat="1" ht="18.75">
      <c r="A12" s="2890"/>
      <c r="B12" s="2878"/>
      <c r="C12" s="2869"/>
      <c r="D12" s="2892"/>
      <c r="E12" s="2869"/>
      <c r="F12" s="2878"/>
      <c r="G12" s="2891"/>
      <c r="H12" s="2893"/>
      <c r="I12" s="2894"/>
      <c r="J12" s="2893"/>
      <c r="K12" s="2893"/>
      <c r="L12" s="2895"/>
      <c r="M12" s="2893"/>
      <c r="N12" s="2896"/>
      <c r="O12" s="2897"/>
      <c r="P12" s="2898"/>
      <c r="Q12" s="2896"/>
      <c r="R12" s="2858"/>
    </row>
    <row r="13" spans="1:18" ht="19.5" thickBot="1">
      <c r="A13" s="2899" t="s">
        <v>1207</v>
      </c>
      <c r="B13" s="2892"/>
      <c r="C13" s="2892"/>
      <c r="D13" s="2863"/>
      <c r="E13" s="2892"/>
      <c r="F13" s="2892"/>
      <c r="G13" s="2892"/>
    </row>
    <row r="14" spans="1:18" ht="14.25" thickBot="1">
      <c r="A14" s="2904"/>
      <c r="B14" s="2904"/>
      <c r="C14" s="2905" t="s">
        <v>1199</v>
      </c>
      <c r="D14" s="2869"/>
      <c r="E14" s="2906"/>
      <c r="F14" s="2906"/>
      <c r="G14" s="2862" t="s">
        <v>1200</v>
      </c>
    </row>
    <row r="15" spans="1:18" ht="27">
      <c r="A15" s="2907" t="s">
        <v>1192</v>
      </c>
      <c r="B15" s="2908" t="s">
        <v>1188</v>
      </c>
      <c r="C15" s="2909">
        <f>C3</f>
        <v>0</v>
      </c>
      <c r="D15" s="2869"/>
      <c r="E15" s="2910" t="s">
        <v>1193</v>
      </c>
      <c r="F15" s="2908" t="s">
        <v>1208</v>
      </c>
      <c r="G15" s="2911">
        <f>G3</f>
        <v>0</v>
      </c>
    </row>
    <row r="16" spans="1:18">
      <c r="A16" s="2912"/>
      <c r="B16" s="2913" t="s">
        <v>1202</v>
      </c>
      <c r="C16" s="2914">
        <f>C4</f>
        <v>0</v>
      </c>
      <c r="D16" s="2869"/>
      <c r="E16" s="2915"/>
      <c r="F16" s="2916" t="s">
        <v>1203</v>
      </c>
      <c r="G16" s="2917">
        <f>G4</f>
        <v>0</v>
      </c>
    </row>
    <row r="17" spans="1:7" ht="14.25">
      <c r="A17" s="2912"/>
      <c r="B17" s="2913" t="s">
        <v>1204</v>
      </c>
      <c r="C17" s="2914">
        <f>C5</f>
        <v>0</v>
      </c>
      <c r="D17" s="2878"/>
      <c r="E17" s="2915"/>
      <c r="F17" s="2916" t="s">
        <v>1209</v>
      </c>
      <c r="G17" s="2918"/>
    </row>
    <row r="18" spans="1:7">
      <c r="A18" s="2912"/>
      <c r="B18" s="2916" t="s">
        <v>1190</v>
      </c>
      <c r="C18" s="2917">
        <f>C6</f>
        <v>0</v>
      </c>
      <c r="D18" s="2878"/>
      <c r="E18" s="2915"/>
      <c r="F18" s="2916" t="s">
        <v>1205</v>
      </c>
      <c r="G18" s="2917">
        <f>G7</f>
        <v>0</v>
      </c>
    </row>
    <row r="19" spans="1:7" ht="14.25">
      <c r="A19" s="2912"/>
      <c r="B19" s="2916" t="s">
        <v>1194</v>
      </c>
      <c r="C19" s="2918"/>
      <c r="D19" s="2869"/>
      <c r="E19" s="2915"/>
      <c r="F19" s="2873" t="s">
        <v>1829</v>
      </c>
      <c r="G19" s="2917">
        <f>G5</f>
        <v>0</v>
      </c>
    </row>
    <row r="20" spans="1:7">
      <c r="A20" s="2912"/>
      <c r="B20" s="2916" t="s">
        <v>1195</v>
      </c>
      <c r="C20" s="2914">
        <f>C9</f>
        <v>0</v>
      </c>
      <c r="D20" s="2878"/>
      <c r="E20" s="2915"/>
      <c r="F20" s="2873" t="s">
        <v>1830</v>
      </c>
      <c r="G20" s="2917">
        <f>G6</f>
        <v>0</v>
      </c>
    </row>
    <row r="21" spans="1:7" ht="14.25">
      <c r="A21" s="2912"/>
      <c r="B21" s="2873" t="s">
        <v>1829</v>
      </c>
      <c r="C21" s="2917">
        <f>C7</f>
        <v>0</v>
      </c>
      <c r="D21" s="2869"/>
      <c r="E21" s="2915"/>
      <c r="F21" s="2916" t="s">
        <v>1196</v>
      </c>
      <c r="G21" s="2919"/>
    </row>
    <row r="22" spans="1:7" ht="14.25">
      <c r="A22" s="2912"/>
      <c r="B22" s="2873" t="s">
        <v>1830</v>
      </c>
      <c r="C22" s="2917">
        <f>C8</f>
        <v>0</v>
      </c>
      <c r="D22" s="2869"/>
      <c r="E22" s="2915"/>
      <c r="F22" s="2916" t="s">
        <v>1206</v>
      </c>
      <c r="G22" s="2918"/>
    </row>
    <row r="23" spans="1:7" ht="15" thickBot="1">
      <c r="A23" s="2912"/>
      <c r="B23" s="2916" t="s">
        <v>1196</v>
      </c>
      <c r="C23" s="2919"/>
      <c r="E23" s="2920"/>
      <c r="F23" s="2921" t="s">
        <v>1210</v>
      </c>
      <c r="G23" s="2922"/>
    </row>
    <row r="24" spans="1:7" ht="14.25" thickBot="1">
      <c r="A24" s="2923"/>
      <c r="B24" s="2921" t="s">
        <v>1197</v>
      </c>
      <c r="C24" s="2924">
        <f>C10</f>
        <v>0</v>
      </c>
      <c r="E24" s="2925"/>
      <c r="F24" s="2925"/>
      <c r="G24" s="2926"/>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6"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C33" sqref="C33"/>
    </sheetView>
  </sheetViews>
  <sheetFormatPr defaultColWidth="14.625" defaultRowHeight="13.5"/>
  <cols>
    <col min="1" max="1" width="24.375" style="2928" customWidth="1"/>
    <col min="2" max="16384" width="14.625" style="2928"/>
  </cols>
  <sheetData>
    <row r="1" spans="1:10" ht="16.5">
      <c r="A1" s="2927" t="s">
        <v>2118</v>
      </c>
      <c r="B1" s="2927">
        <f>SUM(B14:B23)</f>
        <v>181524.57200000001</v>
      </c>
      <c r="C1" s="2936"/>
      <c r="D1" s="2936"/>
      <c r="E1" s="2936"/>
      <c r="F1" s="2936"/>
      <c r="G1" s="2937"/>
      <c r="H1" s="2937"/>
      <c r="I1" s="2937"/>
      <c r="J1" s="2937"/>
    </row>
    <row r="2" spans="1:10" ht="16.5">
      <c r="A2" s="2927" t="s">
        <v>2119</v>
      </c>
      <c r="B2" s="2927">
        <f>SUM(C14:C23)</f>
        <v>60637.469999999994</v>
      </c>
      <c r="C2" s="2936"/>
      <c r="D2" s="2936"/>
      <c r="E2" s="2936"/>
      <c r="F2" s="2936"/>
      <c r="G2" s="2937"/>
      <c r="H2" s="2937"/>
      <c r="I2" s="2937"/>
      <c r="J2" s="2937"/>
    </row>
    <row r="3" spans="1:10" ht="16.5">
      <c r="A3" s="2927" t="s">
        <v>2120</v>
      </c>
      <c r="B3" s="2929">
        <f>项目基本情况!D3</f>
        <v>45175</v>
      </c>
      <c r="C3" s="2936"/>
      <c r="D3" s="2936"/>
      <c r="E3" s="2936"/>
      <c r="F3" s="2936"/>
      <c r="G3" s="2937"/>
      <c r="H3" s="2937"/>
      <c r="I3" s="2937"/>
      <c r="J3" s="2937"/>
    </row>
    <row r="4" spans="1:10" ht="33">
      <c r="A4" s="2927" t="s">
        <v>2121</v>
      </c>
      <c r="B4" s="2927" t="s">
        <v>2122</v>
      </c>
      <c r="C4" s="2927" t="s">
        <v>2123</v>
      </c>
      <c r="D4" s="2927" t="s">
        <v>2124</v>
      </c>
      <c r="E4" s="2936"/>
      <c r="F4" s="2936"/>
      <c r="G4" s="2937"/>
      <c r="H4" s="2937"/>
      <c r="I4" s="2937"/>
      <c r="J4" s="2937"/>
    </row>
    <row r="5" spans="1:10" ht="16.5">
      <c r="A5" s="2927" t="s">
        <v>2125</v>
      </c>
      <c r="B5" s="2927">
        <f ca="1">SUM(D14:D23)</f>
        <v>424405</v>
      </c>
      <c r="C5" s="2927">
        <f ca="1">ROUND(B5*10000/$B$1,0)</f>
        <v>23380</v>
      </c>
      <c r="D5" s="2927">
        <f ca="1">ROUND(B5*10000/$B$2,0)</f>
        <v>69991</v>
      </c>
      <c r="E5" s="2936"/>
      <c r="F5" s="2936"/>
      <c r="G5" s="2937"/>
      <c r="H5" s="2937"/>
      <c r="I5" s="2937"/>
      <c r="J5" s="2937"/>
    </row>
    <row r="6" spans="1:10" ht="16.5">
      <c r="A6" s="2927" t="s">
        <v>2126</v>
      </c>
      <c r="B6" s="2927">
        <f>SUM(G14:G23)</f>
        <v>0</v>
      </c>
      <c r="C6" s="2927">
        <f>ROUND(B6*10000/$B$1,0)</f>
        <v>0</v>
      </c>
      <c r="D6" s="2927">
        <f>ROUND(B6*10000/$B$2,0)</f>
        <v>0</v>
      </c>
      <c r="E6" s="2936"/>
      <c r="F6" s="2936"/>
      <c r="G6" s="2937"/>
      <c r="H6" s="2937"/>
      <c r="I6" s="2937"/>
      <c r="J6" s="2937"/>
    </row>
    <row r="7" spans="1:10" ht="16.5">
      <c r="A7" s="2927" t="s">
        <v>2127</v>
      </c>
      <c r="B7" s="2927">
        <f>SUM(H14:H23)</f>
        <v>0</v>
      </c>
      <c r="C7" s="2927">
        <f>ROUND(B7*10000/$B$1,0)</f>
        <v>0</v>
      </c>
      <c r="D7" s="2927">
        <f>ROUND(B7*10000/$B$2,0)</f>
        <v>0</v>
      </c>
      <c r="E7" s="2936"/>
      <c r="F7" s="2936"/>
      <c r="G7" s="2937"/>
      <c r="H7" s="2937"/>
      <c r="I7" s="2937"/>
      <c r="J7" s="2937"/>
    </row>
    <row r="8" spans="1:10" ht="16.5">
      <c r="A8" s="2927" t="s">
        <v>2128</v>
      </c>
      <c r="B8" s="2927">
        <f>SUM(I14:I23)</f>
        <v>0</v>
      </c>
      <c r="C8" s="2927">
        <f>ROUND(B8*10000/$B$1,0)</f>
        <v>0</v>
      </c>
      <c r="D8" s="2927">
        <f>ROUND(B8*10000/$B$2,0)</f>
        <v>0</v>
      </c>
      <c r="E8" s="2936"/>
      <c r="F8" s="2936"/>
      <c r="G8" s="2937"/>
      <c r="H8" s="2937"/>
      <c r="I8" s="2937"/>
      <c r="J8" s="2937"/>
    </row>
    <row r="9" spans="1:10" ht="16.5">
      <c r="A9" s="2927" t="s">
        <v>2129</v>
      </c>
      <c r="B9" s="2935"/>
      <c r="C9" s="2936"/>
      <c r="D9" s="2936"/>
      <c r="E9" s="2936"/>
      <c r="F9" s="2936"/>
      <c r="G9" s="2937"/>
      <c r="H9" s="2937"/>
      <c r="I9" s="2937"/>
      <c r="J9" s="2937"/>
    </row>
    <row r="10" spans="1:10" ht="16.5">
      <c r="A10" s="2927" t="s">
        <v>2130</v>
      </c>
      <c r="B10" s="2935"/>
      <c r="C10" s="2936"/>
      <c r="D10" s="2936"/>
      <c r="E10" s="2936"/>
      <c r="F10" s="2936"/>
      <c r="G10" s="2937"/>
      <c r="H10" s="2937"/>
      <c r="I10" s="2937"/>
      <c r="J10" s="2937"/>
    </row>
    <row r="11" spans="1:10" ht="16.5">
      <c r="A11" s="2927" t="s">
        <v>2147</v>
      </c>
      <c r="B11" s="2935"/>
      <c r="C11" s="2936"/>
      <c r="D11" s="2936"/>
      <c r="E11" s="2936"/>
      <c r="F11" s="2936"/>
      <c r="G11" s="2937"/>
      <c r="H11" s="2937"/>
      <c r="I11" s="2937"/>
      <c r="J11" s="2937"/>
    </row>
    <row r="12" spans="1:10" ht="16.5">
      <c r="A12" s="2936"/>
      <c r="B12" s="2936"/>
      <c r="C12" s="2936"/>
      <c r="D12" s="2936"/>
      <c r="E12" s="2936"/>
      <c r="F12" s="2936"/>
      <c r="G12" s="2937"/>
      <c r="H12" s="2937"/>
      <c r="I12" s="2937"/>
      <c r="J12" s="2937"/>
    </row>
    <row r="13" spans="1:10" ht="33">
      <c r="A13" s="2930" t="s">
        <v>2146</v>
      </c>
      <c r="B13" s="2931" t="s">
        <v>2118</v>
      </c>
      <c r="C13" s="2931" t="s">
        <v>2119</v>
      </c>
      <c r="D13" s="2931" t="s">
        <v>2131</v>
      </c>
      <c r="E13" s="2927" t="s">
        <v>2145</v>
      </c>
      <c r="F13" s="2927" t="s">
        <v>2124</v>
      </c>
      <c r="G13" s="2931" t="s">
        <v>2132</v>
      </c>
      <c r="H13" s="2931" t="s">
        <v>2133</v>
      </c>
      <c r="I13" s="2931" t="s">
        <v>2134</v>
      </c>
      <c r="J13" s="2937"/>
    </row>
    <row r="14" spans="1:10" ht="16.5">
      <c r="A14" s="2932" t="s">
        <v>2144</v>
      </c>
      <c r="B14" s="2933">
        <f>'数据-汇总表'!E3</f>
        <v>59771.28</v>
      </c>
      <c r="C14" s="2933">
        <f>'数据-基础表'!A3</f>
        <v>19336.28</v>
      </c>
      <c r="D14" s="2933">
        <f ca="1">结果表!G19</f>
        <v>136053</v>
      </c>
      <c r="E14" s="2933">
        <f ca="1">ROUND(D14*10000/B14,0)</f>
        <v>22762</v>
      </c>
      <c r="F14" s="2933">
        <f ca="1">ROUND(D14*10000/C14,0)</f>
        <v>70362</v>
      </c>
      <c r="G14" s="2933"/>
      <c r="H14" s="2933"/>
      <c r="I14" s="2933"/>
      <c r="J14" s="2937"/>
    </row>
    <row r="15" spans="1:10" ht="16.5">
      <c r="A15" s="2932" t="s">
        <v>2135</v>
      </c>
      <c r="B15" s="2934">
        <f>'[3]数据-汇总表'!$E$3</f>
        <v>56080.531999999999</v>
      </c>
      <c r="C15" s="2934">
        <f>'[3]数据-基础表'!$A$3</f>
        <v>17625.59</v>
      </c>
      <c r="D15" s="2934">
        <f ca="1">[3]结果表!$G$19</f>
        <v>123889</v>
      </c>
      <c r="E15" s="2933">
        <f t="shared" ref="E15:E23" ca="1" si="0">ROUND(D15*10000/B15,0)</f>
        <v>22091</v>
      </c>
      <c r="F15" s="2933">
        <f t="shared" ref="F15:F23" ca="1" si="1">ROUND(D15*10000/C15,0)</f>
        <v>70289</v>
      </c>
      <c r="G15" s="2513"/>
      <c r="H15" s="2513"/>
      <c r="I15" s="2934"/>
      <c r="J15" s="2937"/>
    </row>
    <row r="16" spans="1:10" ht="16.5">
      <c r="A16" s="2932" t="s">
        <v>2136</v>
      </c>
      <c r="B16" s="2934">
        <f>'[4]数据-汇总表'!$E$3</f>
        <v>65672.760000000009</v>
      </c>
      <c r="C16" s="2934">
        <f>'[4]数据-基础表'!$A$3</f>
        <v>23675.599999999999</v>
      </c>
      <c r="D16" s="2934">
        <f ca="1">[4]结果表!$G$19</f>
        <v>164463</v>
      </c>
      <c r="E16" s="2933">
        <f t="shared" ca="1" si="0"/>
        <v>25043</v>
      </c>
      <c r="F16" s="2933">
        <f t="shared" ca="1" si="1"/>
        <v>69465</v>
      </c>
      <c r="G16" s="2513"/>
      <c r="H16" s="2513"/>
      <c r="I16" s="2934"/>
      <c r="J16" s="2937"/>
    </row>
    <row r="17" spans="1:10" ht="16.5">
      <c r="A17" s="2932" t="s">
        <v>2137</v>
      </c>
      <c r="B17" s="2934"/>
      <c r="C17" s="2934"/>
      <c r="D17" s="2934"/>
      <c r="E17" s="2933" t="e">
        <f t="shared" si="0"/>
        <v>#DIV/0!</v>
      </c>
      <c r="F17" s="2933" t="e">
        <f t="shared" si="1"/>
        <v>#DIV/0!</v>
      </c>
      <c r="G17" s="2513"/>
      <c r="H17" s="2513"/>
      <c r="I17" s="2934"/>
      <c r="J17" s="2937"/>
    </row>
    <row r="18" spans="1:10" ht="16.5">
      <c r="A18" s="2932" t="s">
        <v>2138</v>
      </c>
      <c r="B18" s="2934"/>
      <c r="C18" s="2934"/>
      <c r="D18" s="2934"/>
      <c r="E18" s="2933" t="e">
        <f t="shared" si="0"/>
        <v>#DIV/0!</v>
      </c>
      <c r="F18" s="2933" t="e">
        <f t="shared" si="1"/>
        <v>#DIV/0!</v>
      </c>
      <c r="G18" s="2934"/>
      <c r="H18" s="2934"/>
      <c r="I18" s="2934"/>
      <c r="J18" s="2937"/>
    </row>
    <row r="19" spans="1:10" ht="16.5">
      <c r="A19" s="2932" t="s">
        <v>2139</v>
      </c>
      <c r="B19" s="2934"/>
      <c r="C19" s="2934"/>
      <c r="D19" s="2934"/>
      <c r="E19" s="2933" t="e">
        <f t="shared" si="0"/>
        <v>#DIV/0!</v>
      </c>
      <c r="F19" s="2933" t="e">
        <f t="shared" si="1"/>
        <v>#DIV/0!</v>
      </c>
      <c r="G19" s="2934"/>
      <c r="H19" s="2934"/>
      <c r="I19" s="2934"/>
      <c r="J19" s="2937"/>
    </row>
    <row r="20" spans="1:10" ht="16.5">
      <c r="A20" s="2932" t="s">
        <v>2140</v>
      </c>
      <c r="B20" s="2934"/>
      <c r="C20" s="2934"/>
      <c r="D20" s="2934"/>
      <c r="E20" s="2933" t="e">
        <f t="shared" si="0"/>
        <v>#DIV/0!</v>
      </c>
      <c r="F20" s="2933" t="e">
        <f t="shared" si="1"/>
        <v>#DIV/0!</v>
      </c>
      <c r="G20" s="2934"/>
      <c r="H20" s="2934"/>
      <c r="I20" s="2934"/>
      <c r="J20" s="2937"/>
    </row>
    <row r="21" spans="1:10" ht="16.5">
      <c r="A21" s="2932" t="s">
        <v>2141</v>
      </c>
      <c r="B21" s="2934"/>
      <c r="C21" s="2934"/>
      <c r="D21" s="2934"/>
      <c r="E21" s="2933" t="e">
        <f t="shared" si="0"/>
        <v>#DIV/0!</v>
      </c>
      <c r="F21" s="2933" t="e">
        <f t="shared" si="1"/>
        <v>#DIV/0!</v>
      </c>
      <c r="G21" s="2934"/>
      <c r="H21" s="2934"/>
      <c r="I21" s="2934"/>
      <c r="J21" s="2937"/>
    </row>
    <row r="22" spans="1:10" ht="16.5">
      <c r="A22" s="2932" t="s">
        <v>2142</v>
      </c>
      <c r="B22" s="2934"/>
      <c r="C22" s="2934"/>
      <c r="D22" s="2934"/>
      <c r="E22" s="2933" t="e">
        <f t="shared" si="0"/>
        <v>#DIV/0!</v>
      </c>
      <c r="F22" s="2933" t="e">
        <f t="shared" si="1"/>
        <v>#DIV/0!</v>
      </c>
      <c r="G22" s="2934"/>
      <c r="H22" s="2934"/>
      <c r="I22" s="2934"/>
      <c r="J22" s="2937"/>
    </row>
    <row r="23" spans="1:10" ht="16.5">
      <c r="A23" s="2932" t="s">
        <v>2143</v>
      </c>
      <c r="B23" s="2934"/>
      <c r="C23" s="2934"/>
      <c r="D23" s="2934"/>
      <c r="E23" s="2935" t="e">
        <f t="shared" si="0"/>
        <v>#DIV/0!</v>
      </c>
      <c r="F23" s="2935" t="e">
        <f t="shared" si="1"/>
        <v>#DIV/0!</v>
      </c>
      <c r="G23" s="2934"/>
      <c r="H23" s="2934"/>
      <c r="I23" s="2934"/>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85" zoomScaleNormal="100" zoomScaleSheetLayoutView="85" zoomScalePageLayoutView="80" workbookViewId="0">
      <selection activeCell="K21" sqref="K21"/>
    </sheetView>
  </sheetViews>
  <sheetFormatPr defaultColWidth="12.625" defaultRowHeight="21.75" customHeight="1"/>
  <cols>
    <col min="1" max="2" width="12.75" style="1118" bestFit="1" customWidth="1"/>
    <col min="3" max="4" width="12.625" style="1118" customWidth="1"/>
    <col min="5" max="9" width="12.75" style="1118"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8"/>
  </cols>
  <sheetData>
    <row r="1" spans="1:22" ht="21.75" customHeight="1" thickBot="1">
      <c r="A1" s="1562" t="s">
        <v>1573</v>
      </c>
      <c r="B1" s="1563"/>
      <c r="C1" s="1591" t="s">
        <v>1574</v>
      </c>
      <c r="D1" s="1592" t="s">
        <v>3289</v>
      </c>
      <c r="E1" s="1591" t="s">
        <v>1575</v>
      </c>
      <c r="F1" s="1593" t="s">
        <v>3290</v>
      </c>
      <c r="G1" s="302"/>
      <c r="H1" s="302"/>
      <c r="I1" s="302"/>
      <c r="J1" s="1751"/>
      <c r="K1" s="1751"/>
      <c r="L1" s="1751"/>
      <c r="M1" s="1751"/>
      <c r="N1" s="1751"/>
      <c r="O1" s="1751"/>
      <c r="P1" s="1751"/>
      <c r="Q1" s="1751"/>
      <c r="R1" s="1751"/>
      <c r="S1" s="1751"/>
      <c r="T1" s="1751"/>
      <c r="U1" s="1751"/>
      <c r="V1" s="1751"/>
    </row>
    <row r="2" spans="1:22" ht="21.75" customHeight="1" thickBot="1">
      <c r="A2" s="3804" t="str">
        <f>项目基本情况!K2</f>
        <v>北京市出让国有建设用地使用权</v>
      </c>
      <c r="B2" s="3805"/>
      <c r="C2" s="3806"/>
      <c r="D2" s="3806"/>
      <c r="E2" s="3806"/>
      <c r="F2" s="3806"/>
      <c r="G2" s="3805"/>
      <c r="H2" s="3805"/>
      <c r="I2" s="3807"/>
      <c r="J2" s="1752"/>
      <c r="K2" s="1751"/>
      <c r="L2" s="1751"/>
      <c r="M2" s="1751"/>
      <c r="N2" s="1751"/>
      <c r="O2" s="1751"/>
      <c r="P2" s="1751"/>
      <c r="Q2" s="1751"/>
      <c r="R2" s="1751"/>
      <c r="S2" s="1751"/>
      <c r="T2" s="1751"/>
      <c r="U2" s="1751"/>
      <c r="V2" s="1751"/>
    </row>
    <row r="3" spans="1:22" ht="14.25">
      <c r="A3" s="3797" t="s">
        <v>264</v>
      </c>
      <c r="B3" s="3798"/>
      <c r="C3" s="3798"/>
      <c r="D3" s="3798"/>
      <c r="E3" s="3798"/>
      <c r="F3" s="3798"/>
      <c r="G3" s="3798"/>
      <c r="H3" s="3798"/>
      <c r="I3" s="3798"/>
      <c r="J3" s="1752"/>
      <c r="K3" s="1751"/>
      <c r="L3" s="1751"/>
      <c r="M3" s="1751"/>
      <c r="N3" s="1751"/>
      <c r="O3" s="1751"/>
      <c r="P3" s="1751"/>
      <c r="Q3" s="1751"/>
      <c r="R3" s="1751"/>
      <c r="S3" s="1751"/>
      <c r="T3" s="1751"/>
      <c r="U3" s="1751"/>
      <c r="V3" s="1751"/>
    </row>
    <row r="4" spans="1:22" ht="14.25">
      <c r="A4" s="249" t="s">
        <v>265</v>
      </c>
      <c r="B4" s="250" t="s">
        <v>266</v>
      </c>
      <c r="C4" s="251" t="s">
        <v>3291</v>
      </c>
      <c r="D4" s="251" t="s">
        <v>3292</v>
      </c>
      <c r="E4" s="3763" t="s">
        <v>267</v>
      </c>
      <c r="F4" s="3764"/>
      <c r="G4" s="3764"/>
      <c r="H4" s="3764"/>
      <c r="I4" s="3799"/>
      <c r="J4" s="1752"/>
      <c r="K4" s="1751"/>
      <c r="L4" s="2938" t="str">
        <f>IF(ISNUMBER(FIND("比较法",C4)),"比较法",IF(ISNUMBER(FIND("成本法",C4)),"成本法",IF(ISNUMBER(FIND("剩余法",C4)),"剩余法",IF(ISNUMBER(FIND("收益法",C4)),"收益法","基准地价系数修正法"))))</f>
        <v>比较法</v>
      </c>
      <c r="M4" s="910"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762" t="s">
        <v>268</v>
      </c>
      <c r="B5" s="3791">
        <v>25</v>
      </c>
      <c r="C5" s="3789"/>
      <c r="D5" s="3793"/>
      <c r="E5" s="252" t="s">
        <v>269</v>
      </c>
      <c r="F5" s="253"/>
      <c r="G5" s="253"/>
      <c r="H5" s="253"/>
      <c r="I5" s="254"/>
      <c r="J5" s="1752"/>
      <c r="K5" s="1751"/>
      <c r="L5" s="1751"/>
      <c r="M5" s="1751"/>
      <c r="N5" s="1751"/>
      <c r="O5" s="1751"/>
      <c r="P5" s="1751"/>
      <c r="Q5" s="1751"/>
      <c r="R5" s="1751"/>
      <c r="S5" s="1751"/>
      <c r="T5" s="1751"/>
      <c r="U5" s="1751"/>
      <c r="V5" s="1751"/>
    </row>
    <row r="6" spans="1:22" ht="14.25">
      <c r="A6" s="3762"/>
      <c r="B6" s="3791"/>
      <c r="C6" s="3792"/>
      <c r="D6" s="3793"/>
      <c r="E6" s="252" t="s">
        <v>270</v>
      </c>
      <c r="F6" s="253"/>
      <c r="G6" s="253"/>
      <c r="H6" s="253"/>
      <c r="I6" s="254"/>
      <c r="J6" s="1752"/>
      <c r="K6" s="1751"/>
      <c r="L6" s="1751"/>
      <c r="M6" s="1751"/>
      <c r="N6" s="1751"/>
      <c r="O6" s="1751"/>
      <c r="P6" s="1751"/>
      <c r="Q6" s="1751"/>
      <c r="R6" s="1751"/>
      <c r="S6" s="1751"/>
      <c r="T6" s="1751"/>
      <c r="U6" s="1751"/>
      <c r="V6" s="1751"/>
    </row>
    <row r="7" spans="1:22" ht="14.25">
      <c r="A7" s="3762"/>
      <c r="B7" s="3791"/>
      <c r="C7" s="3790"/>
      <c r="D7" s="3793"/>
      <c r="E7" s="252" t="s">
        <v>271</v>
      </c>
      <c r="F7" s="253"/>
      <c r="G7" s="253"/>
      <c r="H7" s="253"/>
      <c r="I7" s="254"/>
      <c r="J7" s="1752"/>
      <c r="K7" s="1751"/>
      <c r="L7" s="1751"/>
      <c r="M7" s="1751"/>
      <c r="N7" s="1751"/>
      <c r="O7" s="1751"/>
      <c r="P7" s="1751"/>
      <c r="Q7" s="1751"/>
      <c r="R7" s="1751"/>
      <c r="S7" s="1751"/>
      <c r="T7" s="1751"/>
      <c r="U7" s="1751"/>
      <c r="V7" s="1751"/>
    </row>
    <row r="8" spans="1:22" ht="14.25">
      <c r="A8" s="3762" t="s">
        <v>272</v>
      </c>
      <c r="B8" s="3791">
        <v>15</v>
      </c>
      <c r="C8" s="3789"/>
      <c r="D8" s="3793"/>
      <c r="E8" s="252" t="s">
        <v>273</v>
      </c>
      <c r="F8" s="253"/>
      <c r="G8" s="253"/>
      <c r="H8" s="253"/>
      <c r="I8" s="254"/>
      <c r="J8" s="1752"/>
      <c r="K8" s="1751"/>
      <c r="L8" s="1751"/>
      <c r="M8" s="1751"/>
      <c r="N8" s="1751"/>
      <c r="O8" s="1751"/>
      <c r="P8" s="1751"/>
      <c r="Q8" s="1751"/>
      <c r="R8" s="1751"/>
      <c r="S8" s="1751"/>
      <c r="T8" s="1751"/>
      <c r="U8" s="1751"/>
      <c r="V8" s="1751"/>
    </row>
    <row r="9" spans="1:22" ht="14.25">
      <c r="A9" s="3762"/>
      <c r="B9" s="3791"/>
      <c r="C9" s="3790"/>
      <c r="D9" s="3793"/>
      <c r="E9" s="252" t="s">
        <v>274</v>
      </c>
      <c r="F9" s="253"/>
      <c r="G9" s="253"/>
      <c r="H9" s="253"/>
      <c r="I9" s="254"/>
      <c r="J9" s="1752"/>
      <c r="K9" s="1751"/>
      <c r="L9" s="1751"/>
      <c r="M9" s="1751"/>
      <c r="N9" s="1751"/>
      <c r="O9" s="1751"/>
      <c r="P9" s="1751"/>
      <c r="Q9" s="1751"/>
      <c r="R9" s="1751"/>
      <c r="S9" s="1751"/>
      <c r="T9" s="1751"/>
      <c r="U9" s="1751"/>
      <c r="V9" s="1751"/>
    </row>
    <row r="10" spans="1:22" ht="14.25">
      <c r="A10" s="3762" t="s">
        <v>275</v>
      </c>
      <c r="B10" s="3791">
        <v>15</v>
      </c>
      <c r="C10" s="3789"/>
      <c r="D10" s="3793"/>
      <c r="E10" s="252" t="s">
        <v>276</v>
      </c>
      <c r="F10" s="253"/>
      <c r="G10" s="253"/>
      <c r="H10" s="253"/>
      <c r="I10" s="254"/>
      <c r="J10" s="1752"/>
      <c r="K10" s="1751"/>
      <c r="L10" s="1751"/>
      <c r="M10" s="1751"/>
      <c r="N10" s="1751"/>
      <c r="O10" s="1751"/>
      <c r="P10" s="1751"/>
      <c r="Q10" s="1751"/>
      <c r="R10" s="1751"/>
      <c r="S10" s="1751"/>
      <c r="T10" s="1751"/>
      <c r="U10" s="1751"/>
      <c r="V10" s="1751"/>
    </row>
    <row r="11" spans="1:22" ht="14.25">
      <c r="A11" s="3762"/>
      <c r="B11" s="3791"/>
      <c r="C11" s="3790"/>
      <c r="D11" s="3793"/>
      <c r="E11" s="252" t="s">
        <v>277</v>
      </c>
      <c r="F11" s="253"/>
      <c r="G11" s="253"/>
      <c r="H11" s="253"/>
      <c r="I11" s="254"/>
      <c r="J11" s="1752"/>
      <c r="K11" s="1751"/>
      <c r="L11" s="1751"/>
      <c r="M11" s="1751"/>
      <c r="N11" s="1751"/>
      <c r="O11" s="1751"/>
      <c r="P11" s="1751"/>
      <c r="Q11" s="1751"/>
      <c r="R11" s="1751"/>
      <c r="S11" s="1751"/>
      <c r="T11" s="1751"/>
      <c r="U11" s="1751"/>
      <c r="V11" s="1751"/>
    </row>
    <row r="12" spans="1:22" ht="14.25">
      <c r="A12" s="3762" t="s">
        <v>278</v>
      </c>
      <c r="B12" s="3791">
        <v>15</v>
      </c>
      <c r="C12" s="3789"/>
      <c r="D12" s="3793"/>
      <c r="E12" s="252" t="s">
        <v>279</v>
      </c>
      <c r="F12" s="253"/>
      <c r="G12" s="253"/>
      <c r="H12" s="253"/>
      <c r="I12" s="254"/>
      <c r="J12" s="1752"/>
      <c r="K12" s="1751"/>
      <c r="L12" s="1751"/>
      <c r="M12" s="1751"/>
      <c r="N12" s="1751"/>
      <c r="O12" s="1751"/>
      <c r="P12" s="1751"/>
      <c r="Q12" s="1751"/>
      <c r="R12" s="1751"/>
      <c r="S12" s="1751"/>
      <c r="T12" s="1751"/>
      <c r="U12" s="1751"/>
      <c r="V12" s="1751"/>
    </row>
    <row r="13" spans="1:22" ht="14.25">
      <c r="A13" s="3762"/>
      <c r="B13" s="3791"/>
      <c r="C13" s="3790"/>
      <c r="D13" s="3793"/>
      <c r="E13" s="252" t="s">
        <v>280</v>
      </c>
      <c r="F13" s="253"/>
      <c r="G13" s="253"/>
      <c r="H13" s="253"/>
      <c r="I13" s="254"/>
      <c r="J13" s="1752"/>
      <c r="K13" s="1751"/>
      <c r="L13" s="1751"/>
      <c r="M13" s="1751"/>
      <c r="N13" s="1751"/>
      <c r="O13" s="1751"/>
      <c r="P13" s="1751"/>
      <c r="Q13" s="1751"/>
      <c r="R13" s="1751"/>
      <c r="S13" s="1751"/>
      <c r="T13" s="1751"/>
      <c r="U13" s="1751"/>
      <c r="V13" s="1751"/>
    </row>
    <row r="14" spans="1:22" ht="14.25">
      <c r="A14" s="3762" t="s">
        <v>281</v>
      </c>
      <c r="B14" s="3791">
        <v>30</v>
      </c>
      <c r="C14" s="3789">
        <v>5</v>
      </c>
      <c r="D14" s="3793">
        <v>5</v>
      </c>
      <c r="E14" s="252" t="s">
        <v>282</v>
      </c>
      <c r="F14" s="253"/>
      <c r="G14" s="253"/>
      <c r="H14" s="253"/>
      <c r="I14" s="254"/>
      <c r="J14" s="1752"/>
      <c r="K14" s="1751"/>
      <c r="L14" s="1751"/>
      <c r="M14" s="1751"/>
      <c r="N14" s="1751"/>
      <c r="O14" s="1751"/>
      <c r="P14" s="1751"/>
      <c r="Q14" s="1751"/>
      <c r="R14" s="1751"/>
      <c r="S14" s="1751"/>
      <c r="T14" s="1751"/>
      <c r="U14" s="1751"/>
      <c r="V14" s="1751"/>
    </row>
    <row r="15" spans="1:22" ht="14.25">
      <c r="A15" s="3762"/>
      <c r="B15" s="3791"/>
      <c r="C15" s="3792"/>
      <c r="D15" s="3793"/>
      <c r="E15" s="252" t="s">
        <v>283</v>
      </c>
      <c r="F15" s="253"/>
      <c r="G15" s="253"/>
      <c r="H15" s="253"/>
      <c r="I15" s="254"/>
      <c r="J15" s="1752"/>
      <c r="K15" s="1751"/>
      <c r="L15" s="1751"/>
      <c r="M15" s="1751"/>
      <c r="N15" s="1751"/>
      <c r="O15" s="1751"/>
      <c r="P15" s="1751"/>
      <c r="Q15" s="1751"/>
      <c r="R15" s="1751"/>
      <c r="S15" s="1751"/>
      <c r="T15" s="1751"/>
      <c r="U15" s="1751"/>
      <c r="V15" s="1751"/>
    </row>
    <row r="16" spans="1:22" ht="14.25">
      <c r="A16" s="3762"/>
      <c r="B16" s="3791"/>
      <c r="C16" s="3790"/>
      <c r="D16" s="3793"/>
      <c r="E16" s="252" t="s">
        <v>284</v>
      </c>
      <c r="F16" s="253"/>
      <c r="G16" s="253"/>
      <c r="H16" s="253"/>
      <c r="I16" s="254"/>
      <c r="J16" s="1752"/>
      <c r="K16" s="1751"/>
      <c r="L16" s="1751"/>
      <c r="M16" s="1751"/>
      <c r="N16" s="1751"/>
      <c r="O16" s="1751"/>
      <c r="P16" s="1751"/>
      <c r="Q16" s="1751"/>
      <c r="R16" s="1751"/>
      <c r="S16" s="1751"/>
      <c r="T16" s="1751"/>
      <c r="U16" s="1751"/>
      <c r="V16" s="1751"/>
    </row>
    <row r="17" spans="1:26" ht="15">
      <c r="A17" s="255" t="s">
        <v>285</v>
      </c>
      <c r="B17" s="137"/>
      <c r="C17" s="256">
        <f>SUM(C5:C16)</f>
        <v>5</v>
      </c>
      <c r="D17" s="256">
        <f>SUM(D5:D16)</f>
        <v>5</v>
      </c>
      <c r="E17" s="302"/>
      <c r="F17" s="302"/>
      <c r="G17" s="302"/>
      <c r="H17" s="302"/>
      <c r="I17" s="302"/>
      <c r="J17" s="1752"/>
      <c r="K17" s="1751"/>
      <c r="L17" s="1751"/>
      <c r="M17" s="1751"/>
      <c r="N17" s="1751"/>
      <c r="O17" s="1751"/>
      <c r="P17" s="1751"/>
      <c r="Q17" s="1751"/>
      <c r="R17" s="1751"/>
      <c r="S17" s="1751"/>
      <c r="T17" s="1751"/>
      <c r="U17" s="1751"/>
      <c r="V17" s="1751"/>
    </row>
    <row r="18" spans="1:26" ht="32.450000000000003" customHeight="1" thickBot="1">
      <c r="A18" s="257" t="s">
        <v>286</v>
      </c>
      <c r="B18" s="101"/>
      <c r="C18" s="258">
        <f>ROUND(C17/SUM(C17:D17),2)</f>
        <v>0.5</v>
      </c>
      <c r="D18" s="258">
        <f>1-C18</f>
        <v>0.5</v>
      </c>
      <c r="E18" s="3794" t="s">
        <v>2245</v>
      </c>
      <c r="F18" s="3795"/>
      <c r="G18" s="3795"/>
      <c r="H18" s="3795"/>
      <c r="I18" s="3795"/>
      <c r="J18" s="1751"/>
      <c r="K18" s="1751"/>
      <c r="L18" s="1751"/>
      <c r="M18" s="1751"/>
      <c r="N18" s="1751"/>
      <c r="O18" s="1751"/>
      <c r="P18" s="1751"/>
      <c r="Q18" s="1751"/>
      <c r="R18" s="1751"/>
      <c r="S18" s="1751"/>
      <c r="T18" s="1751"/>
      <c r="U18" s="1751"/>
      <c r="V18" s="1751"/>
    </row>
    <row r="19" spans="1:26" ht="15">
      <c r="A19" s="259" t="s">
        <v>287</v>
      </c>
      <c r="B19" s="260" t="s">
        <v>288</v>
      </c>
      <c r="C19" s="261">
        <f ca="1">SUMIF(INDIRECT("'"&amp;C4&amp;"'"&amp;"!A:A"),结果表!B19,INDIRECT("'"&amp;C4&amp;"'"&amp;"!B:B"))</f>
        <v>125431</v>
      </c>
      <c r="D19" s="262">
        <f ca="1">SUMIF(INDIRECT("'"&amp;D4&amp;"'"&amp;"!A:A"),结果表!B19,INDIRECT("'"&amp;D4&amp;"'"&amp;"!B:B"))</f>
        <v>146674</v>
      </c>
      <c r="E19" s="259" t="s">
        <v>289</v>
      </c>
      <c r="F19" s="260" t="s">
        <v>288</v>
      </c>
      <c r="G19" s="263">
        <f ca="1">ROUND(C19*$C$18+D19*$D$18,0)</f>
        <v>136053</v>
      </c>
      <c r="H19" s="264" t="s">
        <v>290</v>
      </c>
      <c r="I19" s="302"/>
      <c r="J19" s="1751"/>
      <c r="K19" s="1751"/>
      <c r="L19" s="1751"/>
      <c r="M19" s="1751"/>
      <c r="N19" s="1751"/>
      <c r="O19" s="1751"/>
      <c r="P19" s="1751"/>
      <c r="Q19" s="1751"/>
      <c r="R19" s="1751"/>
      <c r="S19" s="1751"/>
      <c r="T19" s="1751"/>
      <c r="U19" s="1751"/>
      <c r="V19" s="1751"/>
    </row>
    <row r="20" spans="1:26" ht="15">
      <c r="A20" s="265"/>
      <c r="B20" s="266" t="s">
        <v>291</v>
      </c>
      <c r="C20" s="267">
        <f ca="1">SUMIF(INDIRECT("'"&amp;C4&amp;"'"&amp;"!A:A"),结果表!B20,INDIRECT("'"&amp;C4&amp;"'"&amp;"!B:B"))</f>
        <v>20985</v>
      </c>
      <c r="D20" s="268">
        <f ca="1">SUMIF(INDIRECT("'"&amp;D4&amp;"'"&amp;"!A:A"),结果表!B20,INDIRECT("'"&amp;D4&amp;"'"&amp;"!B:B"))</f>
        <v>24539</v>
      </c>
      <c r="E20" s="265"/>
      <c r="F20" s="266" t="s">
        <v>291</v>
      </c>
      <c r="G20" s="269">
        <f ca="1">ROUND(C20*$C$18+D20*$D$18,0)</f>
        <v>22762</v>
      </c>
      <c r="H20" s="270" t="s">
        <v>292</v>
      </c>
      <c r="I20" s="302"/>
      <c r="J20" s="1751"/>
      <c r="K20" s="1751">
        <f ca="1">G19/'数据-汇总表'!F27</f>
        <v>3.5456728889834035</v>
      </c>
      <c r="L20" s="1751"/>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68673</v>
      </c>
      <c r="D21" s="144">
        <f ca="1">SUMIF(INDIRECT("'"&amp;D4&amp;"'"&amp;"!A:A"),结果表!B21,INDIRECT("'"&amp;D4&amp;"'"&amp;"!B:B"))</f>
        <v>80303</v>
      </c>
      <c r="E21" s="265"/>
      <c r="F21" s="271" t="s">
        <v>293</v>
      </c>
      <c r="G21" s="273">
        <f ca="1">ROUND(C21*$C$18+D21*$D$18,0)</f>
        <v>74488</v>
      </c>
      <c r="H21" s="1119" t="s">
        <v>292</v>
      </c>
      <c r="I21" s="302"/>
      <c r="J21" s="1751"/>
      <c r="K21" s="1751">
        <f ca="1">G35+[3]结果表!$G$35+[4]结果表!$G$35</f>
        <v>3698</v>
      </c>
      <c r="L21" s="1751"/>
      <c r="M21" s="1751"/>
      <c r="N21" s="1751"/>
      <c r="O21" s="1751"/>
      <c r="P21" s="1751"/>
      <c r="Q21" s="1751"/>
      <c r="R21" s="1751"/>
      <c r="S21" s="1751"/>
      <c r="T21" s="1751"/>
      <c r="U21" s="1751"/>
      <c r="V21" s="1751"/>
    </row>
    <row r="22" spans="1:26" ht="15.75" thickBot="1">
      <c r="A22" s="122" t="s">
        <v>294</v>
      </c>
      <c r="B22" s="1120"/>
      <c r="C22" s="1121"/>
      <c r="D22" s="274">
        <f ca="1">IF(C19&lt;D19,D19/C19-1,C19/D19-1)</f>
        <v>0.16936004655946291</v>
      </c>
      <c r="E22" s="275"/>
      <c r="F22" s="276"/>
      <c r="G22" s="277">
        <f ca="1">ROUND(G19/('数据-汇总表'!D3/666.67),0)</f>
        <v>4966</v>
      </c>
      <c r="H22" s="278" t="s">
        <v>295</v>
      </c>
      <c r="I22" s="302"/>
      <c r="J22" s="1751"/>
      <c r="K22" s="1751"/>
      <c r="L22" s="1751"/>
      <c r="M22" s="1751"/>
      <c r="N22" s="1751"/>
      <c r="O22" s="1751"/>
      <c r="P22" s="1751"/>
      <c r="Q22" s="1751"/>
      <c r="R22" s="1751"/>
      <c r="S22" s="1751"/>
      <c r="T22" s="1751"/>
      <c r="U22" s="1751"/>
      <c r="V22" s="1751"/>
    </row>
    <row r="23" spans="1:26" ht="13.5"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768"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8">
      <c r="A25" s="3769"/>
      <c r="B25" s="1189" t="s">
        <v>297</v>
      </c>
      <c r="C25" s="281">
        <f>IF(B30=0,0,C30)</f>
        <v>0</v>
      </c>
      <c r="D25" s="282"/>
      <c r="E25" s="302"/>
      <c r="F25" s="302"/>
      <c r="G25" s="302"/>
      <c r="H25" s="302"/>
      <c r="I25" s="302"/>
      <c r="J25" s="1751"/>
      <c r="K25" s="1123" t="str">
        <f ca="1">项目基本情况!A17&amp;"国有建设用地使用权价格："&amp;O38&amp;"万元"</f>
        <v>出让国有建设用地使用权价格：136053万元</v>
      </c>
      <c r="L25" s="1124"/>
      <c r="M25" s="1124"/>
      <c r="N25" s="1124"/>
      <c r="O25" s="1125"/>
      <c r="P25" s="1751"/>
      <c r="Q25" s="1751"/>
      <c r="R25" s="1751"/>
      <c r="S25" s="1751"/>
      <c r="T25" s="1751"/>
      <c r="U25" s="1751"/>
      <c r="V25" s="1751"/>
    </row>
    <row r="26" spans="1:26" s="1122" customFormat="1" ht="18">
      <c r="A26" s="284" t="s">
        <v>298</v>
      </c>
      <c r="B26" s="285" t="s">
        <v>299</v>
      </c>
      <c r="C26" s="285" t="s">
        <v>300</v>
      </c>
      <c r="D26" s="286" t="s">
        <v>301</v>
      </c>
      <c r="E26" s="302"/>
      <c r="F26" s="302"/>
      <c r="G26" s="302"/>
      <c r="H26" s="302"/>
      <c r="I26" s="302"/>
      <c r="J26" s="1751"/>
      <c r="K26" s="1126" t="str">
        <f ca="1">"大写金额：人民币"&amp;NUMBERSTRING(INT(O38*10000),2)&amp;"元整"</f>
        <v>大写金额：人民币壹拾叁亿陆仟零伍拾叁万元整</v>
      </c>
      <c r="L26" s="1120"/>
      <c r="M26" s="1120"/>
      <c r="N26" s="1120"/>
      <c r="O26" s="1119"/>
      <c r="P26" s="1751"/>
      <c r="Q26" s="1751"/>
      <c r="R26" s="1751"/>
      <c r="S26" s="1751"/>
      <c r="T26" s="1751"/>
      <c r="U26" s="1751"/>
      <c r="V26" s="1751"/>
      <c r="W26" s="283"/>
      <c r="X26" s="283"/>
      <c r="Y26" s="283"/>
      <c r="Z26" s="283"/>
    </row>
    <row r="27" spans="1:26" ht="18">
      <c r="A27" s="3669"/>
      <c r="B27" s="285"/>
      <c r="C27" s="285"/>
      <c r="D27" s="286"/>
      <c r="E27" s="302"/>
      <c r="F27" s="302"/>
      <c r="G27" s="302"/>
      <c r="H27" s="302"/>
      <c r="I27" s="302"/>
      <c r="J27" s="1751"/>
      <c r="K27" s="1126" t="str">
        <f ca="1">"单位面积地价："&amp;M38&amp;"元/平方米"</f>
        <v>单位面积地价：74488元/平方米</v>
      </c>
      <c r="L27" s="1120"/>
      <c r="M27" s="1120"/>
      <c r="N27" s="1120"/>
      <c r="O27" s="1119"/>
      <c r="P27" s="1751"/>
      <c r="Q27" s="1751"/>
      <c r="R27" s="1751"/>
      <c r="S27" s="1751"/>
      <c r="T27" s="1751"/>
      <c r="U27" s="1751"/>
      <c r="V27" s="1751"/>
    </row>
    <row r="28" spans="1:26" ht="18.75" customHeight="1">
      <c r="A28" s="284"/>
      <c r="B28" s="285"/>
      <c r="C28" s="285"/>
      <c r="D28" s="286"/>
      <c r="E28" s="302"/>
      <c r="F28" s="302"/>
      <c r="G28" s="302"/>
      <c r="H28" s="302"/>
      <c r="I28" s="302"/>
      <c r="J28" s="1751"/>
      <c r="K28" s="1126" t="str">
        <f ca="1">"楼面地价："&amp;N38&amp;"元/平方米"</f>
        <v>楼面地价：22762元/平方米</v>
      </c>
      <c r="L28" s="1120"/>
      <c r="M28" s="1120"/>
      <c r="N28" s="1120"/>
      <c r="O28" s="1119"/>
      <c r="P28" s="1751"/>
      <c r="V28" s="1751"/>
    </row>
    <row r="29" spans="1:26" ht="18">
      <c r="A29" s="284"/>
      <c r="B29" s="285"/>
      <c r="C29" s="285"/>
      <c r="D29" s="286"/>
      <c r="E29" s="302"/>
      <c r="F29" s="302"/>
      <c r="G29" s="302"/>
      <c r="H29" s="302"/>
      <c r="I29" s="302"/>
      <c r="J29" s="1751"/>
      <c r="K29" s="1126" t="str">
        <f ca="1">IF(OR(项目基本情况!E8="抵押价格",项目基本情况!E8="已注销及未注销"),"抵押价格："&amp;O39&amp;"万元","——")</f>
        <v>抵押价格：134815万元</v>
      </c>
      <c r="L29" s="1120"/>
      <c r="M29" s="1120"/>
      <c r="N29" s="1120"/>
      <c r="O29" s="1119"/>
      <c r="P29" s="1751"/>
      <c r="V29" s="1751"/>
    </row>
    <row r="30" spans="1:26" ht="18.75" thickBot="1">
      <c r="A30" s="2554" t="s">
        <v>302</v>
      </c>
      <c r="B30" s="300"/>
      <c r="C30" s="300"/>
      <c r="D30" s="301"/>
      <c r="E30" s="2745" t="s">
        <v>2246</v>
      </c>
      <c r="F30" s="302"/>
      <c r="G30" s="302"/>
      <c r="H30" s="302"/>
      <c r="I30" s="302"/>
      <c r="J30" s="1751"/>
      <c r="K30" s="1126" t="str">
        <f ca="1">IF(K29="——","——","大写金额：人民币"&amp;NUMBERSTRING(INT(O39*10000),2)&amp;"元整")</f>
        <v>大写金额：人民币壹拾叁亿肆仟捌佰壹拾伍万元整</v>
      </c>
      <c r="L30" s="1120"/>
      <c r="M30" s="1120"/>
      <c r="N30" s="1120"/>
      <c r="O30" s="1119"/>
      <c r="P30" s="1751"/>
      <c r="V30" s="1751"/>
    </row>
    <row r="31" spans="1:26" ht="24" customHeight="1" thickBot="1">
      <c r="A31" s="3796" t="s">
        <v>2247</v>
      </c>
      <c r="B31" s="3796"/>
      <c r="C31" s="3796"/>
      <c r="D31" s="3796"/>
      <c r="E31" s="3796"/>
      <c r="F31" s="3796"/>
      <c r="G31" s="3796"/>
      <c r="H31" s="3796"/>
      <c r="I31" s="3796"/>
      <c r="J31" s="1751"/>
      <c r="K31" s="2117" t="str">
        <f>IF(项目基本情况!E8="抵押价格","——","抵押担保权已注销时的抵押价格："&amp;O40&amp;"万元")</f>
        <v>——</v>
      </c>
      <c r="L31" s="2113"/>
      <c r="M31" s="2113"/>
      <c r="N31" s="2113"/>
      <c r="O31" s="2114"/>
      <c r="P31" s="1751"/>
      <c r="V31" s="1751"/>
    </row>
    <row r="32" spans="1:26" ht="19.5" thickTop="1" thickBot="1">
      <c r="A32" s="265" t="s">
        <v>303</v>
      </c>
      <c r="B32" s="2746" t="s">
        <v>1221</v>
      </c>
      <c r="C32" s="257">
        <f ca="1">G19-C24</f>
        <v>136053</v>
      </c>
      <c r="D32" s="2747" t="s">
        <v>1222</v>
      </c>
      <c r="E32" s="302"/>
      <c r="F32" s="302"/>
      <c r="G32" s="302"/>
      <c r="H32" s="302"/>
      <c r="I32" s="302"/>
      <c r="J32" s="1751"/>
      <c r="K32" s="2112" t="str">
        <f>IF(K31="——","——","大写金额：人民币"&amp;NUMBERSTRING(INT(O40*10000),2)&amp;"元整")</f>
        <v>——</v>
      </c>
      <c r="L32" s="2115"/>
      <c r="M32" s="2115"/>
      <c r="N32" s="2115"/>
      <c r="O32" s="2116"/>
      <c r="P32" s="1751"/>
      <c r="V32" s="1751"/>
    </row>
    <row r="33" spans="1:26" ht="18.75" thickBot="1">
      <c r="A33" s="289" t="s">
        <v>306</v>
      </c>
      <c r="B33" s="1238" t="s">
        <v>1223</v>
      </c>
      <c r="C33" s="255">
        <f ca="1">ROUND(C32*10000/'数据-汇总表'!E3,0)</f>
        <v>22762</v>
      </c>
      <c r="D33" s="1239" t="s">
        <v>1224</v>
      </c>
      <c r="E33" s="3768" t="s">
        <v>304</v>
      </c>
      <c r="F33" s="287" t="s">
        <v>305</v>
      </c>
      <c r="G33" s="288"/>
      <c r="H33" s="941" t="s">
        <v>3325</v>
      </c>
      <c r="I33" s="1127"/>
      <c r="J33" s="1751"/>
      <c r="K33" s="1126" t="str">
        <f ca="1">IF(项目基本情况!E9="——","——","抵押净值："&amp;C46&amp;"万元")</f>
        <v>抵押净值：57741万元</v>
      </c>
      <c r="L33" s="1120"/>
      <c r="M33" s="1120"/>
      <c r="N33" s="1120"/>
      <c r="O33" s="1119"/>
      <c r="P33" s="1751"/>
      <c r="V33" s="1751"/>
    </row>
    <row r="34" spans="1:26" s="1122" customFormat="1" ht="18.75" thickBot="1">
      <c r="A34" s="291"/>
      <c r="B34" s="1240" t="s">
        <v>1225</v>
      </c>
      <c r="C34" s="255">
        <f ca="1">ROUND(C32*10000/'数据-汇总表'!D3,0)</f>
        <v>74488</v>
      </c>
      <c r="D34" s="1241" t="s">
        <v>1224</v>
      </c>
      <c r="E34" s="3812"/>
      <c r="F34" s="123" t="s">
        <v>307</v>
      </c>
      <c r="G34" s="290"/>
      <c r="H34" s="101"/>
      <c r="I34" s="302"/>
      <c r="J34" s="1751"/>
      <c r="K34" s="1129" t="str">
        <f ca="1">IF(K33="——","——","大写金额：人民币"&amp;NUMBERSTRING(INT(O41*10000),2)&amp;"元整")</f>
        <v>大写金额：人民币伍亿柒仟柒佰肆拾壹万元整</v>
      </c>
      <c r="L34" s="1130"/>
      <c r="M34" s="1130"/>
      <c r="N34" s="1130"/>
      <c r="O34" s="1131"/>
      <c r="P34" s="1751"/>
      <c r="Q34" s="283"/>
      <c r="R34" s="283"/>
      <c r="S34" s="283"/>
      <c r="T34" s="283"/>
      <c r="U34" s="283"/>
      <c r="V34" s="1751"/>
      <c r="W34" s="283"/>
      <c r="X34" s="283"/>
      <c r="Y34" s="283"/>
      <c r="Z34" s="283"/>
    </row>
    <row r="35" spans="1:26" ht="15.75" thickBot="1">
      <c r="A35" s="275"/>
      <c r="B35" s="1242"/>
      <c r="C35" s="1243">
        <f ca="1">ROUND(C32/('数据-汇总表'!D3/666.67),0)</f>
        <v>4966</v>
      </c>
      <c r="D35" s="1244" t="s">
        <v>1226</v>
      </c>
      <c r="E35" s="3813"/>
      <c r="F35" s="292" t="s">
        <v>308</v>
      </c>
      <c r="G35" s="943">
        <f ca="1">E37</f>
        <v>1238</v>
      </c>
      <c r="H35" s="942" t="s">
        <v>309</v>
      </c>
      <c r="I35" s="302"/>
      <c r="J35" s="1751"/>
      <c r="K35" s="3786" t="s">
        <v>316</v>
      </c>
      <c r="L35" s="3786" t="s">
        <v>317</v>
      </c>
      <c r="M35" s="1132" t="s">
        <v>318</v>
      </c>
      <c r="N35" s="3786" t="s">
        <v>319</v>
      </c>
      <c r="O35" s="3786" t="s">
        <v>320</v>
      </c>
      <c r="P35" s="1751"/>
      <c r="V35" s="1751"/>
    </row>
    <row r="36" spans="1:26" ht="16.5" customHeight="1">
      <c r="A36" s="294" t="s">
        <v>310</v>
      </c>
      <c r="B36" s="295" t="s">
        <v>299</v>
      </c>
      <c r="C36" s="296" t="s">
        <v>311</v>
      </c>
      <c r="D36" s="296" t="s">
        <v>312</v>
      </c>
      <c r="E36" s="297" t="s">
        <v>313</v>
      </c>
      <c r="F36" s="302"/>
      <c r="G36" s="302"/>
      <c r="H36" s="302"/>
      <c r="I36" s="302"/>
      <c r="J36" s="1753"/>
      <c r="K36" s="3787"/>
      <c r="L36" s="3787"/>
      <c r="M36" s="1134" t="s">
        <v>321</v>
      </c>
      <c r="N36" s="3787"/>
      <c r="O36" s="3787"/>
      <c r="P36" s="1751"/>
      <c r="V36" s="1751"/>
    </row>
    <row r="37" spans="1:26" ht="16.5" customHeight="1" thickBot="1">
      <c r="A37" s="1128" t="s">
        <v>314</v>
      </c>
      <c r="B37" s="298">
        <f>'数据-汇总表'!E20</f>
        <v>14080</v>
      </c>
      <c r="C37" s="285">
        <f ca="1">G20*0.15*0.25</f>
        <v>853.57499999999993</v>
      </c>
      <c r="D37" s="3670">
        <v>3.0499999999999999E-2</v>
      </c>
      <c r="E37" s="286">
        <f ca="1">ROUND(B37*C37*(1+D37)/10000,0)</f>
        <v>1238</v>
      </c>
      <c r="F37" s="302"/>
      <c r="G37" s="302"/>
      <c r="H37" s="302"/>
      <c r="I37" s="302"/>
      <c r="J37" s="1753"/>
      <c r="K37" s="3788"/>
      <c r="L37" s="3788"/>
      <c r="M37" s="1135"/>
      <c r="N37" s="3788"/>
      <c r="O37" s="3788"/>
      <c r="P37" s="1751"/>
      <c r="V37" s="1751"/>
    </row>
    <row r="38" spans="1:26" ht="16.5" customHeight="1" thickBot="1">
      <c r="A38" s="1128" t="s">
        <v>315</v>
      </c>
      <c r="B38" s="298"/>
      <c r="C38" s="285"/>
      <c r="D38" s="285"/>
      <c r="E38" s="286"/>
      <c r="F38" s="302"/>
      <c r="G38" s="302"/>
      <c r="H38" s="302"/>
      <c r="I38" s="302"/>
      <c r="J38" s="1753"/>
      <c r="K38" s="1136">
        <f>'数据-汇总表'!D3</f>
        <v>18265.05</v>
      </c>
      <c r="L38" s="1137">
        <f>'数据-汇总表'!E3</f>
        <v>59771.28</v>
      </c>
      <c r="M38" s="1137">
        <f ca="1">C34</f>
        <v>74488</v>
      </c>
      <c r="N38" s="1137">
        <f ca="1">C33</f>
        <v>22762</v>
      </c>
      <c r="O38" s="1138">
        <f ca="1">C32</f>
        <v>136053</v>
      </c>
      <c r="P38" s="1751"/>
      <c r="V38" s="1751"/>
    </row>
    <row r="39" spans="1:26" ht="16.5" customHeight="1" thickBot="1">
      <c r="A39" s="1133"/>
      <c r="B39" s="299"/>
      <c r="C39" s="300"/>
      <c r="D39" s="300"/>
      <c r="E39" s="301"/>
      <c r="F39" s="302"/>
      <c r="G39" s="302"/>
      <c r="H39" s="302"/>
      <c r="I39" s="302"/>
      <c r="J39" s="1753"/>
      <c r="K39" s="3826" t="str">
        <f>MID(A44,3,LEN(A44)-2)</f>
        <v>抵押价格</v>
      </c>
      <c r="L39" s="3827"/>
      <c r="M39" s="3827"/>
      <c r="N39" s="3828"/>
      <c r="O39" s="1246">
        <f ca="1">C44</f>
        <v>134815</v>
      </c>
      <c r="P39" s="1751"/>
      <c r="V39" s="1751"/>
    </row>
    <row r="40" spans="1:26" ht="19.5" thickBot="1">
      <c r="A40" s="100" t="s">
        <v>810</v>
      </c>
      <c r="B40" s="302"/>
      <c r="C40" s="302"/>
      <c r="D40" s="302"/>
      <c r="E40" s="302"/>
      <c r="F40" s="302"/>
      <c r="G40" s="302"/>
      <c r="H40" s="302"/>
      <c r="I40" s="302"/>
      <c r="J40" s="1753"/>
      <c r="K40" s="3826" t="str">
        <f>MID(A45,3,LEN(A45)-2)</f>
        <v/>
      </c>
      <c r="L40" s="3827"/>
      <c r="M40" s="3827"/>
      <c r="N40" s="3828"/>
      <c r="O40" s="1246" t="str">
        <f>C45</f>
        <v>——</v>
      </c>
      <c r="P40" s="1751"/>
      <c r="V40" s="1751"/>
    </row>
    <row r="41" spans="1:26" ht="16.5" thickBot="1">
      <c r="A41" s="303" t="s">
        <v>322</v>
      </c>
      <c r="B41" s="304"/>
      <c r="C41" s="305" t="s">
        <v>323</v>
      </c>
      <c r="D41" s="306" t="s">
        <v>324</v>
      </c>
      <c r="E41" s="306" t="s">
        <v>325</v>
      </c>
      <c r="F41" s="307" t="s">
        <v>326</v>
      </c>
      <c r="G41" s="302"/>
      <c r="H41" s="302"/>
      <c r="I41" s="302"/>
      <c r="J41" s="1753"/>
      <c r="K41" s="3826" t="str">
        <f>MID(A46,3,LEN(A46)-2)</f>
        <v>抵押净值</v>
      </c>
      <c r="L41" s="3827"/>
      <c r="M41" s="3827"/>
      <c r="N41" s="3828"/>
      <c r="O41" s="1246">
        <f ca="1">C46</f>
        <v>57741</v>
      </c>
      <c r="P41" s="1751"/>
      <c r="V41" s="1751"/>
    </row>
    <row r="42" spans="1:26" ht="29.25">
      <c r="A42" s="3770" t="s">
        <v>1585</v>
      </c>
      <c r="B42" s="3771"/>
      <c r="C42" s="255">
        <f ca="1">C32</f>
        <v>136053</v>
      </c>
      <c r="D42" s="308">
        <f ca="1">C33</f>
        <v>22762</v>
      </c>
      <c r="E42" s="308">
        <f ca="1">C34</f>
        <v>74488</v>
      </c>
      <c r="F42" s="309">
        <f ca="1">C35</f>
        <v>4966</v>
      </c>
      <c r="G42" s="302"/>
      <c r="H42" s="302"/>
      <c r="I42" s="310"/>
      <c r="J42" s="1753"/>
      <c r="K42" s="1139" t="s">
        <v>327</v>
      </c>
      <c r="L42" s="1770" t="s">
        <v>328</v>
      </c>
      <c r="M42" s="1140" t="s">
        <v>329</v>
      </c>
      <c r="N42" s="1771" t="s">
        <v>330</v>
      </c>
      <c r="O42" s="1772" t="s">
        <v>331</v>
      </c>
      <c r="P42" s="1751"/>
      <c r="V42" s="1751"/>
    </row>
    <row r="43" spans="1:26" ht="30">
      <c r="A43" s="3781" t="s">
        <v>2012</v>
      </c>
      <c r="B43" s="3782"/>
      <c r="C43" s="255">
        <f ca="1">IF(H33="正常操作",G33+G34+G35,G34+G35)</f>
        <v>1238</v>
      </c>
      <c r="D43" s="308" t="s">
        <v>17</v>
      </c>
      <c r="E43" s="308" t="s">
        <v>18</v>
      </c>
      <c r="F43" s="309" t="s">
        <v>18</v>
      </c>
      <c r="G43" s="2345" t="s">
        <v>877</v>
      </c>
      <c r="H43" s="302"/>
      <c r="I43" s="310"/>
      <c r="J43" s="1753"/>
      <c r="K43" s="1141" t="str">
        <f>C4</f>
        <v>比较法-住宅、综合</v>
      </c>
      <c r="L43" s="1142">
        <f ca="1">IF(L42="估价结果/万元",C19,C20)</f>
        <v>125431</v>
      </c>
      <c r="M43" s="1143">
        <f>C18</f>
        <v>0.5</v>
      </c>
      <c r="N43" s="1144">
        <f ca="1">IF(N42="测算结果/万元",G19,G20)</f>
        <v>136053</v>
      </c>
      <c r="O43" s="1145">
        <f ca="1">IF(O42="最终结果/万元",C32,C33)</f>
        <v>136053</v>
      </c>
      <c r="P43" s="1751"/>
      <c r="V43" s="1751"/>
    </row>
    <row r="44" spans="1:26" ht="30.75" thickBot="1">
      <c r="A44" s="3770" t="str">
        <f>IF(OR(项目基本情况!E8="抵押价格",项目基本情况!E8="已注销及未注销"),"3.抵押价格","——")</f>
        <v>3.抵押价格</v>
      </c>
      <c r="B44" s="3771"/>
      <c r="C44" s="255">
        <f ca="1">IF(A44="——","——",C42-C43)</f>
        <v>134815</v>
      </c>
      <c r="D44" s="308">
        <f ca="1">ROUND(C44*10000/'数据-汇总表'!E3,0)</f>
        <v>22555</v>
      </c>
      <c r="E44" s="308">
        <f ca="1">ROUND(C44*10000/'数据-汇总表'!D3,0)</f>
        <v>73810</v>
      </c>
      <c r="F44" s="309">
        <f ca="1">ROUND(C44/('数据-汇总表'!D3/666.67),0)</f>
        <v>4921</v>
      </c>
      <c r="G44" s="302"/>
      <c r="H44" s="302"/>
      <c r="I44" s="310"/>
      <c r="J44" s="1753"/>
      <c r="K44" s="1146" t="str">
        <f>D4</f>
        <v>剩余法-待开发</v>
      </c>
      <c r="L44" s="1147">
        <f ca="1">IF(L42="估价结果/万元",D19,D20)</f>
        <v>146674</v>
      </c>
      <c r="M44" s="1148">
        <f>D18</f>
        <v>0.5</v>
      </c>
      <c r="N44" s="1149"/>
      <c r="O44" s="1150"/>
      <c r="P44" s="1751"/>
      <c r="V44" s="1751"/>
    </row>
    <row r="45" spans="1:26" ht="15">
      <c r="A45" s="3776" t="str">
        <f>IF(项目基本情况!E8="已注销及未注销","4.抵押担保权已注销时的抵押价格",IF(项目基本情况!E8="已注销","3.抵押担保权已注销时的抵押价格","——"))</f>
        <v>——</v>
      </c>
      <c r="B45" s="3777"/>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5.75" thickBot="1">
      <c r="A46" s="3772" t="str">
        <f>IF(项目基本情况!E9="抵押净值",IF(A45="——","4.抵押净值","5.抵押净值"),"——")</f>
        <v>4.抵押净值</v>
      </c>
      <c r="B46" s="3773"/>
      <c r="C46" s="311">
        <f ca="1">IF(A46="——","——",O79)</f>
        <v>57741</v>
      </c>
      <c r="D46" s="308">
        <f ca="1">ROUND(C46*10000/'数据-汇总表'!E3,0)</f>
        <v>9660</v>
      </c>
      <c r="E46" s="308">
        <f ca="1">ROUND(C46*10000/'数据-汇总表'!D3,0)</f>
        <v>31613</v>
      </c>
      <c r="F46" s="309">
        <f ca="1">ROUND(C46/('数据-汇总表'!D3/666.67),0)</f>
        <v>2108</v>
      </c>
      <c r="G46" s="302"/>
      <c r="H46" s="302"/>
      <c r="I46" s="310"/>
      <c r="J46" s="1753"/>
      <c r="K46" s="1751"/>
      <c r="L46" s="1751"/>
      <c r="M46" s="1751"/>
      <c r="N46" s="1751"/>
      <c r="O46" s="1751"/>
      <c r="P46" s="1751"/>
      <c r="Q46" s="1751"/>
      <c r="R46" s="1751"/>
      <c r="S46" s="1751"/>
      <c r="T46" s="1751"/>
      <c r="U46" s="1751"/>
      <c r="V46" s="1751"/>
    </row>
    <row r="47" spans="1:26" ht="15.75">
      <c r="A47" s="312" t="s">
        <v>332</v>
      </c>
      <c r="B47" s="1151"/>
      <c r="C47" s="313" t="s">
        <v>333</v>
      </c>
      <c r="D47" s="314"/>
      <c r="E47" s="314"/>
      <c r="F47" s="314"/>
      <c r="G47" s="315"/>
      <c r="H47" s="316"/>
      <c r="I47" s="317"/>
      <c r="J47" s="1753"/>
      <c r="K47" s="302" t="str">
        <f ca="1">IF(C43=0,"本次评估"&amp;IF(G43="设定","设定估价对象","")&amp;"不存在"&amp;MID(A43,3,LEN(A43)-2),"本次评估"&amp;IF(G43="设定","设定","")&amp;MID(A43,3,LEN(A43)-2)&amp;"为人民币"&amp;C43&amp;"万元整。")</f>
        <v>本次评估估价师知悉的法定优先受偿款为人民币1238万元整。</v>
      </c>
      <c r="L47" s="1751"/>
      <c r="M47" s="1751"/>
      <c r="N47" s="1751"/>
      <c r="O47" s="1751"/>
      <c r="P47" s="1751"/>
      <c r="Q47" s="1751"/>
      <c r="R47" s="1751"/>
      <c r="S47" s="1751"/>
      <c r="T47" s="1751"/>
      <c r="U47" s="1751"/>
      <c r="V47" s="1751"/>
    </row>
    <row r="48" spans="1:26" ht="12.75">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2.75">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2.75">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2.75">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2.75">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2.75">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2.75">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2.75">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2.75">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2.75">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2.75">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2.75">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2.75">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2.75">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8.75">
      <c r="A62" s="1152" t="s">
        <v>339</v>
      </c>
      <c r="B62" s="1153"/>
      <c r="C62" s="1153"/>
      <c r="D62" s="1154"/>
      <c r="E62" s="1154"/>
      <c r="F62" s="1155"/>
      <c r="G62" s="1155"/>
      <c r="H62" s="1155"/>
      <c r="I62" s="1155"/>
      <c r="J62" s="1755"/>
      <c r="K62" s="1751"/>
      <c r="L62" s="1751"/>
      <c r="M62" s="1751"/>
      <c r="N62" s="1751"/>
      <c r="O62" s="1751"/>
      <c r="P62" s="1751"/>
      <c r="Q62" s="1751"/>
      <c r="R62" s="1751"/>
      <c r="S62" s="1751"/>
      <c r="T62" s="1751"/>
      <c r="U62" s="1751"/>
      <c r="V62" s="1751"/>
    </row>
    <row r="63" spans="1:22" ht="14.25" customHeight="1" thickBot="1">
      <c r="A63" s="3820" t="s">
        <v>340</v>
      </c>
      <c r="B63" s="3821"/>
      <c r="C63" s="3822"/>
      <c r="D63" s="332">
        <f ca="1">ROUND(C42*F63,0)</f>
        <v>136053</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778" t="s">
        <v>344</v>
      </c>
      <c r="B64" s="3779"/>
      <c r="C64" s="3779"/>
      <c r="D64" s="3779"/>
      <c r="E64" s="3779"/>
      <c r="F64" s="3779"/>
      <c r="G64" s="3780"/>
      <c r="H64" s="1156"/>
      <c r="I64" s="910"/>
      <c r="J64" s="1742"/>
      <c r="K64" s="1376"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6"/>
      <c r="I65" s="910"/>
      <c r="J65" s="1742"/>
      <c r="K65" s="1157"/>
      <c r="L65" s="1158"/>
      <c r="M65" s="1158"/>
      <c r="N65" s="1190" t="s">
        <v>345</v>
      </c>
      <c r="O65" s="1191"/>
      <c r="P65" s="1192"/>
      <c r="Q65" s="1751"/>
      <c r="R65" s="1751"/>
      <c r="S65" s="1751"/>
      <c r="T65" s="1751"/>
      <c r="U65" s="1751"/>
      <c r="V65" s="1751"/>
    </row>
    <row r="66" spans="1:22" ht="25.5">
      <c r="A66" s="3774" t="s">
        <v>352</v>
      </c>
      <c r="B66" s="3775"/>
      <c r="C66" s="3775"/>
      <c r="D66" s="252" t="b">
        <f>IF(H66="情况1",0,IF(H66="情况2",D70,IF(H66="情况3",D71,IF(H66="情况4",D72))))</f>
        <v>0</v>
      </c>
      <c r="E66" s="954" t="str">
        <f>IF(H66="情况4","(销售额-原购置价)×税（费）率","销售额×税（费）率")</f>
        <v>销售额×税（费）率</v>
      </c>
      <c r="F66" s="341">
        <f>IF(H66="情况1","免征",'数据-取费表'!B41)</f>
        <v>5.6000000000000001E-2</v>
      </c>
      <c r="G66" s="342" t="s">
        <v>353</v>
      </c>
      <c r="H66" s="184"/>
      <c r="I66" s="1156"/>
      <c r="J66" s="1757"/>
      <c r="K66" s="1159">
        <v>1</v>
      </c>
      <c r="L66" s="3835" t="s">
        <v>351</v>
      </c>
      <c r="M66" s="3836"/>
      <c r="N66" s="2109"/>
      <c r="O66" s="2110"/>
      <c r="P66" s="2111"/>
      <c r="Q66" s="1751"/>
      <c r="R66" s="1751"/>
      <c r="S66" s="1751"/>
      <c r="T66" s="1751"/>
      <c r="U66" s="1751"/>
      <c r="V66" s="1751"/>
    </row>
    <row r="67" spans="1:22" ht="25.5" customHeight="1">
      <c r="A67" s="343" t="s">
        <v>355</v>
      </c>
      <c r="B67" s="3765" t="s">
        <v>356</v>
      </c>
      <c r="C67" s="3765"/>
      <c r="D67" s="344">
        <v>0</v>
      </c>
      <c r="E67" s="39" t="s">
        <v>357</v>
      </c>
      <c r="F67" s="60" t="s">
        <v>15</v>
      </c>
      <c r="G67" s="3823"/>
      <c r="H67" s="2748" t="s">
        <v>2248</v>
      </c>
      <c r="I67" s="2750"/>
      <c r="J67" s="1758"/>
      <c r="K67" s="1730">
        <v>2</v>
      </c>
      <c r="L67" s="3829" t="s">
        <v>354</v>
      </c>
      <c r="M67" s="3829"/>
      <c r="N67" s="1193">
        <f>'数据-取费表'!B2</f>
        <v>45175</v>
      </c>
      <c r="O67" s="1193"/>
      <c r="P67" s="1193"/>
      <c r="Q67" s="1751"/>
      <c r="R67" s="1751"/>
      <c r="S67" s="1751"/>
      <c r="T67" s="1751"/>
      <c r="U67" s="1751"/>
      <c r="V67" s="1751"/>
    </row>
    <row r="68" spans="1:22" ht="25.5" customHeight="1">
      <c r="A68" s="345"/>
      <c r="B68" s="3765" t="s">
        <v>359</v>
      </c>
      <c r="C68" s="3765"/>
      <c r="D68" s="346"/>
      <c r="E68" s="75"/>
      <c r="F68" s="347"/>
      <c r="G68" s="3824"/>
      <c r="H68" s="2749" t="s">
        <v>2249</v>
      </c>
      <c r="I68" s="2750"/>
      <c r="J68" s="1758"/>
      <c r="K68" s="1730">
        <v>3</v>
      </c>
      <c r="L68" s="3829" t="s">
        <v>358</v>
      </c>
      <c r="M68" s="3829"/>
      <c r="N68" s="1161">
        <f ca="1">C42</f>
        <v>136053</v>
      </c>
      <c r="O68" s="1161"/>
      <c r="P68" s="1161"/>
      <c r="Q68" s="1751"/>
      <c r="R68" s="1751"/>
      <c r="S68" s="1751"/>
      <c r="T68" s="1751"/>
      <c r="U68" s="1751"/>
      <c r="V68" s="1751"/>
    </row>
    <row r="69" spans="1:22" ht="23.45" customHeight="1">
      <c r="A69" s="348"/>
      <c r="B69" s="3765" t="s">
        <v>360</v>
      </c>
      <c r="C69" s="3765"/>
      <c r="D69" s="349"/>
      <c r="E69" s="71"/>
      <c r="F69" s="347"/>
      <c r="G69" s="3825"/>
      <c r="H69" s="2749" t="s">
        <v>2250</v>
      </c>
      <c r="I69" s="2750"/>
      <c r="J69" s="1758"/>
      <c r="K69" s="1162">
        <v>4</v>
      </c>
      <c r="L69" s="3839" t="s">
        <v>2157</v>
      </c>
      <c r="M69" s="3840"/>
      <c r="N69" s="1163">
        <f ca="1">C44</f>
        <v>134815</v>
      </c>
      <c r="O69" s="1163"/>
      <c r="P69" s="1163"/>
      <c r="Q69" s="1751"/>
      <c r="R69" s="1751"/>
      <c r="S69" s="1751"/>
      <c r="T69" s="1751"/>
      <c r="U69" s="1751"/>
      <c r="V69" s="1751"/>
    </row>
    <row r="70" spans="1:22" ht="24" customHeight="1">
      <c r="A70" s="350" t="s">
        <v>361</v>
      </c>
      <c r="B70" s="3765" t="s">
        <v>362</v>
      </c>
      <c r="C70" s="3765"/>
      <c r="D70" s="349">
        <f ca="1">ROUND(D63*'数据-取费表'!B41/(1+'数据-取费表'!C42),0)</f>
        <v>7256</v>
      </c>
      <c r="E70" s="15" t="s">
        <v>363</v>
      </c>
      <c r="F70" s="351">
        <f>'数据-取费表'!B41</f>
        <v>5.6000000000000001E-2</v>
      </c>
      <c r="G70" s="352"/>
      <c r="H70" s="302"/>
      <c r="I70" s="1160"/>
      <c r="J70" s="1758"/>
      <c r="K70" s="2521"/>
      <c r="L70" s="2522"/>
      <c r="M70" s="2522"/>
      <c r="N70" s="2523" t="s">
        <v>2161</v>
      </c>
      <c r="O70" s="2522"/>
      <c r="P70" s="2524"/>
      <c r="Q70" s="1751"/>
      <c r="R70" s="1751"/>
      <c r="S70" s="1751"/>
      <c r="T70" s="1751"/>
      <c r="U70" s="1751"/>
      <c r="V70" s="1751"/>
    </row>
    <row r="71" spans="1:22" ht="12" customHeight="1">
      <c r="A71" s="350" t="s">
        <v>369</v>
      </c>
      <c r="B71" s="3766" t="s">
        <v>2277</v>
      </c>
      <c r="C71" s="3767"/>
      <c r="D71" s="349">
        <f ca="1">ROUND(D63*'数据-取费表'!B41/(1+'数据-取费表'!C42),0)</f>
        <v>7256</v>
      </c>
      <c r="E71" s="15" t="s">
        <v>363</v>
      </c>
      <c r="F71" s="351">
        <f>'数据-取费表'!B41</f>
        <v>5.6000000000000001E-2</v>
      </c>
      <c r="G71" s="352"/>
      <c r="H71" s="302"/>
      <c r="I71" s="1160"/>
      <c r="J71" s="1758"/>
      <c r="K71" s="2520" t="s">
        <v>364</v>
      </c>
      <c r="L71" s="3841" t="s">
        <v>365</v>
      </c>
      <c r="M71" s="3841"/>
      <c r="N71" s="2520" t="s">
        <v>366</v>
      </c>
      <c r="O71" s="2520" t="s">
        <v>367</v>
      </c>
      <c r="P71" s="2520" t="s">
        <v>368</v>
      </c>
      <c r="Q71" s="1751"/>
      <c r="R71" s="1751"/>
      <c r="S71" s="1751"/>
      <c r="T71" s="1751"/>
      <c r="U71" s="1751"/>
      <c r="V71" s="1751"/>
    </row>
    <row r="72" spans="1:22" ht="12" customHeight="1">
      <c r="A72" s="350" t="s">
        <v>371</v>
      </c>
      <c r="B72" s="3766" t="s">
        <v>2278</v>
      </c>
      <c r="C72" s="3767"/>
      <c r="D72" s="349">
        <f ca="1">C86</f>
        <v>7256</v>
      </c>
      <c r="E72" s="71" t="s">
        <v>372</v>
      </c>
      <c r="F72" s="351">
        <f>'数据-取费表'!B41</f>
        <v>5.6000000000000001E-2</v>
      </c>
      <c r="G72" s="352"/>
      <c r="H72" s="1166"/>
      <c r="I72" s="1160"/>
      <c r="J72" s="1758"/>
      <c r="K72" s="1730">
        <v>1</v>
      </c>
      <c r="L72" s="3816" t="s">
        <v>370</v>
      </c>
      <c r="M72" s="3816"/>
      <c r="N72" s="1164" t="b">
        <f>D66</f>
        <v>0</v>
      </c>
      <c r="O72" s="1635" t="str">
        <f>E66</f>
        <v>销售额×税（费）率</v>
      </c>
      <c r="P72" s="1165">
        <f>F66</f>
        <v>5.6000000000000001E-2</v>
      </c>
      <c r="Q72" s="1751"/>
      <c r="R72" s="1751"/>
      <c r="S72" s="1751"/>
      <c r="T72" s="1751"/>
      <c r="U72" s="1751"/>
      <c r="V72" s="1751"/>
    </row>
    <row r="73" spans="1:22" ht="24" customHeight="1">
      <c r="A73" s="3811" t="s">
        <v>374</v>
      </c>
      <c r="B73" s="3775"/>
      <c r="C73" s="3775"/>
      <c r="D73" s="353">
        <f ca="1">IF(H73="个人住宅",0,ROUND(D63*I73,0))</f>
        <v>68</v>
      </c>
      <c r="E73" s="15" t="s">
        <v>375</v>
      </c>
      <c r="F73" s="351" t="str">
        <f>IF(H73="正常",I73,"免征")</f>
        <v>免征</v>
      </c>
      <c r="G73" s="352"/>
      <c r="H73" s="184"/>
      <c r="I73" s="351">
        <f>'数据-取费表'!B49</f>
        <v>5.0000000000000001E-4</v>
      </c>
      <c r="J73" s="1758"/>
      <c r="K73" s="1730">
        <v>2</v>
      </c>
      <c r="L73" s="3816" t="s">
        <v>373</v>
      </c>
      <c r="M73" s="3816"/>
      <c r="N73" s="1164">
        <f t="shared" ref="N73:P74" ca="1" si="0">D73</f>
        <v>68</v>
      </c>
      <c r="O73" s="1635" t="str">
        <f t="shared" si="0"/>
        <v>销售额×税（费）率</v>
      </c>
      <c r="P73" s="1165" t="str">
        <f t="shared" si="0"/>
        <v>免征</v>
      </c>
      <c r="Q73" s="1751"/>
      <c r="R73" s="1751"/>
      <c r="S73" s="1751"/>
      <c r="T73" s="1751"/>
      <c r="U73" s="1751"/>
      <c r="V73" s="1751"/>
    </row>
    <row r="74" spans="1:22" ht="24.75">
      <c r="A74" s="3811" t="s">
        <v>377</v>
      </c>
      <c r="B74" s="3775"/>
      <c r="C74" s="3775"/>
      <c r="D74" s="353">
        <f ca="1">IF(H74="个人住宅",D75,D76)</f>
        <v>77006</v>
      </c>
      <c r="E74" s="15" t="s">
        <v>378</v>
      </c>
      <c r="F74" s="351" t="str">
        <f>IF(H74="正常",F76,"免征")</f>
        <v>免征</v>
      </c>
      <c r="G74" s="944" t="s">
        <v>379</v>
      </c>
      <c r="H74" s="354"/>
      <c r="I74" s="40"/>
      <c r="J74" s="1758"/>
      <c r="K74" s="1730">
        <v>3</v>
      </c>
      <c r="L74" s="3816" t="s">
        <v>376</v>
      </c>
      <c r="M74" s="3816"/>
      <c r="N74" s="1164">
        <f t="shared" ca="1" si="0"/>
        <v>77006</v>
      </c>
      <c r="O74" s="1635" t="str">
        <f t="shared" si="0"/>
        <v>增值额×税（费）率</v>
      </c>
      <c r="P74" s="1167" t="str">
        <f t="shared" si="0"/>
        <v>免征</v>
      </c>
      <c r="Q74" s="1751"/>
      <c r="R74" s="1751"/>
      <c r="S74" s="1751"/>
      <c r="T74" s="1751"/>
      <c r="U74" s="1751"/>
      <c r="V74" s="1751"/>
    </row>
    <row r="75" spans="1:22" ht="12.75">
      <c r="A75" s="350" t="s">
        <v>380</v>
      </c>
      <c r="B75" s="3763" t="s">
        <v>381</v>
      </c>
      <c r="C75" s="3799"/>
      <c r="D75" s="355">
        <v>0</v>
      </c>
      <c r="E75" s="39" t="s">
        <v>382</v>
      </c>
      <c r="F75" s="356"/>
      <c r="G75" s="352"/>
      <c r="H75" s="40"/>
      <c r="I75" s="40"/>
      <c r="J75" s="1758"/>
      <c r="K75" s="2514">
        <f>IF(H77="非个人房产","",4)</f>
        <v>4</v>
      </c>
      <c r="L75" s="3816" t="str">
        <f>IF(H77="非个人房产","——","个人所得税")</f>
        <v>个人所得税</v>
      </c>
      <c r="M75" s="3816"/>
      <c r="N75" s="1168">
        <f>D77</f>
        <v>0</v>
      </c>
      <c r="O75" s="1636" t="str">
        <f>E77</f>
        <v>差额计税</v>
      </c>
      <c r="P75" s="1169">
        <f>F77</f>
        <v>0.01</v>
      </c>
      <c r="Q75" s="1751"/>
      <c r="R75" s="1751"/>
      <c r="S75" s="1751"/>
      <c r="T75" s="1751"/>
      <c r="U75" s="1751"/>
      <c r="V75" s="1751"/>
    </row>
    <row r="76" spans="1:22" ht="24.75">
      <c r="A76" s="350" t="s">
        <v>361</v>
      </c>
      <c r="B76" s="3763" t="s">
        <v>384</v>
      </c>
      <c r="C76" s="3764"/>
      <c r="D76" s="353">
        <f ca="1">IF(H76="转让取得",C99,C115)</f>
        <v>77006</v>
      </c>
      <c r="E76" s="15" t="s">
        <v>385</v>
      </c>
      <c r="F76" s="51" t="s">
        <v>15</v>
      </c>
      <c r="G76" s="352"/>
      <c r="H76" s="354"/>
      <c r="I76" s="40"/>
      <c r="J76" s="1758"/>
      <c r="K76" s="2514" t="str">
        <f>IF(项目基本情况!K6="上海银行",IF(K75="",4,K75+1),"")</f>
        <v/>
      </c>
      <c r="L76" s="3831" t="str">
        <f>IF(项目基本情况!K6="上海银行","其他处置费用","")</f>
        <v/>
      </c>
      <c r="M76" s="3832"/>
      <c r="N76" s="1164" t="str">
        <f>IF(项目基本情况!K6="上海银行",N89,"")</f>
        <v/>
      </c>
      <c r="O76" s="3833" t="str">
        <f>IF(项目基本情况!K6="上海银行","包含处置中涉及的律师、诉讼、拍卖、评估等费用","")</f>
        <v/>
      </c>
      <c r="P76" s="3834"/>
      <c r="Q76" s="1751"/>
      <c r="R76" s="1751"/>
      <c r="S76" s="1751"/>
      <c r="T76" s="1751"/>
      <c r="U76" s="1751"/>
      <c r="V76" s="1751"/>
    </row>
    <row r="77" spans="1:22" ht="24.75" thickBot="1">
      <c r="A77" s="3818" t="s">
        <v>387</v>
      </c>
      <c r="B77" s="3819"/>
      <c r="C77" s="3819"/>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5" t="s">
        <v>379</v>
      </c>
      <c r="H77" s="2752"/>
      <c r="I77" s="2751" t="s">
        <v>2251</v>
      </c>
      <c r="J77" s="1758"/>
      <c r="K77" s="3817">
        <f>IF(AND(K75="",K76=""),4,IF(项目基本情况!K6="上海银行",K76+1,K75+1))</f>
        <v>5</v>
      </c>
      <c r="L77" s="3816" t="s">
        <v>2158</v>
      </c>
      <c r="M77" s="2519" t="s">
        <v>383</v>
      </c>
      <c r="N77" s="1170"/>
      <c r="O77" s="1171">
        <f ca="1">SUMIF(N72:N76,"&lt;9e307")</f>
        <v>77074</v>
      </c>
      <c r="P77" s="1172"/>
      <c r="Q77" s="2517">
        <f ca="1">O77/N69</f>
        <v>0.5717019619478545</v>
      </c>
      <c r="R77" s="1751"/>
      <c r="S77" s="1751"/>
      <c r="T77" s="1751"/>
      <c r="U77" s="1751"/>
      <c r="V77" s="1751"/>
    </row>
    <row r="78" spans="1:22" ht="12" customHeight="1">
      <c r="A78" s="1173"/>
      <c r="B78" s="302"/>
      <c r="C78" s="302"/>
      <c r="D78" s="302"/>
      <c r="E78" s="40"/>
      <c r="F78" s="40"/>
      <c r="G78" s="40"/>
      <c r="H78" s="964"/>
      <c r="I78" s="302"/>
      <c r="J78" s="1758"/>
      <c r="K78" s="3817"/>
      <c r="L78" s="3816"/>
      <c r="M78" s="2519" t="s">
        <v>386</v>
      </c>
      <c r="N78" s="1170"/>
      <c r="O78" s="1171" t="str">
        <f ca="1">NUMBERSTRING(INT(O77*10000),2)&amp;"元整"</f>
        <v>柒亿柒仟零柒拾肆万元整</v>
      </c>
      <c r="P78" s="1172"/>
      <c r="Q78" s="1751"/>
      <c r="R78" s="1751"/>
      <c r="S78" s="1751"/>
      <c r="T78" s="1751"/>
      <c r="U78" s="1751"/>
      <c r="V78" s="1751"/>
    </row>
    <row r="79" spans="1:22" ht="13.5" thickBot="1">
      <c r="A79" s="3783" t="s">
        <v>388</v>
      </c>
      <c r="B79" s="3783"/>
      <c r="C79" s="3783"/>
      <c r="D79" s="3783"/>
      <c r="E79" s="3783"/>
      <c r="F79" s="40"/>
      <c r="G79" s="40"/>
      <c r="H79" s="964"/>
      <c r="I79" s="302"/>
      <c r="J79" s="1758"/>
      <c r="K79" s="3837">
        <f>K77+1</f>
        <v>6</v>
      </c>
      <c r="L79" s="3816" t="s">
        <v>2159</v>
      </c>
      <c r="M79" s="2519" t="s">
        <v>383</v>
      </c>
      <c r="N79" s="1170"/>
      <c r="O79" s="1171">
        <f ca="1">N69-O77</f>
        <v>57741</v>
      </c>
      <c r="P79" s="1172"/>
      <c r="Q79" s="1751"/>
      <c r="R79" s="1751"/>
      <c r="S79" s="1751"/>
      <c r="T79" s="1751"/>
      <c r="U79" s="1751"/>
      <c r="V79" s="1751"/>
    </row>
    <row r="80" spans="1:22" ht="25.5">
      <c r="A80" s="3784" t="s">
        <v>389</v>
      </c>
      <c r="B80" s="3785"/>
      <c r="C80" s="955"/>
      <c r="D80" s="955" t="s">
        <v>390</v>
      </c>
      <c r="E80" s="357" t="s">
        <v>391</v>
      </c>
      <c r="F80" s="40"/>
      <c r="G80" s="40"/>
      <c r="H80" s="964"/>
      <c r="I80" s="302"/>
      <c r="J80" s="1751"/>
      <c r="K80" s="3838"/>
      <c r="L80" s="3816"/>
      <c r="M80" s="2519" t="s">
        <v>386</v>
      </c>
      <c r="N80" s="1170"/>
      <c r="O80" s="1171" t="str">
        <f ca="1">NUMBERSTRING(INT(O79*10000),2)&amp;"元整"</f>
        <v>伍亿柒仟柒佰肆拾壹万元整</v>
      </c>
      <c r="P80" s="1172"/>
      <c r="Q80" s="1751"/>
      <c r="R80" s="1751"/>
      <c r="S80" s="1751"/>
      <c r="T80" s="1751"/>
      <c r="U80" s="1751"/>
      <c r="V80" s="1751"/>
    </row>
    <row r="81" spans="1:26" ht="13.5" thickBot="1">
      <c r="A81" s="368" t="s">
        <v>1352</v>
      </c>
      <c r="B81" s="358" t="s">
        <v>392</v>
      </c>
      <c r="C81" s="359">
        <f ca="1">ROUND((C82+C83)/(1+'数据-取费表'!C42),0)</f>
        <v>129574</v>
      </c>
      <c r="D81" s="360"/>
      <c r="E81" s="361"/>
      <c r="F81" s="40"/>
      <c r="G81" s="40"/>
      <c r="H81" s="964"/>
      <c r="I81" s="302"/>
      <c r="J81" s="1751"/>
      <c r="K81" s="2514">
        <f>K79+1</f>
        <v>7</v>
      </c>
      <c r="L81" s="3814" t="s">
        <v>2160</v>
      </c>
      <c r="M81" s="3815"/>
      <c r="N81" s="1174"/>
      <c r="O81" s="1175">
        <f ca="1">ROUND(O79*10000/'数据-汇总表'!E3,0)</f>
        <v>9660</v>
      </c>
      <c r="P81" s="1176"/>
      <c r="Q81" s="1751"/>
      <c r="R81" s="1751"/>
      <c r="S81" s="1751"/>
      <c r="T81" s="1751"/>
      <c r="U81" s="1751"/>
      <c r="V81" s="1751"/>
    </row>
    <row r="82" spans="1:26" ht="13.5" thickTop="1">
      <c r="A82" s="362" t="s">
        <v>1353</v>
      </c>
      <c r="B82" s="363" t="s">
        <v>393</v>
      </c>
      <c r="C82" s="364">
        <f ca="1">D63</f>
        <v>136053</v>
      </c>
      <c r="D82" s="365" t="s">
        <v>13</v>
      </c>
      <c r="E82" s="366"/>
      <c r="F82" s="40"/>
      <c r="G82" s="40"/>
      <c r="H82" s="964"/>
      <c r="I82" s="302"/>
      <c r="J82" s="1751"/>
      <c r="K82" s="1751"/>
      <c r="L82" s="1751"/>
      <c r="M82" s="1751"/>
      <c r="N82" s="1751"/>
      <c r="O82" s="1751"/>
      <c r="P82" s="1751"/>
      <c r="Q82" s="1751"/>
      <c r="R82" s="1751"/>
      <c r="S82" s="1751"/>
      <c r="T82" s="1751"/>
      <c r="U82" s="1751"/>
      <c r="V82" s="1751"/>
    </row>
    <row r="83" spans="1:26" ht="12.75">
      <c r="A83" s="362" t="s">
        <v>1354</v>
      </c>
      <c r="B83" s="363" t="s">
        <v>394</v>
      </c>
      <c r="C83" s="367"/>
      <c r="D83" s="365"/>
      <c r="E83" s="366"/>
      <c r="F83" s="40"/>
      <c r="G83" s="40"/>
      <c r="H83" s="964"/>
      <c r="I83" s="302"/>
      <c r="J83" s="1751"/>
      <c r="K83" s="3830" t="s">
        <v>2148</v>
      </c>
      <c r="L83" s="2525" t="s">
        <v>2149</v>
      </c>
      <c r="M83" s="2515">
        <f ca="1">IF(N69&gt;10000,N69*0.5%,IF(AND(N69&gt;1000,N69&lt;=10000),N69*1%,IF(AND(N69&gt;100,N69&lt;=1000),N69*3%,IF(AND(N69&gt;10,N69&lt;=100),N69*5%,N69*8%))))</f>
        <v>674.07500000000005</v>
      </c>
      <c r="N83" s="51">
        <f ca="1">ROUND(M83,1)</f>
        <v>674.1</v>
      </c>
      <c r="O83" s="2518"/>
      <c r="P83" s="1751"/>
      <c r="Q83" s="1751"/>
      <c r="R83" s="1751"/>
      <c r="S83" s="1751"/>
      <c r="T83" s="1751"/>
      <c r="U83" s="1751"/>
      <c r="V83" s="1751"/>
    </row>
    <row r="84" spans="1:26" ht="12.75">
      <c r="A84" s="368" t="s">
        <v>1355</v>
      </c>
      <c r="B84" s="369" t="s">
        <v>395</v>
      </c>
      <c r="C84" s="370"/>
      <c r="D84" s="371" t="s">
        <v>13</v>
      </c>
      <c r="E84" s="2541" t="s">
        <v>2194</v>
      </c>
      <c r="F84" s="40"/>
      <c r="G84" s="40"/>
      <c r="H84" s="964"/>
      <c r="I84" s="302"/>
      <c r="J84" s="1751"/>
      <c r="K84" s="3830"/>
      <c r="L84" s="2525" t="s">
        <v>2150</v>
      </c>
      <c r="M84" s="2515">
        <f ca="1">IF(N69&gt;2000,N69*0.5%,IF(AND(N69&gt;1000,N69&lt;=2000),N69*0.6%,IF(AND(N69&gt;500,N69&lt;=1000),N69*0.7%,IF(AND(N69&gt;200,N69&lt;=500),N69*0.8%,IF(AND(N69&gt;100,N69&lt;=200),N69*0.9%,IF(AND(N69&gt;50,N69&lt;=100),N69*1%,IF(AND(N69&gt;20,N69&lt;=50),N69*1.5%,IF(AND(N69&gt;10,N69&lt;=20),N69*2%,IF(AND(N69&gt;1,N69&lt;=10),N69*2.5%)))))))))</f>
        <v>674.07500000000005</v>
      </c>
      <c r="N84" s="51">
        <f ca="1">ROUND(M84,1)</f>
        <v>674.1</v>
      </c>
      <c r="O84" s="1751" t="s">
        <v>2151</v>
      </c>
      <c r="P84" s="1751"/>
      <c r="Q84" s="1751"/>
      <c r="R84" s="1751"/>
      <c r="S84" s="1751"/>
      <c r="T84" s="1751"/>
      <c r="U84" s="1751"/>
      <c r="V84" s="1751"/>
    </row>
    <row r="85" spans="1:26" ht="12.75">
      <c r="A85" s="368" t="s">
        <v>1356</v>
      </c>
      <c r="B85" s="369" t="s">
        <v>396</v>
      </c>
      <c r="C85" s="372">
        <f ca="1">C81-C84</f>
        <v>129574</v>
      </c>
      <c r="D85" s="365" t="s">
        <v>13</v>
      </c>
      <c r="E85" s="366"/>
      <c r="F85" s="40"/>
      <c r="G85" s="40"/>
      <c r="H85" s="964"/>
      <c r="I85" s="302"/>
      <c r="J85" s="1751"/>
      <c r="K85" s="3830"/>
      <c r="L85" s="2525" t="s">
        <v>2152</v>
      </c>
      <c r="M85" s="2515">
        <f ca="1">IF(N69&gt;1000,N69*0.1%,IF(AND(N69&gt;500,N69&lt;=1000),N69*0.5%,IF(AND(N69&gt;50,N69&lt;=500),N69*1%,IF(AND(N69&gt;1,N69&lt;=50),N69*1.5%))))</f>
        <v>134.815</v>
      </c>
      <c r="N85" s="51">
        <f ca="1">ROUND(M85,1)</f>
        <v>134.80000000000001</v>
      </c>
      <c r="O85" s="1751" t="s">
        <v>2151</v>
      </c>
      <c r="P85" s="1751"/>
      <c r="Q85" s="1751"/>
      <c r="R85" s="1751"/>
      <c r="S85" s="1751"/>
      <c r="T85" s="1751"/>
      <c r="U85" s="1751"/>
      <c r="V85" s="1751"/>
    </row>
    <row r="86" spans="1:26" ht="13.5" thickBot="1">
      <c r="A86" s="373" t="s">
        <v>1357</v>
      </c>
      <c r="B86" s="374" t="s">
        <v>397</v>
      </c>
      <c r="C86" s="375">
        <f ca="1">IF(C85&lt;=0,0,ROUND(C85*D86,0))</f>
        <v>7256</v>
      </c>
      <c r="D86" s="376">
        <f>'数据-取费表'!B41</f>
        <v>5.6000000000000001E-2</v>
      </c>
      <c r="E86" s="377"/>
      <c r="F86" s="40"/>
      <c r="G86" s="40"/>
      <c r="H86" s="964"/>
      <c r="I86" s="302"/>
      <c r="J86" s="1751"/>
      <c r="K86" s="3830"/>
      <c r="L86" s="2525" t="s">
        <v>2153</v>
      </c>
      <c r="M86" s="2515">
        <f ca="1">N69*0.5%</f>
        <v>674.07500000000005</v>
      </c>
      <c r="N86" s="51">
        <f ca="1">IF(M86&gt;0.5,0.5,ROUND(M86,0))</f>
        <v>0.5</v>
      </c>
      <c r="O86" s="1751" t="s">
        <v>2154</v>
      </c>
      <c r="P86" s="1751"/>
      <c r="Q86" s="1751"/>
      <c r="R86" s="1751"/>
      <c r="S86" s="1751"/>
      <c r="T86" s="1751"/>
      <c r="U86" s="1751"/>
      <c r="V86" s="1751"/>
    </row>
    <row r="87" spans="1:26" s="1122" customFormat="1" ht="14.25" customHeight="1">
      <c r="A87" s="1177"/>
      <c r="B87" s="1178"/>
      <c r="C87" s="1179"/>
      <c r="D87" s="1180"/>
      <c r="E87" s="1181"/>
      <c r="F87" s="40"/>
      <c r="G87" s="40"/>
      <c r="H87" s="964"/>
      <c r="I87" s="302"/>
      <c r="J87" s="1751"/>
      <c r="K87" s="3830"/>
      <c r="L87" s="2525" t="s">
        <v>2155</v>
      </c>
      <c r="M87" s="2515">
        <f ca="1">IF(N69&gt;=10000,(8.25+(N69-10000)*0.01%),IF(AND(N69&gt;=8000,N69&lt;10000),(7.85+(N69-8000)*0.02%),IF(AND(N69&gt;=5000,N69&lt;8000),(6.65+(N69-5000)*0.04%),IF(AND(N69&gt;=2000,N69&lt;5000),(4.25+(PN69-2000)*0.08%),IF(AND(N69&gt;=1000,N69&lt;2000),(2.75+(N69-1000)*0.15%),IF(AND(N69&gt;=100,N69&lt;1000),(0.5+(N69-100)*0.25%),IF(AND(N69&gt;0,N69&lt;100),N69*0.5%)))))))</f>
        <v>20.7315</v>
      </c>
      <c r="N87" s="51">
        <f ca="1">ROUND(M87*0.9,1)</f>
        <v>18.7</v>
      </c>
      <c r="O87" s="2518"/>
      <c r="P87" s="1751"/>
      <c r="Q87" s="1751"/>
      <c r="R87" s="1751"/>
      <c r="S87" s="1751"/>
      <c r="T87" s="1751"/>
      <c r="U87" s="1751"/>
      <c r="V87" s="1751"/>
      <c r="W87" s="283"/>
      <c r="X87" s="283"/>
      <c r="Y87" s="283"/>
      <c r="Z87" s="283"/>
    </row>
    <row r="88" spans="1:26" s="1182" customFormat="1" ht="15" thickBot="1">
      <c r="A88" s="3809" t="s">
        <v>398</v>
      </c>
      <c r="B88" s="3810"/>
      <c r="C88" s="3810"/>
      <c r="D88" s="3810"/>
      <c r="E88" s="3810"/>
      <c r="F88" s="3810"/>
      <c r="G88" s="3810"/>
      <c r="H88" s="3810"/>
      <c r="I88" s="1183"/>
      <c r="J88" s="1759"/>
      <c r="K88" s="3830"/>
      <c r="L88" s="2525" t="s">
        <v>2156</v>
      </c>
      <c r="M88" s="2515">
        <f ca="1">IF(N69&gt;10000,N69*0.5%,IF(AND(N69&gt;5000,N69&lt;=10000),N69*1%,IF(AND(N69&gt;1000,N69&lt;=5000),N69*2%,IF(AND(N69&gt;200,N69&lt;=1000),N69*3%,N69*5%))))</f>
        <v>674.07500000000005</v>
      </c>
      <c r="N88" s="51">
        <f ca="1">ROUND(M88,1)</f>
        <v>674.1</v>
      </c>
      <c r="O88" s="2518"/>
      <c r="P88" s="1756"/>
      <c r="Q88" s="1756"/>
      <c r="R88" s="1756"/>
      <c r="S88" s="1756"/>
      <c r="T88" s="1756"/>
      <c r="U88" s="1756"/>
      <c r="V88" s="1756"/>
      <c r="W88" s="1760"/>
      <c r="X88" s="1760"/>
      <c r="Y88" s="1760"/>
      <c r="Z88" s="1760"/>
    </row>
    <row r="89" spans="1:26" s="1182" customFormat="1" ht="14.25">
      <c r="A89" s="3784" t="s">
        <v>389</v>
      </c>
      <c r="B89" s="3785"/>
      <c r="C89" s="955"/>
      <c r="D89" s="955" t="s">
        <v>390</v>
      </c>
      <c r="E89" s="378" t="s">
        <v>399</v>
      </c>
      <c r="F89" s="379"/>
      <c r="G89" s="379"/>
      <c r="H89" s="380"/>
      <c r="I89" s="1184"/>
      <c r="J89" s="1761"/>
      <c r="K89" s="3830"/>
      <c r="L89" s="2525" t="s">
        <v>16</v>
      </c>
      <c r="M89" s="2516"/>
      <c r="N89" s="51">
        <f ca="1">ROUND(SUM(N83:N88),0)</f>
        <v>2176</v>
      </c>
      <c r="O89" s="2526">
        <f ca="1">N89/N69</f>
        <v>1.6140637169454436E-2</v>
      </c>
      <c r="P89" s="1756"/>
      <c r="Q89" s="1756"/>
      <c r="R89" s="1756"/>
      <c r="S89" s="1756"/>
      <c r="T89" s="1756"/>
      <c r="U89" s="1756"/>
      <c r="V89" s="1756"/>
      <c r="W89" s="1760"/>
      <c r="X89" s="1760"/>
      <c r="Y89" s="1760"/>
      <c r="Z89" s="1760"/>
    </row>
    <row r="90" spans="1:26" s="1182" customFormat="1" ht="14.25">
      <c r="A90" s="368" t="s">
        <v>1352</v>
      </c>
      <c r="B90" s="369" t="s">
        <v>400</v>
      </c>
      <c r="C90" s="372">
        <f ca="1">ROUND(D63/(1+'数据-取费表'!C42),0)</f>
        <v>129574</v>
      </c>
      <c r="D90" s="365" t="s">
        <v>13</v>
      </c>
      <c r="E90" s="952"/>
      <c r="F90" s="951"/>
      <c r="G90" s="951"/>
      <c r="H90" s="381"/>
      <c r="I90" s="1184"/>
      <c r="J90" s="1761"/>
      <c r="K90" s="1756"/>
      <c r="L90" s="1756"/>
      <c r="M90" s="1756"/>
      <c r="N90" s="1756"/>
      <c r="O90" s="1756"/>
      <c r="P90" s="1756"/>
      <c r="Q90" s="1756"/>
      <c r="R90" s="1756"/>
      <c r="S90" s="1756"/>
      <c r="T90" s="1756"/>
      <c r="U90" s="1756"/>
      <c r="V90" s="1756"/>
      <c r="W90" s="1760"/>
      <c r="X90" s="1760"/>
      <c r="Y90" s="1760"/>
      <c r="Z90" s="1760"/>
    </row>
    <row r="91" spans="1:26" s="1182" customFormat="1" ht="14.25">
      <c r="A91" s="368" t="s">
        <v>1358</v>
      </c>
      <c r="B91" s="339" t="s">
        <v>401</v>
      </c>
      <c r="C91" s="372">
        <f ca="1">C92+C96</f>
        <v>777</v>
      </c>
      <c r="D91" s="365" t="s">
        <v>13</v>
      </c>
      <c r="E91" s="952"/>
      <c r="F91" s="951"/>
      <c r="G91" s="951"/>
      <c r="H91" s="381"/>
      <c r="I91" s="1184"/>
      <c r="J91" s="1761"/>
      <c r="K91" s="1756"/>
      <c r="L91" s="1756"/>
      <c r="M91" s="1756"/>
      <c r="N91" s="1756"/>
      <c r="O91" s="1756"/>
      <c r="P91" s="1756"/>
      <c r="Q91" s="1756"/>
      <c r="R91" s="1756"/>
      <c r="S91" s="1756"/>
      <c r="T91" s="1756"/>
      <c r="U91" s="1756"/>
      <c r="V91" s="1756"/>
      <c r="W91" s="1760"/>
      <c r="X91" s="1760"/>
      <c r="Y91" s="1760"/>
      <c r="Z91" s="1760"/>
    </row>
    <row r="92" spans="1:26" s="1182" customFormat="1" ht="24">
      <c r="A92" s="382" t="s">
        <v>1359</v>
      </c>
      <c r="B92" s="363" t="s">
        <v>402</v>
      </c>
      <c r="C92" s="365">
        <f>ROUND(IF(G95="2016年5月1日后购买",C93/(1+'数据-取费表'!C30)+C94+C95,C93+C94+C95),0)</f>
        <v>0</v>
      </c>
      <c r="D92" s="365" t="s">
        <v>13</v>
      </c>
      <c r="E92" s="952"/>
      <c r="F92" s="951"/>
      <c r="G92" s="951"/>
      <c r="H92" s="381"/>
      <c r="I92" s="1184"/>
      <c r="J92" s="1761"/>
      <c r="K92" s="1756"/>
      <c r="L92" s="1756"/>
      <c r="M92" s="1756"/>
      <c r="N92" s="1756"/>
      <c r="O92" s="1756"/>
      <c r="P92" s="1756"/>
      <c r="Q92" s="1756"/>
      <c r="R92" s="1756"/>
      <c r="S92" s="1756"/>
      <c r="T92" s="1756"/>
      <c r="U92" s="1756"/>
      <c r="V92" s="1756"/>
      <c r="W92" s="1760"/>
      <c r="X92" s="1760"/>
      <c r="Y92" s="1760"/>
      <c r="Z92" s="1760"/>
    </row>
    <row r="93" spans="1:26" s="1182" customFormat="1" ht="14.25">
      <c r="A93" s="382" t="s">
        <v>1360</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2" customFormat="1" ht="24.75" customHeight="1">
      <c r="A94" s="382" t="s">
        <v>1361</v>
      </c>
      <c r="B94" s="387" t="s">
        <v>406</v>
      </c>
      <c r="C94" s="365">
        <f>IF(F93="购房发票",ROUND(C93*H93*5%,0),0)</f>
        <v>0</v>
      </c>
      <c r="D94" s="388">
        <v>0.05</v>
      </c>
      <c r="E94" s="3766" t="s">
        <v>407</v>
      </c>
      <c r="F94" s="3765"/>
      <c r="G94" s="3765"/>
      <c r="H94" s="3808"/>
      <c r="I94" s="1184"/>
      <c r="J94" s="1761"/>
      <c r="K94" s="1756"/>
      <c r="L94" s="1756"/>
      <c r="M94" s="1756"/>
      <c r="N94" s="1756"/>
      <c r="O94" s="1756"/>
      <c r="P94" s="1756"/>
      <c r="Q94" s="1756"/>
      <c r="R94" s="1756"/>
      <c r="S94" s="1756"/>
      <c r="T94" s="1756"/>
      <c r="U94" s="1756"/>
      <c r="V94" s="1756"/>
      <c r="W94" s="1760"/>
      <c r="X94" s="1760"/>
      <c r="Y94" s="1760"/>
      <c r="Z94" s="1760"/>
    </row>
    <row r="95" spans="1:26" s="1182"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0" t="str">
        <f>IF(G95="个人买卖住房","免征印花税"," ")</f>
        <v xml:space="preserve"> </v>
      </c>
      <c r="I95" s="1184"/>
      <c r="J95" s="1761"/>
      <c r="K95" s="1756"/>
      <c r="L95" s="1756"/>
      <c r="M95" s="1756"/>
      <c r="N95" s="1756"/>
      <c r="O95" s="1756"/>
      <c r="P95" s="1756"/>
      <c r="Q95" s="1756"/>
      <c r="R95" s="1756"/>
      <c r="S95" s="1756"/>
      <c r="T95" s="1756"/>
      <c r="U95" s="1756"/>
      <c r="V95" s="1756"/>
      <c r="W95" s="1760"/>
      <c r="X95" s="1760"/>
      <c r="Y95" s="1760"/>
      <c r="Z95" s="1760"/>
    </row>
    <row r="96" spans="1:26" s="1182" customFormat="1" ht="24.75" customHeight="1">
      <c r="A96" s="382" t="s">
        <v>1363</v>
      </c>
      <c r="B96" s="363" t="s">
        <v>410</v>
      </c>
      <c r="C96" s="392">
        <f ca="1">ROUND(D63*D96/(1+'数据-取费表'!C42),0)</f>
        <v>777</v>
      </c>
      <c r="D96" s="393">
        <f>'数据-取费表'!B43</f>
        <v>6.000000000000001E-3</v>
      </c>
      <c r="E96" s="3800" t="s">
        <v>1780</v>
      </c>
      <c r="F96" s="3801"/>
      <c r="G96" s="3801"/>
      <c r="H96" s="3802"/>
      <c r="I96" s="1185"/>
      <c r="J96" s="1762"/>
      <c r="K96" s="1756"/>
      <c r="L96" s="1756"/>
      <c r="M96" s="1756"/>
      <c r="N96" s="1756"/>
      <c r="O96" s="1756"/>
      <c r="P96" s="1756"/>
      <c r="Q96" s="1756"/>
      <c r="R96" s="1756"/>
      <c r="S96" s="1756"/>
      <c r="T96" s="1756"/>
      <c r="U96" s="1756"/>
      <c r="V96" s="1756"/>
      <c r="W96" s="1760"/>
      <c r="X96" s="1760"/>
      <c r="Y96" s="1760"/>
      <c r="Z96" s="1760"/>
    </row>
    <row r="97" spans="1:26" s="1182" customFormat="1" ht="14.25">
      <c r="A97" s="1423" t="s">
        <v>1364</v>
      </c>
      <c r="B97" s="369" t="s">
        <v>411</v>
      </c>
      <c r="C97" s="372">
        <f ca="1">C90-C91</f>
        <v>128797</v>
      </c>
      <c r="D97" s="365" t="s">
        <v>13</v>
      </c>
      <c r="E97" s="952"/>
      <c r="F97" s="951"/>
      <c r="G97" s="951"/>
      <c r="H97" s="381"/>
      <c r="I97" s="1184"/>
      <c r="J97" s="1761"/>
      <c r="K97" s="1756"/>
      <c r="L97" s="1756"/>
      <c r="M97" s="1756"/>
      <c r="N97" s="1756"/>
      <c r="O97" s="1756"/>
      <c r="P97" s="1756"/>
      <c r="Q97" s="1756"/>
      <c r="R97" s="1756"/>
      <c r="S97" s="1756"/>
      <c r="T97" s="1756"/>
      <c r="U97" s="1756"/>
      <c r="V97" s="1756"/>
      <c r="W97" s="1760"/>
      <c r="X97" s="1760"/>
      <c r="Y97" s="1760"/>
      <c r="Z97" s="1760"/>
    </row>
    <row r="98" spans="1:26" s="1182" customFormat="1" ht="24">
      <c r="A98" s="1423" t="s">
        <v>1365</v>
      </c>
      <c r="B98" s="369" t="s">
        <v>412</v>
      </c>
      <c r="C98" s="394">
        <f ca="1">IF(C97&lt;=0,0,C97/C91)</f>
        <v>165.76190476190476</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1"/>
      <c r="G98" s="951"/>
      <c r="H98" s="381"/>
      <c r="I98" s="1184"/>
      <c r="J98" s="1761"/>
      <c r="K98" s="1756"/>
      <c r="L98" s="1756"/>
      <c r="M98" s="1756"/>
      <c r="N98" s="1756"/>
      <c r="O98" s="1756"/>
      <c r="P98" s="1756"/>
      <c r="Q98" s="1756"/>
      <c r="R98" s="1756"/>
      <c r="S98" s="1756"/>
      <c r="T98" s="1756"/>
      <c r="U98" s="1756"/>
      <c r="V98" s="1756"/>
      <c r="W98" s="1760"/>
      <c r="X98" s="1760"/>
      <c r="Y98" s="1760"/>
      <c r="Z98" s="1760"/>
    </row>
    <row r="99" spans="1:26" s="1182" customFormat="1" ht="24.75" thickBot="1">
      <c r="A99" s="1424" t="s">
        <v>1366</v>
      </c>
      <c r="B99" s="374" t="s">
        <v>413</v>
      </c>
      <c r="C99" s="395">
        <f ca="1">ROUND(IF(C97&lt;=0,0,IF(C98&gt;=200%,C97*60%-C91*35%,IF(C98&gt;=100%,C97*50%-C91*15%,IF(C98&gt;=50%,C97*40%-C91*5%,IF(C98&lt;50%,C97*30%,0))))),0)</f>
        <v>77006</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4"/>
      <c r="J99" s="1761"/>
      <c r="K99" s="1756"/>
      <c r="L99" s="1756"/>
      <c r="M99" s="1756"/>
      <c r="N99" s="1756"/>
      <c r="O99" s="1756"/>
      <c r="P99" s="1756"/>
      <c r="Q99" s="1756"/>
      <c r="R99" s="1756"/>
      <c r="S99" s="1756"/>
      <c r="T99" s="1756"/>
      <c r="U99" s="1756"/>
      <c r="V99" s="1756"/>
      <c r="W99" s="1760"/>
      <c r="X99" s="1760"/>
      <c r="Y99" s="1760"/>
      <c r="Z99" s="1760"/>
    </row>
    <row r="100" spans="1:26" s="1182" customFormat="1" ht="7.5" customHeight="1">
      <c r="A100" s="1186"/>
      <c r="B100" s="1187"/>
      <c r="C100" s="9"/>
      <c r="D100" s="9"/>
      <c r="E100" s="1187"/>
      <c r="F100" s="1187"/>
      <c r="G100" s="1187"/>
      <c r="H100" s="1188"/>
      <c r="I100" s="1185"/>
      <c r="J100" s="1762"/>
      <c r="K100" s="1756"/>
      <c r="L100" s="1756"/>
      <c r="M100" s="1756"/>
      <c r="N100" s="1756"/>
      <c r="O100" s="1756"/>
      <c r="P100" s="1756"/>
      <c r="Q100" s="1756"/>
      <c r="R100" s="1756"/>
      <c r="S100" s="1756"/>
      <c r="T100" s="1756"/>
      <c r="U100" s="1756"/>
      <c r="V100" s="1756"/>
      <c r="W100" s="1760"/>
      <c r="X100" s="1760"/>
      <c r="Y100" s="1760"/>
      <c r="Z100" s="1760"/>
    </row>
    <row r="101" spans="1:26" s="1182" customFormat="1" ht="15" thickBot="1">
      <c r="A101" s="3809" t="s">
        <v>414</v>
      </c>
      <c r="B101" s="3810"/>
      <c r="C101" s="3810"/>
      <c r="D101" s="3810"/>
      <c r="E101" s="3810"/>
      <c r="F101" s="3810"/>
      <c r="G101" s="3810"/>
      <c r="H101" s="3810"/>
      <c r="I101" s="9"/>
      <c r="J101" s="1756"/>
      <c r="K101" s="1756"/>
      <c r="L101" s="1756"/>
      <c r="M101" s="1756"/>
      <c r="N101" s="1756"/>
      <c r="O101" s="1756"/>
      <c r="P101" s="1756"/>
      <c r="Q101" s="1756"/>
      <c r="R101" s="1756"/>
      <c r="S101" s="1756"/>
      <c r="T101" s="1756"/>
      <c r="U101" s="1756"/>
      <c r="V101" s="1756"/>
      <c r="W101" s="1760"/>
      <c r="X101" s="1760"/>
      <c r="Y101" s="1760"/>
      <c r="Z101" s="1760"/>
    </row>
    <row r="102" spans="1:26" s="1182" customFormat="1" ht="14.25">
      <c r="A102" s="3784" t="s">
        <v>389</v>
      </c>
      <c r="B102" s="3785"/>
      <c r="C102" s="955"/>
      <c r="D102" s="955" t="s">
        <v>390</v>
      </c>
      <c r="E102" s="378" t="s">
        <v>399</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2" customFormat="1" ht="14.25">
      <c r="A103" s="368" t="s">
        <v>1352</v>
      </c>
      <c r="B103" s="369" t="s">
        <v>400</v>
      </c>
      <c r="C103" s="372">
        <f ca="1">ROUND(D63/(1+'数据-取费表'!C42),0)</f>
        <v>129574</v>
      </c>
      <c r="D103" s="365" t="s">
        <v>13</v>
      </c>
      <c r="E103" s="952"/>
      <c r="F103" s="951"/>
      <c r="G103" s="951"/>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2" customFormat="1" ht="14.25">
      <c r="A104" s="368" t="s">
        <v>1358</v>
      </c>
      <c r="B104" s="339" t="s">
        <v>401</v>
      </c>
      <c r="C104" s="372">
        <f ca="1">IF(H106="仅含出让金",C105+C108+C109+C110+C111+C112,C105+C109+C110+C111+C112)</f>
        <v>777</v>
      </c>
      <c r="D104" s="402"/>
      <c r="E104" s="952"/>
      <c r="F104" s="951"/>
      <c r="G104" s="951"/>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2" customFormat="1" ht="14.25">
      <c r="A105" s="382" t="s">
        <v>1359</v>
      </c>
      <c r="B105" s="363" t="s">
        <v>415</v>
      </c>
      <c r="C105" s="392">
        <f>C106+C107</f>
        <v>0</v>
      </c>
      <c r="D105" s="393"/>
      <c r="E105" s="946"/>
      <c r="F105" s="947"/>
      <c r="G105" s="947"/>
      <c r="H105" s="948"/>
      <c r="I105" s="9"/>
      <c r="J105" s="1756"/>
      <c r="K105" s="1756"/>
      <c r="L105" s="1756"/>
      <c r="M105" s="1756"/>
      <c r="N105" s="1756"/>
      <c r="O105" s="1756"/>
      <c r="P105" s="1756"/>
      <c r="Q105" s="1756"/>
      <c r="R105" s="1756"/>
      <c r="S105" s="1756"/>
      <c r="T105" s="1756"/>
      <c r="U105" s="1756"/>
      <c r="V105" s="1756"/>
      <c r="W105" s="1760"/>
      <c r="X105" s="1760"/>
      <c r="Y105" s="1760"/>
      <c r="Z105" s="1760"/>
    </row>
    <row r="106" spans="1:26" s="1182" customFormat="1" ht="14.25">
      <c r="A106" s="382" t="s">
        <v>1360</v>
      </c>
      <c r="B106" s="363" t="s">
        <v>416</v>
      </c>
      <c r="C106" s="403"/>
      <c r="D106" s="393"/>
      <c r="E106" s="404" t="s">
        <v>417</v>
      </c>
      <c r="F106" s="947"/>
      <c r="G106" s="405" t="s">
        <v>418</v>
      </c>
      <c r="H106" s="406"/>
      <c r="I106" s="9"/>
      <c r="J106" s="1756"/>
      <c r="K106" s="2985" t="s">
        <v>2271</v>
      </c>
      <c r="L106" s="1756"/>
      <c r="M106" s="1756"/>
      <c r="N106" s="1756"/>
      <c r="O106" s="1756"/>
      <c r="P106" s="1756"/>
      <c r="Q106" s="1756"/>
      <c r="R106" s="1756"/>
      <c r="S106" s="1756"/>
      <c r="T106" s="1756"/>
      <c r="U106" s="1756"/>
      <c r="V106" s="1756"/>
      <c r="W106" s="1760"/>
      <c r="X106" s="1760"/>
      <c r="Y106" s="1760"/>
      <c r="Z106" s="1760"/>
    </row>
    <row r="107" spans="1:26" s="1182" customFormat="1" ht="14.25">
      <c r="A107" s="382" t="s">
        <v>1361</v>
      </c>
      <c r="B107" s="363" t="s">
        <v>408</v>
      </c>
      <c r="C107" s="392">
        <f>ROUND(C106*D107,0)</f>
        <v>0</v>
      </c>
      <c r="D107" s="393">
        <f>'数据-取费表'!B48+'数据-取费表'!B49</f>
        <v>3.0499999999999999E-2</v>
      </c>
      <c r="E107" s="404" t="s">
        <v>419</v>
      </c>
      <c r="F107" s="947"/>
      <c r="G107" s="947"/>
      <c r="H107" s="948"/>
      <c r="I107" s="9"/>
      <c r="J107" s="1756"/>
      <c r="K107" s="1756"/>
      <c r="L107" s="1756"/>
      <c r="M107" s="1756"/>
      <c r="N107" s="1756"/>
      <c r="O107" s="1756"/>
      <c r="P107" s="1756"/>
      <c r="Q107" s="1756"/>
      <c r="R107" s="1756"/>
      <c r="S107" s="1756"/>
      <c r="T107" s="1756"/>
      <c r="U107" s="1756"/>
      <c r="V107" s="1756"/>
      <c r="W107" s="1760"/>
      <c r="X107" s="1760"/>
      <c r="Y107" s="1760"/>
      <c r="Z107" s="1760"/>
    </row>
    <row r="108" spans="1:26" s="1182" customFormat="1" ht="14.25">
      <c r="A108" s="382" t="s">
        <v>1363</v>
      </c>
      <c r="B108" s="363" t="s">
        <v>420</v>
      </c>
      <c r="C108" s="403"/>
      <c r="D108" s="393"/>
      <c r="E108" s="404" t="str">
        <f>IF(H106="-","土地取得成本中已包含该笔费用"," ")</f>
        <v xml:space="preserve"> </v>
      </c>
      <c r="F108" s="947"/>
      <c r="G108" s="3760" t="s">
        <v>2243</v>
      </c>
      <c r="H108" s="3761"/>
      <c r="I108" s="2611"/>
      <c r="J108" s="1756"/>
      <c r="K108" s="2985" t="s">
        <v>2272</v>
      </c>
      <c r="L108" s="1756"/>
      <c r="M108" s="1756"/>
      <c r="N108" s="1756"/>
      <c r="O108" s="1756"/>
      <c r="P108" s="1756"/>
      <c r="Q108" s="1756"/>
      <c r="R108" s="1756"/>
      <c r="S108" s="1756"/>
      <c r="T108" s="1756"/>
      <c r="U108" s="1756"/>
      <c r="V108" s="1756"/>
      <c r="W108" s="1760"/>
      <c r="X108" s="1760"/>
      <c r="Y108" s="1760"/>
      <c r="Z108" s="1760"/>
    </row>
    <row r="109" spans="1:26" s="1182" customFormat="1" ht="24" customHeight="1">
      <c r="A109" s="1425" t="s">
        <v>1367</v>
      </c>
      <c r="B109" s="363" t="s">
        <v>421</v>
      </c>
      <c r="C109" s="392">
        <f>IF(H109="——",IF(F1="现房",'剩余法-现房'!C18,0),I109)</f>
        <v>0</v>
      </c>
      <c r="D109" s="393"/>
      <c r="E109" s="3803" t="s">
        <v>422</v>
      </c>
      <c r="F109" s="3801"/>
      <c r="G109" s="3801"/>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2" customFormat="1" ht="25.5" customHeight="1">
      <c r="A110" s="1425" t="s">
        <v>1368</v>
      </c>
      <c r="B110" s="363" t="s">
        <v>423</v>
      </c>
      <c r="C110" s="392">
        <f>ROUND((C105+C108+C109)*D110,0)</f>
        <v>0</v>
      </c>
      <c r="D110" s="3016">
        <v>0</v>
      </c>
      <c r="E110" s="3803" t="s">
        <v>424</v>
      </c>
      <c r="F110" s="3801"/>
      <c r="G110" s="3801"/>
      <c r="H110" s="3802"/>
      <c r="I110" s="9"/>
      <c r="J110" s="1756"/>
      <c r="K110" s="2986" t="s">
        <v>2273</v>
      </c>
      <c r="L110" s="1756"/>
      <c r="M110" s="1756"/>
      <c r="N110" s="1756"/>
      <c r="O110" s="1756"/>
      <c r="P110" s="1756"/>
      <c r="Q110" s="1756"/>
      <c r="R110" s="1756"/>
      <c r="S110" s="1756"/>
      <c r="T110" s="1756"/>
      <c r="U110" s="1756"/>
      <c r="V110" s="1756"/>
      <c r="W110" s="1760"/>
      <c r="X110" s="1760"/>
      <c r="Y110" s="1760"/>
      <c r="Z110" s="1760"/>
    </row>
    <row r="111" spans="1:26" s="1182" customFormat="1" ht="25.5" customHeight="1">
      <c r="A111" s="1425" t="s">
        <v>1369</v>
      </c>
      <c r="B111" s="363" t="s">
        <v>410</v>
      </c>
      <c r="C111" s="392">
        <f ca="1">ROUND(D63*D111/(1+'数据-取费表'!C42),0)</f>
        <v>777</v>
      </c>
      <c r="D111" s="393">
        <f>'数据-取费表'!B43</f>
        <v>6.000000000000001E-3</v>
      </c>
      <c r="E111" s="3800" t="s">
        <v>1780</v>
      </c>
      <c r="F111" s="3801"/>
      <c r="G111" s="3801"/>
      <c r="H111" s="3802"/>
      <c r="I111" s="9"/>
      <c r="J111" s="1756"/>
      <c r="K111" s="1756"/>
      <c r="L111" s="1756"/>
      <c r="M111" s="1756"/>
      <c r="N111" s="1756"/>
      <c r="O111" s="1756"/>
      <c r="P111" s="1756"/>
      <c r="Q111" s="1756"/>
      <c r="R111" s="1756"/>
      <c r="S111" s="1756"/>
      <c r="T111" s="1756"/>
      <c r="U111" s="1756"/>
      <c r="V111" s="1756"/>
      <c r="W111" s="1760"/>
      <c r="X111" s="1760"/>
      <c r="Y111" s="1760"/>
      <c r="Z111" s="1760"/>
    </row>
    <row r="112" spans="1:26" s="1182" customFormat="1" ht="25.5" customHeight="1">
      <c r="A112" s="1425" t="s">
        <v>1370</v>
      </c>
      <c r="B112" s="363" t="s">
        <v>425</v>
      </c>
      <c r="C112" s="392">
        <f>ROUND(C108*D112,0)</f>
        <v>0</v>
      </c>
      <c r="D112" s="393">
        <v>0.2</v>
      </c>
      <c r="E112" s="3803" t="s">
        <v>1799</v>
      </c>
      <c r="F112" s="3801"/>
      <c r="G112" s="3801"/>
      <c r="H112" s="3802"/>
      <c r="I112" s="9"/>
      <c r="J112" s="1756"/>
      <c r="K112" s="1756"/>
      <c r="L112" s="1756"/>
      <c r="M112" s="1756"/>
      <c r="N112" s="1756"/>
      <c r="O112" s="1756"/>
      <c r="P112" s="1756"/>
      <c r="Q112" s="1756"/>
      <c r="R112" s="1756"/>
      <c r="S112" s="1756"/>
      <c r="T112" s="1756"/>
      <c r="U112" s="1756"/>
      <c r="V112" s="1756"/>
      <c r="W112" s="1760"/>
      <c r="X112" s="1760"/>
      <c r="Y112" s="1760"/>
      <c r="Z112" s="1760"/>
    </row>
    <row r="113" spans="1:26" s="1182" customFormat="1" ht="14.25">
      <c r="A113" s="1423" t="s">
        <v>1364</v>
      </c>
      <c r="B113" s="369" t="s">
        <v>411</v>
      </c>
      <c r="C113" s="372">
        <f ca="1">ROUND(C103-C104,0)</f>
        <v>128797</v>
      </c>
      <c r="D113" s="365" t="s">
        <v>13</v>
      </c>
      <c r="E113" s="952"/>
      <c r="F113" s="951"/>
      <c r="G113" s="951"/>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2" customFormat="1" ht="24">
      <c r="A114" s="1423" t="s">
        <v>1365</v>
      </c>
      <c r="B114" s="369" t="s">
        <v>412</v>
      </c>
      <c r="C114" s="394">
        <f ca="1">IF(C113&lt;=0,0,C113/C104)</f>
        <v>165.76190476190476</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1"/>
      <c r="G114" s="951"/>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2" customFormat="1" ht="24.75" thickBot="1">
      <c r="A115" s="1424" t="s">
        <v>1366</v>
      </c>
      <c r="B115" s="374" t="s">
        <v>413</v>
      </c>
      <c r="C115" s="395">
        <f ca="1">ROUND(IF(C113&lt;=0,0,IF(C114&gt;=200%,C113*60%-C104*35%,IF(C114&gt;=100%,C113*50%-C104*15%,IF(C114&gt;=50%,C113*40%-C104*5%,IF(C114&lt;50%,C113*30%,0))))),0)</f>
        <v>77006</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108">
    <cfRule type="expression" dxfId="174" priority="3" stopIfTrue="1">
      <formula>$H$106&lt;&gt;"仅含出让金"</formula>
    </cfRule>
  </conditionalFormatting>
  <conditionalFormatting sqref="C109">
    <cfRule type="expression" dxfId="173" priority="2" stopIfTrue="1">
      <formula>$H$109="由企业提供"</formula>
    </cfRule>
  </conditionalFormatting>
  <conditionalFormatting sqref="I33">
    <cfRule type="expression" dxfId="172"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1"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85" zoomScaleNormal="95" zoomScaleSheetLayoutView="85" workbookViewId="0">
      <selection activeCell="M14" sqref="M14"/>
    </sheetView>
  </sheetViews>
  <sheetFormatPr defaultColWidth="9" defaultRowHeight="14.25"/>
  <cols>
    <col min="1" max="1" width="15.625" style="1197" customWidth="1"/>
    <col min="2" max="2" width="15.75" style="1197" customWidth="1"/>
    <col min="3" max="3" width="15.25" style="1197" customWidth="1"/>
    <col min="4" max="4" width="12.25" style="1197" customWidth="1"/>
    <col min="5" max="5" width="16.125" style="1197" customWidth="1"/>
    <col min="6" max="6" width="12.25" style="1197" customWidth="1"/>
    <col min="7" max="7" width="15.625" style="1197" customWidth="1"/>
    <col min="8" max="8" width="12.25" style="1197" customWidth="1"/>
    <col min="9" max="9" width="15.62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30" s="1196" customFormat="1" ht="28.5" customHeight="1">
      <c r="A1" s="472" t="s">
        <v>465</v>
      </c>
      <c r="B1" s="473"/>
      <c r="C1" s="474" t="s">
        <v>466</v>
      </c>
      <c r="D1" s="475" t="s">
        <v>467</v>
      </c>
      <c r="E1" s="476"/>
      <c r="F1" s="415"/>
      <c r="G1" s="476"/>
      <c r="H1" s="476"/>
      <c r="I1" s="476"/>
      <c r="J1" s="476"/>
      <c r="K1" s="477"/>
      <c r="L1" s="2952"/>
      <c r="M1" s="2953"/>
      <c r="N1" s="2953"/>
      <c r="O1" s="2953"/>
      <c r="P1" s="1854"/>
      <c r="Q1" s="1854"/>
      <c r="R1" s="1854"/>
      <c r="S1" s="1854"/>
      <c r="T1" s="1854"/>
      <c r="U1" s="1854"/>
      <c r="V1" s="1854"/>
      <c r="W1" s="1854"/>
      <c r="X1" s="1854"/>
      <c r="Y1" s="1854"/>
      <c r="Z1" s="1854"/>
      <c r="AA1" s="1854"/>
      <c r="AB1" s="1854"/>
      <c r="AC1" s="2954"/>
      <c r="AD1" s="1195"/>
    </row>
    <row r="2" spans="1:30" s="1196" customFormat="1" ht="28.5" customHeight="1">
      <c r="A2" s="410" t="s">
        <v>427</v>
      </c>
      <c r="B2" s="478">
        <f>F67</f>
        <v>125431</v>
      </c>
      <c r="C2" s="2962"/>
      <c r="D2" s="2962"/>
      <c r="E2" s="2964"/>
      <c r="F2" s="2965"/>
      <c r="G2" s="2964"/>
      <c r="H2" s="2964"/>
      <c r="I2" s="2964"/>
      <c r="J2" s="2964"/>
      <c r="K2" s="2966"/>
      <c r="L2" s="1853"/>
      <c r="M2" s="1854"/>
      <c r="N2" s="1854"/>
      <c r="O2" s="1854"/>
      <c r="P2" s="1854"/>
      <c r="Q2" s="1854"/>
      <c r="R2" s="1854"/>
      <c r="S2" s="1854"/>
      <c r="T2" s="1854"/>
      <c r="U2" s="1854"/>
      <c r="V2" s="1854"/>
      <c r="W2" s="1854"/>
      <c r="X2" s="1854"/>
      <c r="Y2" s="1854"/>
      <c r="Z2" s="1854"/>
      <c r="AA2" s="1854"/>
      <c r="AB2" s="1854"/>
      <c r="AC2" s="2954"/>
      <c r="AD2" s="1195"/>
    </row>
    <row r="3" spans="1:30" s="1196" customFormat="1" ht="28.5" customHeight="1">
      <c r="A3" s="1236" t="s">
        <v>1217</v>
      </c>
      <c r="B3" s="480">
        <f>ROUND(B2*10000/'数据-汇总表'!E3,0)</f>
        <v>20985</v>
      </c>
      <c r="C3" s="2963"/>
      <c r="D3" s="2967"/>
      <c r="E3" s="2963"/>
      <c r="F3" s="2963"/>
      <c r="G3" s="2964"/>
      <c r="H3" s="2964"/>
      <c r="I3" s="2964"/>
      <c r="J3" s="2964"/>
      <c r="K3" s="2966"/>
      <c r="L3" s="1853"/>
      <c r="M3" s="1854"/>
      <c r="N3" s="1854"/>
      <c r="O3" s="1854"/>
      <c r="P3" s="1854"/>
      <c r="Q3" s="1854"/>
      <c r="R3" s="1854"/>
      <c r="S3" s="1854"/>
      <c r="T3" s="1854"/>
      <c r="U3" s="1854"/>
      <c r="V3" s="1854"/>
      <c r="W3" s="1854"/>
      <c r="X3" s="1854"/>
      <c r="Y3" s="1854"/>
      <c r="Z3" s="1854"/>
      <c r="AA3" s="1854"/>
      <c r="AB3" s="2955"/>
      <c r="AC3" s="1784"/>
    </row>
    <row r="4" spans="1:30" s="1196" customFormat="1" ht="28.5" customHeight="1">
      <c r="A4" s="481" t="s">
        <v>469</v>
      </c>
      <c r="B4" s="414">
        <f>IF(B48="单位面积地价",C50,ROUND(B2*10000/'数据-汇总表'!D3,0))</f>
        <v>68673</v>
      </c>
      <c r="C4" s="2963"/>
      <c r="D4" s="2967"/>
      <c r="E4" s="2963"/>
      <c r="F4" s="2963"/>
      <c r="G4" s="2964"/>
      <c r="H4" s="2964"/>
      <c r="I4" s="2964"/>
      <c r="J4" s="2964"/>
      <c r="K4" s="2966"/>
      <c r="L4" s="1853"/>
      <c r="M4" s="1854"/>
      <c r="N4" s="1854"/>
      <c r="O4" s="1854"/>
      <c r="P4" s="1854"/>
      <c r="Q4" s="1854"/>
      <c r="R4" s="1854"/>
      <c r="S4" s="1854"/>
      <c r="T4" s="1854"/>
      <c r="U4" s="1854"/>
      <c r="V4" s="1854"/>
      <c r="W4" s="1854"/>
      <c r="X4" s="1854"/>
      <c r="Y4" s="1854"/>
      <c r="Z4" s="1854"/>
      <c r="AA4" s="1854"/>
      <c r="AB4" s="1854"/>
      <c r="AC4" s="1784"/>
    </row>
    <row r="5" spans="1:30" s="1196" customFormat="1" ht="28.5" customHeight="1" thickBot="1">
      <c r="A5" s="416"/>
      <c r="B5" s="417">
        <f>ROUND(B2/('数据-汇总表'!D3/666.67),0)</f>
        <v>4578</v>
      </c>
      <c r="C5" s="418" t="s">
        <v>429</v>
      </c>
      <c r="D5" s="2963"/>
      <c r="E5" s="2963"/>
      <c r="F5" s="2963"/>
      <c r="G5" s="2964"/>
      <c r="H5" s="2964"/>
      <c r="I5" s="2964"/>
      <c r="J5" s="2964"/>
      <c r="K5" s="2966"/>
      <c r="L5" s="1853"/>
      <c r="M5" s="1854"/>
      <c r="N5" s="1854"/>
      <c r="O5" s="1854"/>
      <c r="P5" s="1854"/>
      <c r="Q5" s="1854"/>
      <c r="R5" s="1854"/>
      <c r="S5" s="1854"/>
      <c r="T5" s="1854"/>
      <c r="U5" s="1854"/>
      <c r="V5" s="1854"/>
      <c r="W5" s="1854"/>
      <c r="X5" s="1854"/>
      <c r="Y5" s="1854"/>
      <c r="Z5" s="1854"/>
      <c r="AA5" s="1854"/>
      <c r="AB5" s="1854"/>
      <c r="AC5" s="1784"/>
    </row>
    <row r="6" spans="1:30" ht="20.25">
      <c r="A6" s="482" t="s">
        <v>470</v>
      </c>
      <c r="B6" s="483"/>
      <c r="C6" s="3849" t="s">
        <v>471</v>
      </c>
      <c r="D6" s="3850"/>
      <c r="E6" s="3849" t="s">
        <v>472</v>
      </c>
      <c r="F6" s="3850"/>
      <c r="G6" s="3849" t="s">
        <v>473</v>
      </c>
      <c r="H6" s="3850"/>
      <c r="I6" s="3849" t="s">
        <v>474</v>
      </c>
      <c r="J6" s="3850"/>
      <c r="K6" s="484" t="s">
        <v>475</v>
      </c>
      <c r="L6" s="1855"/>
      <c r="M6" s="1854"/>
      <c r="N6" s="1854"/>
      <c r="O6" s="1856"/>
      <c r="P6" s="3851" t="s">
        <v>476</v>
      </c>
      <c r="Q6" s="3852"/>
      <c r="R6" s="3857" t="s">
        <v>472</v>
      </c>
      <c r="S6" s="3858"/>
      <c r="T6" s="3857" t="s">
        <v>473</v>
      </c>
      <c r="U6" s="3858"/>
      <c r="V6" s="3844" t="s">
        <v>474</v>
      </c>
      <c r="W6" s="3844"/>
      <c r="X6" s="1379"/>
      <c r="Y6" s="3857" t="s">
        <v>476</v>
      </c>
      <c r="Z6" s="3858"/>
      <c r="AA6" s="3846" t="s">
        <v>472</v>
      </c>
      <c r="AB6" s="3847" t="s">
        <v>473</v>
      </c>
      <c r="AC6" s="3846" t="s">
        <v>474</v>
      </c>
    </row>
    <row r="7" spans="1:30" ht="20.25">
      <c r="A7" s="485"/>
      <c r="B7" s="486"/>
      <c r="C7" s="3867" t="s">
        <v>2183</v>
      </c>
      <c r="D7" s="3866"/>
      <c r="E7" s="3865" t="s">
        <v>3302</v>
      </c>
      <c r="F7" s="3866"/>
      <c r="G7" s="3865" t="s">
        <v>3303</v>
      </c>
      <c r="H7" s="3866"/>
      <c r="I7" s="3865" t="s">
        <v>3304</v>
      </c>
      <c r="J7" s="3866"/>
      <c r="K7" s="484"/>
      <c r="L7" s="1855"/>
      <c r="M7" s="1854"/>
      <c r="N7" s="1854"/>
      <c r="O7" s="1856"/>
      <c r="P7" s="3853"/>
      <c r="Q7" s="3854"/>
      <c r="R7" s="3859"/>
      <c r="S7" s="3860"/>
      <c r="T7" s="3859"/>
      <c r="U7" s="3860"/>
      <c r="V7" s="3844"/>
      <c r="W7" s="3844"/>
      <c r="X7" s="1379"/>
      <c r="Y7" s="3859"/>
      <c r="Z7" s="3860"/>
      <c r="AA7" s="3847"/>
      <c r="AB7" s="3847"/>
      <c r="AC7" s="3847"/>
    </row>
    <row r="8" spans="1:30" ht="21" thickBot="1">
      <c r="A8" s="485"/>
      <c r="B8" s="486"/>
      <c r="C8" s="3868" t="s">
        <v>2187</v>
      </c>
      <c r="D8" s="3869"/>
      <c r="E8" s="3868" t="s">
        <v>2187</v>
      </c>
      <c r="F8" s="3869"/>
      <c r="G8" s="3863" t="s">
        <v>2187</v>
      </c>
      <c r="H8" s="3864"/>
      <c r="I8" s="3863" t="s">
        <v>2187</v>
      </c>
      <c r="J8" s="3864"/>
      <c r="K8" s="484" t="s">
        <v>477</v>
      </c>
      <c r="L8" s="1855"/>
      <c r="M8" s="1854"/>
      <c r="N8" s="1854"/>
      <c r="O8" s="1856"/>
      <c r="P8" s="3855"/>
      <c r="Q8" s="3856"/>
      <c r="R8" s="3859"/>
      <c r="S8" s="3860"/>
      <c r="T8" s="3861"/>
      <c r="U8" s="3862"/>
      <c r="V8" s="3844"/>
      <c r="W8" s="3844"/>
      <c r="X8" s="1379"/>
      <c r="Y8" s="3861"/>
      <c r="Z8" s="3862"/>
      <c r="AA8" s="3848"/>
      <c r="AB8" s="3848"/>
      <c r="AC8" s="3848"/>
    </row>
    <row r="9" spans="1:30" s="1117" customFormat="1" ht="21" thickBot="1">
      <c r="A9" s="2391"/>
      <c r="B9" s="2398" t="s">
        <v>478</v>
      </c>
      <c r="C9" s="2390">
        <f>'数据-取费表'!B2</f>
        <v>45175</v>
      </c>
      <c r="D9" s="490">
        <v>100</v>
      </c>
      <c r="E9" s="491">
        <v>45141</v>
      </c>
      <c r="F9" s="492">
        <f>SUMIF(71:71,YEAR(E9)&amp;"-"&amp;INT((MONTH(E9)+2)/3),72:72)</f>
        <v>100</v>
      </c>
      <c r="G9" s="493">
        <v>44826</v>
      </c>
      <c r="H9" s="490">
        <f>SUMIF(71:71,YEAR(G9)&amp;"-"&amp;INT((MONTH(G9)+2)/3),72:72)</f>
        <v>99.600000000000023</v>
      </c>
      <c r="I9" s="493">
        <v>44482</v>
      </c>
      <c r="J9" s="490">
        <f>SUMIF(71:71,YEAR(I9)&amp;"-"&amp;INT((MONTH(I9)+2)/3),72:72)</f>
        <v>99.30000000000004</v>
      </c>
      <c r="K9" s="494"/>
      <c r="L9" s="1857"/>
      <c r="M9" s="1854"/>
      <c r="N9" s="1854"/>
      <c r="O9" s="1858"/>
      <c r="P9" s="3874" t="s">
        <v>479</v>
      </c>
      <c r="Q9" s="3876"/>
      <c r="R9" s="1380" t="s">
        <v>5</v>
      </c>
      <c r="S9" s="1381">
        <f t="shared" ref="S9:S17" si="0">F9</f>
        <v>100</v>
      </c>
      <c r="T9" s="1380" t="s">
        <v>5</v>
      </c>
      <c r="U9" s="1381">
        <f t="shared" ref="U9:U17" si="1">H9</f>
        <v>99.600000000000023</v>
      </c>
      <c r="V9" s="1380" t="s">
        <v>5</v>
      </c>
      <c r="W9" s="1381">
        <f t="shared" ref="W9:W17" si="2">J9</f>
        <v>99.30000000000004</v>
      </c>
      <c r="X9" s="1382"/>
      <c r="Y9" s="3874" t="s">
        <v>479</v>
      </c>
      <c r="Z9" s="3875"/>
      <c r="AA9" s="1383">
        <f>D9/F9</f>
        <v>1</v>
      </c>
      <c r="AB9" s="1383">
        <f>D9/H9</f>
        <v>1.0040160642570279</v>
      </c>
      <c r="AC9" s="1383">
        <f>D9/J9</f>
        <v>1.007049345417925</v>
      </c>
    </row>
    <row r="10" spans="1:30" s="1117" customFormat="1" ht="21" thickBot="1">
      <c r="A10" s="2392"/>
      <c r="B10" s="2399" t="s">
        <v>480</v>
      </c>
      <c r="C10" s="821" t="s">
        <v>481</v>
      </c>
      <c r="D10" s="490">
        <v>100</v>
      </c>
      <c r="E10" s="495" t="s">
        <v>3262</v>
      </c>
      <c r="F10" s="492">
        <f>SUMIF(74:74,E10,75:75)-SUMIF(74:74,C10,75:75)+100</f>
        <v>100</v>
      </c>
      <c r="G10" s="495" t="s">
        <v>3262</v>
      </c>
      <c r="H10" s="490">
        <f>SUMIF(74:74,G10,75:75)-SUMIF(74:74,C10,75:75)+100</f>
        <v>100</v>
      </c>
      <c r="I10" s="495" t="s">
        <v>3262</v>
      </c>
      <c r="J10" s="490">
        <f>SUMIF(74:74,I10,75:75)-SUMIF(74:74,C10,75:75)+100</f>
        <v>100</v>
      </c>
      <c r="K10" s="494"/>
      <c r="L10" s="1857"/>
      <c r="M10" s="1854"/>
      <c r="N10" s="1854"/>
      <c r="O10" s="1858"/>
      <c r="P10" s="3874" t="s">
        <v>482</v>
      </c>
      <c r="Q10" s="3875"/>
      <c r="R10" s="1380" t="s">
        <v>5</v>
      </c>
      <c r="S10" s="1381">
        <f t="shared" si="0"/>
        <v>100</v>
      </c>
      <c r="T10" s="1380" t="s">
        <v>5</v>
      </c>
      <c r="U10" s="1381">
        <f t="shared" si="1"/>
        <v>100</v>
      </c>
      <c r="V10" s="1380" t="s">
        <v>5</v>
      </c>
      <c r="W10" s="1381">
        <f t="shared" si="2"/>
        <v>100</v>
      </c>
      <c r="X10" s="1382"/>
      <c r="Y10" s="3874" t="s">
        <v>482</v>
      </c>
      <c r="Z10" s="3875"/>
      <c r="AA10" s="1383">
        <f t="shared" ref="AA10:AA47" si="3">D10/F10</f>
        <v>1</v>
      </c>
      <c r="AB10" s="1383">
        <f t="shared" ref="AB10:AB47" si="4">D10/H10</f>
        <v>1</v>
      </c>
      <c r="AC10" s="1383">
        <f t="shared" ref="AC10:AC47" si="5">D10/J10</f>
        <v>1</v>
      </c>
    </row>
    <row r="11" spans="1:30" s="1117" customFormat="1" ht="20.25">
      <c r="A11" s="2393"/>
      <c r="B11" s="2400" t="s">
        <v>2038</v>
      </c>
      <c r="C11" s="2387" t="s">
        <v>851</v>
      </c>
      <c r="D11" s="245">
        <v>100</v>
      </c>
      <c r="E11" s="2387" t="s">
        <v>851</v>
      </c>
      <c r="F11" s="245">
        <f>SUMIF(76:76,E11,77:77)-SUMIF(76:76,C11,77:77)+100</f>
        <v>100</v>
      </c>
      <c r="G11" s="2387" t="s">
        <v>851</v>
      </c>
      <c r="H11" s="245">
        <f>SUMIF(76:76,G11,77:77)-SUMIF(76:76,C11,77:77)+100</f>
        <v>100</v>
      </c>
      <c r="I11" s="2387" t="s">
        <v>851</v>
      </c>
      <c r="J11" s="245">
        <f>SUMIF(76:76,I11,77:77)-SUMIF(76:76,C11,77:77)+100</f>
        <v>100</v>
      </c>
      <c r="K11" s="494"/>
      <c r="L11" s="1857"/>
      <c r="M11" s="1854"/>
      <c r="N11" s="1854"/>
      <c r="O11" s="1859"/>
      <c r="P11" s="3843" t="s">
        <v>484</v>
      </c>
      <c r="Q11" s="1049" t="str">
        <f t="shared" ref="Q11:Q17" si="6">B11</f>
        <v>用途</v>
      </c>
      <c r="R11" s="1380" t="s">
        <v>5</v>
      </c>
      <c r="S11" s="1381">
        <f t="shared" si="0"/>
        <v>100</v>
      </c>
      <c r="T11" s="1380" t="s">
        <v>5</v>
      </c>
      <c r="U11" s="1381">
        <f t="shared" si="1"/>
        <v>100</v>
      </c>
      <c r="V11" s="1380" t="s">
        <v>5</v>
      </c>
      <c r="W11" s="1381">
        <f t="shared" si="2"/>
        <v>100</v>
      </c>
      <c r="X11" s="1382"/>
      <c r="Y11" s="3791" t="s">
        <v>485</v>
      </c>
      <c r="Z11" s="1048" t="str">
        <f t="shared" ref="Z11:Z17" si="7">Q11</f>
        <v>用途</v>
      </c>
      <c r="AA11" s="1383">
        <f t="shared" si="3"/>
        <v>1</v>
      </c>
      <c r="AB11" s="1383">
        <f t="shared" si="4"/>
        <v>1</v>
      </c>
      <c r="AC11" s="1383">
        <f t="shared" si="5"/>
        <v>1</v>
      </c>
    </row>
    <row r="12" spans="1:30" s="1198" customFormat="1" ht="27">
      <c r="A12" s="2394"/>
      <c r="B12" s="2399" t="s">
        <v>2039</v>
      </c>
      <c r="C12" s="872"/>
      <c r="D12" s="246">
        <v>100</v>
      </c>
      <c r="E12" s="499"/>
      <c r="F12" s="246">
        <f>ROUND(100/'数据-取费表'!G16,0)</f>
        <v>100</v>
      </c>
      <c r="G12" s="500"/>
      <c r="H12" s="246">
        <f>ROUND(100/'数据-取费表'!G16,0)</f>
        <v>100</v>
      </c>
      <c r="I12" s="500"/>
      <c r="J12" s="246">
        <f>ROUND(100/'数据-取费表'!G16,0)</f>
        <v>100</v>
      </c>
      <c r="K12" s="501"/>
      <c r="L12" s="1860"/>
      <c r="M12" s="1854"/>
      <c r="N12" s="1854"/>
      <c r="O12" s="1861"/>
      <c r="P12" s="3843"/>
      <c r="Q12" s="1049" t="str">
        <f t="shared" si="6"/>
        <v>土地使用年限（年）</v>
      </c>
      <c r="R12" s="1380" t="s">
        <v>5</v>
      </c>
      <c r="S12" s="1381">
        <f t="shared" si="0"/>
        <v>100</v>
      </c>
      <c r="T12" s="1380" t="s">
        <v>5</v>
      </c>
      <c r="U12" s="1381">
        <f t="shared" si="1"/>
        <v>100</v>
      </c>
      <c r="V12" s="1380" t="s">
        <v>5</v>
      </c>
      <c r="W12" s="1381">
        <f t="shared" si="2"/>
        <v>100</v>
      </c>
      <c r="X12" s="1382"/>
      <c r="Y12" s="3791"/>
      <c r="Z12" s="1048" t="str">
        <f t="shared" si="7"/>
        <v>土地使用年限（年）</v>
      </c>
      <c r="AA12" s="1383">
        <f t="shared" si="3"/>
        <v>1</v>
      </c>
      <c r="AB12" s="1383">
        <f t="shared" si="4"/>
        <v>1</v>
      </c>
      <c r="AC12" s="1383">
        <f t="shared" si="5"/>
        <v>1</v>
      </c>
    </row>
    <row r="13" spans="1:30" ht="20.25">
      <c r="A13" s="2395"/>
      <c r="B13" s="2399" t="s">
        <v>2040</v>
      </c>
      <c r="C13" s="504">
        <v>2</v>
      </c>
      <c r="D13" s="246">
        <v>100</v>
      </c>
      <c r="E13" s="503">
        <v>2</v>
      </c>
      <c r="F13" s="246">
        <f>LOOKUP(E13,81:81,82:82)-LOOKUP(C13,81:81,82:82)+100</f>
        <v>100</v>
      </c>
      <c r="G13" s="504">
        <v>2.5</v>
      </c>
      <c r="H13" s="246">
        <f>LOOKUP(G13,81:81,82:82)-LOOKUP(C13,81:81,82:82)+100</f>
        <v>100</v>
      </c>
      <c r="I13" s="503">
        <v>2.5</v>
      </c>
      <c r="J13" s="246">
        <f>LOOKUP(I13,81:81,82:82)-LOOKUP(C13,81:81,82:82)+100</f>
        <v>100</v>
      </c>
      <c r="K13" s="505">
        <v>2</v>
      </c>
      <c r="L13" s="1862"/>
      <c r="M13" s="1854"/>
      <c r="N13" s="1854"/>
      <c r="O13" s="1863"/>
      <c r="P13" s="3843"/>
      <c r="Q13" s="1049" t="str">
        <f t="shared" si="6"/>
        <v>容积率</v>
      </c>
      <c r="R13" s="1380" t="s">
        <v>5</v>
      </c>
      <c r="S13" s="1381">
        <f t="shared" si="0"/>
        <v>100</v>
      </c>
      <c r="T13" s="1380" t="s">
        <v>5</v>
      </c>
      <c r="U13" s="1381">
        <f t="shared" si="1"/>
        <v>100</v>
      </c>
      <c r="V13" s="1380" t="s">
        <v>5</v>
      </c>
      <c r="W13" s="1381">
        <f t="shared" si="2"/>
        <v>100</v>
      </c>
      <c r="X13" s="1382"/>
      <c r="Y13" s="3791"/>
      <c r="Z13" s="1048" t="str">
        <f t="shared" si="7"/>
        <v>容积率</v>
      </c>
      <c r="AA13" s="1383">
        <f t="shared" si="3"/>
        <v>1</v>
      </c>
      <c r="AB13" s="1383">
        <f t="shared" si="4"/>
        <v>1</v>
      </c>
      <c r="AC13" s="1383">
        <f t="shared" si="5"/>
        <v>1</v>
      </c>
    </row>
    <row r="14" spans="1:30" s="1117" customFormat="1" ht="20.25">
      <c r="A14" s="2392"/>
      <c r="B14" s="2401" t="s">
        <v>2041</v>
      </c>
      <c r="C14" s="2388"/>
      <c r="D14" s="508">
        <v>100</v>
      </c>
      <c r="E14" s="1231"/>
      <c r="F14" s="246">
        <f>SUMIF(83:83,E14,84:84)-SUMIF(83:83,C14,84:84)+100</f>
        <v>100</v>
      </c>
      <c r="G14" s="500"/>
      <c r="H14" s="246">
        <f>SUMIF(83:83,G14,84:84)-SUMIF(83:83,C14,84:84)+100</f>
        <v>100</v>
      </c>
      <c r="I14" s="499"/>
      <c r="J14" s="246">
        <f>SUMIF(83:83,I14,84:84)-SUMIF(83:83,C14,84:84)+100</f>
        <v>100</v>
      </c>
      <c r="K14" s="501"/>
      <c r="L14" s="1857"/>
      <c r="M14" s="1854"/>
      <c r="N14" s="1854"/>
      <c r="O14" s="1859"/>
      <c r="P14" s="3843"/>
      <c r="Q14" s="1049" t="str">
        <f t="shared" si="6"/>
        <v>配建</v>
      </c>
      <c r="R14" s="1380" t="s">
        <v>5</v>
      </c>
      <c r="S14" s="1381">
        <f t="shared" si="0"/>
        <v>100</v>
      </c>
      <c r="T14" s="1380" t="s">
        <v>5</v>
      </c>
      <c r="U14" s="1381">
        <f t="shared" si="1"/>
        <v>100</v>
      </c>
      <c r="V14" s="1380" t="s">
        <v>5</v>
      </c>
      <c r="W14" s="1381">
        <f t="shared" si="2"/>
        <v>100</v>
      </c>
      <c r="X14" s="1382"/>
      <c r="Y14" s="3791"/>
      <c r="Z14" s="1048" t="str">
        <f t="shared" si="7"/>
        <v>配建</v>
      </c>
      <c r="AA14" s="1383">
        <f>D14/F14</f>
        <v>1</v>
      </c>
      <c r="AB14" s="1383">
        <f>D14/H14</f>
        <v>1</v>
      </c>
      <c r="AC14" s="1383">
        <f>D14/J14</f>
        <v>1</v>
      </c>
    </row>
    <row r="15" spans="1:30" ht="21" thickBot="1">
      <c r="A15" s="2396"/>
      <c r="B15" s="3665" t="s">
        <v>3299</v>
      </c>
      <c r="C15" s="3666" t="s">
        <v>3301</v>
      </c>
      <c r="D15" s="510">
        <v>100</v>
      </c>
      <c r="E15" s="3666" t="s">
        <v>3301</v>
      </c>
      <c r="F15" s="246">
        <f>SUMIF(85:85,E15,86:86)-SUMIF(85:85,C15,86:86)+100</f>
        <v>100</v>
      </c>
      <c r="G15" s="3666" t="s">
        <v>3300</v>
      </c>
      <c r="H15" s="510">
        <f>SUMIF(85:85,G15,86:86)-SUMIF(85:85,C15,86:86)+100</f>
        <v>102</v>
      </c>
      <c r="I15" s="3666" t="s">
        <v>3301</v>
      </c>
      <c r="J15" s="510">
        <f>SUMIF(85:85,I15,86:86)-SUMIF(85:85,C15,86:86)+100</f>
        <v>100</v>
      </c>
      <c r="K15" s="501"/>
      <c r="L15" s="1864"/>
      <c r="M15" s="1854"/>
      <c r="N15" s="1854"/>
      <c r="O15" s="1863"/>
      <c r="P15" s="3843"/>
      <c r="Q15" s="1049" t="str">
        <f t="shared" si="6"/>
        <v>限售价</v>
      </c>
      <c r="R15" s="1380" t="s">
        <v>5</v>
      </c>
      <c r="S15" s="1381">
        <f t="shared" si="0"/>
        <v>100</v>
      </c>
      <c r="T15" s="1380" t="s">
        <v>5</v>
      </c>
      <c r="U15" s="1381">
        <f t="shared" si="1"/>
        <v>102</v>
      </c>
      <c r="V15" s="1380" t="s">
        <v>5</v>
      </c>
      <c r="W15" s="1381">
        <f t="shared" si="2"/>
        <v>100</v>
      </c>
      <c r="X15" s="1382"/>
      <c r="Y15" s="3791"/>
      <c r="Z15" s="1048" t="str">
        <f t="shared" si="7"/>
        <v>限售价</v>
      </c>
      <c r="AA15" s="1383">
        <f>D15/F15</f>
        <v>1</v>
      </c>
      <c r="AB15" s="1383">
        <f>D15/H15</f>
        <v>0.98039215686274506</v>
      </c>
      <c r="AC15" s="1383">
        <f>D15/J15</f>
        <v>1</v>
      </c>
    </row>
    <row r="16" spans="1:30" ht="21" hidden="1" thickBot="1">
      <c r="A16" s="2397"/>
      <c r="B16" s="2403">
        <v>111</v>
      </c>
      <c r="C16" s="877"/>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843"/>
      <c r="Q16" s="1049">
        <f t="shared" si="6"/>
        <v>111</v>
      </c>
      <c r="R16" s="1380" t="s">
        <v>5</v>
      </c>
      <c r="S16" s="1381">
        <f t="shared" si="0"/>
        <v>100</v>
      </c>
      <c r="T16" s="1380" t="s">
        <v>5</v>
      </c>
      <c r="U16" s="1381">
        <f t="shared" si="1"/>
        <v>100</v>
      </c>
      <c r="V16" s="1380" t="s">
        <v>5</v>
      </c>
      <c r="W16" s="1381">
        <f t="shared" si="2"/>
        <v>100</v>
      </c>
      <c r="X16" s="1382"/>
      <c r="Y16" s="3791"/>
      <c r="Z16" s="1048">
        <f t="shared" si="7"/>
        <v>111</v>
      </c>
      <c r="AA16" s="1383">
        <f>D16/F16</f>
        <v>1</v>
      </c>
      <c r="AB16" s="1383">
        <f>D16/H16</f>
        <v>1</v>
      </c>
      <c r="AC16" s="1383">
        <f>D16/J16</f>
        <v>1</v>
      </c>
    </row>
    <row r="17" spans="1:29" ht="20.25">
      <c r="A17" s="2389" t="s">
        <v>2036</v>
      </c>
      <c r="B17" s="548" t="s">
        <v>261</v>
      </c>
      <c r="C17" s="518">
        <f>估价对象房地状况!C15</f>
        <v>0</v>
      </c>
      <c r="D17" s="521">
        <v>100</v>
      </c>
      <c r="E17" s="522"/>
      <c r="F17" s="519">
        <f>SUMIF(89:89,E18,90:90)-SUMIF(89:89,C18,90:90)+100</f>
        <v>100</v>
      </c>
      <c r="G17" s="520"/>
      <c r="H17" s="519">
        <f>SUMIF(89:89,G18,90:90)-SUMIF(89:89,C18,90:90)+100</f>
        <v>100</v>
      </c>
      <c r="I17" s="522"/>
      <c r="J17" s="519">
        <f>SUMIF(89:89,I18,90:90)-SUMIF(89:89,C18,90:90)+100</f>
        <v>100</v>
      </c>
      <c r="K17" s="505">
        <v>3</v>
      </c>
      <c r="L17" s="1864"/>
      <c r="M17" s="1854"/>
      <c r="N17" s="1854"/>
      <c r="O17" s="1863"/>
      <c r="P17" s="3877" t="s">
        <v>489</v>
      </c>
      <c r="Q17" s="1384" t="str">
        <f t="shared" si="6"/>
        <v>居住社区成熟度</v>
      </c>
      <c r="R17" s="1385" t="s">
        <v>5</v>
      </c>
      <c r="S17" s="1386">
        <f t="shared" si="0"/>
        <v>100</v>
      </c>
      <c r="T17" s="1385" t="s">
        <v>5</v>
      </c>
      <c r="U17" s="1386">
        <f t="shared" si="1"/>
        <v>100</v>
      </c>
      <c r="V17" s="1385" t="s">
        <v>5</v>
      </c>
      <c r="W17" s="1386">
        <f t="shared" si="2"/>
        <v>100</v>
      </c>
      <c r="X17" s="1379"/>
      <c r="Y17" s="3877" t="s">
        <v>489</v>
      </c>
      <c r="Z17" s="1387" t="str">
        <f t="shared" si="7"/>
        <v>居住社区成熟度</v>
      </c>
      <c r="AA17" s="1388">
        <f t="shared" si="3"/>
        <v>1</v>
      </c>
      <c r="AB17" s="1388">
        <f t="shared" si="4"/>
        <v>1</v>
      </c>
      <c r="AC17" s="1388">
        <f t="shared" si="5"/>
        <v>1</v>
      </c>
    </row>
    <row r="18" spans="1:29" ht="20.25">
      <c r="A18" s="502"/>
      <c r="B18" s="523"/>
      <c r="C18" s="524" t="s">
        <v>3270</v>
      </c>
      <c r="D18" s="527"/>
      <c r="E18" s="524" t="s">
        <v>3270</v>
      </c>
      <c r="F18" s="525"/>
      <c r="G18" s="524" t="s">
        <v>3270</v>
      </c>
      <c r="H18" s="529"/>
      <c r="I18" s="524" t="s">
        <v>3270</v>
      </c>
      <c r="J18" s="525"/>
      <c r="K18" s="501"/>
      <c r="L18" s="1864"/>
      <c r="M18" s="1854"/>
      <c r="N18" s="1854"/>
      <c r="O18" s="1863"/>
      <c r="P18" s="3878"/>
      <c r="Q18" s="1384"/>
      <c r="R18" s="1385"/>
      <c r="S18" s="1386"/>
      <c r="T18" s="1385"/>
      <c r="U18" s="1386"/>
      <c r="V18" s="1385"/>
      <c r="W18" s="1386"/>
      <c r="X18" s="1379"/>
      <c r="Y18" s="3878"/>
      <c r="Z18" s="1387"/>
      <c r="AA18" s="1388">
        <v>1</v>
      </c>
      <c r="AB18" s="1388">
        <v>1</v>
      </c>
      <c r="AC18" s="1388">
        <v>1</v>
      </c>
    </row>
    <row r="19" spans="1:29" ht="20.25">
      <c r="A19" s="502"/>
      <c r="B19" s="530" t="s">
        <v>490</v>
      </c>
      <c r="C19" s="531">
        <f>估价对象房地状况!C16</f>
        <v>0</v>
      </c>
      <c r="D19" s="533">
        <v>100</v>
      </c>
      <c r="E19" s="534"/>
      <c r="F19" s="529">
        <f>SUMIF(91:91,E20,92:92)-SUMIF(91:91,C20,92:92)+100</f>
        <v>100</v>
      </c>
      <c r="G19" s="532"/>
      <c r="H19" s="535">
        <f>SUMIF(91:91,G20,92:92)-SUMIF(91:91,C20,92:92)+100</f>
        <v>100</v>
      </c>
      <c r="I19" s="534"/>
      <c r="J19" s="535">
        <f>SUMIF(91:91,I20,92:92)-SUMIF(91:91,C20,92:92)+100</f>
        <v>100</v>
      </c>
      <c r="K19" s="505">
        <v>3</v>
      </c>
      <c r="L19" s="1864"/>
      <c r="M19" s="1854"/>
      <c r="N19" s="1854"/>
      <c r="O19" s="1863"/>
      <c r="P19" s="3878"/>
      <c r="Q19" s="1384" t="str">
        <f>B19</f>
        <v>商业繁华度</v>
      </c>
      <c r="R19" s="1385" t="s">
        <v>5</v>
      </c>
      <c r="S19" s="1386">
        <f>F19</f>
        <v>100</v>
      </c>
      <c r="T19" s="1385" t="s">
        <v>5</v>
      </c>
      <c r="U19" s="1386">
        <f>H19</f>
        <v>100</v>
      </c>
      <c r="V19" s="1385" t="s">
        <v>5</v>
      </c>
      <c r="W19" s="1386">
        <f>J19</f>
        <v>100</v>
      </c>
      <c r="X19" s="1379"/>
      <c r="Y19" s="3878"/>
      <c r="Z19" s="1387" t="str">
        <f>Q19</f>
        <v>商业繁华度</v>
      </c>
      <c r="AA19" s="1388">
        <f t="shared" si="3"/>
        <v>1</v>
      </c>
      <c r="AB19" s="1388">
        <f t="shared" si="4"/>
        <v>1</v>
      </c>
      <c r="AC19" s="1388">
        <f t="shared" si="5"/>
        <v>1</v>
      </c>
    </row>
    <row r="20" spans="1:29" ht="20.25">
      <c r="A20" s="502"/>
      <c r="B20" s="536"/>
      <c r="C20" s="524" t="s">
        <v>3270</v>
      </c>
      <c r="D20" s="533"/>
      <c r="E20" s="524" t="s">
        <v>3270</v>
      </c>
      <c r="F20" s="529"/>
      <c r="G20" s="524" t="s">
        <v>3270</v>
      </c>
      <c r="H20" s="525"/>
      <c r="I20" s="524" t="s">
        <v>3270</v>
      </c>
      <c r="J20" s="525"/>
      <c r="K20" s="501"/>
      <c r="L20" s="1864"/>
      <c r="M20" s="1854"/>
      <c r="N20" s="1854"/>
      <c r="O20" s="1863"/>
      <c r="P20" s="3878"/>
      <c r="Q20" s="1384"/>
      <c r="R20" s="1385"/>
      <c r="S20" s="1386"/>
      <c r="T20" s="1385"/>
      <c r="U20" s="1386"/>
      <c r="V20" s="1385"/>
      <c r="W20" s="1386"/>
      <c r="X20" s="1379"/>
      <c r="Y20" s="3878"/>
      <c r="Z20" s="1387"/>
      <c r="AA20" s="1388">
        <v>1</v>
      </c>
      <c r="AB20" s="1388">
        <v>1</v>
      </c>
      <c r="AC20" s="1388">
        <v>1</v>
      </c>
    </row>
    <row r="21" spans="1:29" ht="20.25" hidden="1">
      <c r="A21" s="502"/>
      <c r="B21" s="530" t="s">
        <v>491</v>
      </c>
      <c r="C21" s="531">
        <f>估价对象房地状况!C17</f>
        <v>0</v>
      </c>
      <c r="D21" s="541">
        <v>100</v>
      </c>
      <c r="E21" s="542"/>
      <c r="F21" s="535">
        <f>SUMIF(93:93,E22,94:94)-SUMIF(93:93,C22,94:94)+100</f>
        <v>100</v>
      </c>
      <c r="G21" s="540"/>
      <c r="H21" s="529">
        <f>SUMIF(93:93,G22,94:94)-SUMIF(93:93,C22,94:94)+100</f>
        <v>100</v>
      </c>
      <c r="I21" s="542"/>
      <c r="J21" s="529">
        <f>SUMIF(93:93,I22,94:94)-SUMIF(93:93,C22,94:94)+100</f>
        <v>100</v>
      </c>
      <c r="K21" s="505"/>
      <c r="L21" s="1864"/>
      <c r="M21" s="1854"/>
      <c r="N21" s="1854"/>
      <c r="O21" s="1863"/>
      <c r="P21" s="3878"/>
      <c r="Q21" s="1384" t="str">
        <f>B21</f>
        <v>办公集聚程度</v>
      </c>
      <c r="R21" s="1385" t="s">
        <v>5</v>
      </c>
      <c r="S21" s="1386">
        <f>F21</f>
        <v>100</v>
      </c>
      <c r="T21" s="1385" t="s">
        <v>5</v>
      </c>
      <c r="U21" s="1386">
        <f>H21</f>
        <v>100</v>
      </c>
      <c r="V21" s="1385" t="s">
        <v>5</v>
      </c>
      <c r="W21" s="1386">
        <f>J21</f>
        <v>100</v>
      </c>
      <c r="X21" s="1379"/>
      <c r="Y21" s="3878"/>
      <c r="Z21" s="1387" t="str">
        <f>Q21</f>
        <v>办公集聚程度</v>
      </c>
      <c r="AA21" s="1388">
        <f t="shared" si="3"/>
        <v>1</v>
      </c>
      <c r="AB21" s="1388">
        <f t="shared" si="4"/>
        <v>1</v>
      </c>
      <c r="AC21" s="1388">
        <f t="shared" si="5"/>
        <v>1</v>
      </c>
    </row>
    <row r="22" spans="1:29" ht="20.25" hidden="1">
      <c r="A22" s="502"/>
      <c r="B22" s="536"/>
      <c r="C22" s="524"/>
      <c r="D22" s="527"/>
      <c r="E22" s="528"/>
      <c r="F22" s="525"/>
      <c r="G22" s="526"/>
      <c r="H22" s="525"/>
      <c r="I22" s="528"/>
      <c r="J22" s="525"/>
      <c r="K22" s="501"/>
      <c r="L22" s="1864"/>
      <c r="M22" s="1854"/>
      <c r="N22" s="1854"/>
      <c r="O22" s="1863"/>
      <c r="P22" s="3878"/>
      <c r="Q22" s="1384"/>
      <c r="R22" s="1385"/>
      <c r="S22" s="1386"/>
      <c r="T22" s="1385"/>
      <c r="U22" s="1386"/>
      <c r="V22" s="1385"/>
      <c r="W22" s="1386"/>
      <c r="X22" s="1379"/>
      <c r="Y22" s="3878"/>
      <c r="Z22" s="1387"/>
      <c r="AA22" s="1388">
        <v>1</v>
      </c>
      <c r="AB22" s="1388">
        <v>1</v>
      </c>
      <c r="AC22" s="1388">
        <v>1</v>
      </c>
    </row>
    <row r="23" spans="1:29" ht="20.25">
      <c r="A23" s="502"/>
      <c r="B23" s="530" t="s">
        <v>492</v>
      </c>
      <c r="C23" s="543">
        <f>估价对象房地状况!C18</f>
        <v>0</v>
      </c>
      <c r="D23" s="533">
        <v>100</v>
      </c>
      <c r="E23" s="534"/>
      <c r="F23" s="535">
        <f>SUMIF(95:95,E24,96:96)-SUMIF(95:95,C24,96:96)+100</f>
        <v>100</v>
      </c>
      <c r="G23" s="532"/>
      <c r="H23" s="529">
        <f>SUMIF(95:95,G24,96:96)-SUMIF(95:95,C24,96:96)+100</f>
        <v>100</v>
      </c>
      <c r="I23" s="534"/>
      <c r="J23" s="529">
        <f>SUMIF(95:95,I24,96:96)-SUMIF(95:95,C24,96:96)+100</f>
        <v>100</v>
      </c>
      <c r="K23" s="505">
        <v>3</v>
      </c>
      <c r="L23" s="1864"/>
      <c r="M23" s="1854"/>
      <c r="N23" s="1854"/>
      <c r="O23" s="1863"/>
      <c r="P23" s="3878"/>
      <c r="Q23" s="1384" t="str">
        <f>B23</f>
        <v>交通便捷度</v>
      </c>
      <c r="R23" s="1385" t="s">
        <v>5</v>
      </c>
      <c r="S23" s="1386">
        <f>F23</f>
        <v>100</v>
      </c>
      <c r="T23" s="1385" t="s">
        <v>5</v>
      </c>
      <c r="U23" s="1386">
        <f>H23</f>
        <v>100</v>
      </c>
      <c r="V23" s="1385" t="s">
        <v>5</v>
      </c>
      <c r="W23" s="1386">
        <f>J23</f>
        <v>100</v>
      </c>
      <c r="X23" s="1379"/>
      <c r="Y23" s="3878"/>
      <c r="Z23" s="1387" t="str">
        <f>Q23</f>
        <v>交通便捷度</v>
      </c>
      <c r="AA23" s="1388">
        <f t="shared" si="3"/>
        <v>1</v>
      </c>
      <c r="AB23" s="1388">
        <f t="shared" si="4"/>
        <v>1</v>
      </c>
      <c r="AC23" s="1388">
        <f t="shared" si="5"/>
        <v>1</v>
      </c>
    </row>
    <row r="24" spans="1:29" ht="20.25">
      <c r="A24" s="502"/>
      <c r="B24" s="548"/>
      <c r="C24" s="524" t="s">
        <v>3270</v>
      </c>
      <c r="D24" s="527"/>
      <c r="E24" s="524" t="s">
        <v>3270</v>
      </c>
      <c r="F24" s="525"/>
      <c r="G24" s="524" t="s">
        <v>3270</v>
      </c>
      <c r="H24" s="525"/>
      <c r="I24" s="524" t="s">
        <v>3270</v>
      </c>
      <c r="J24" s="525"/>
      <c r="K24" s="501"/>
      <c r="L24" s="1864"/>
      <c r="M24" s="1854"/>
      <c r="N24" s="1854"/>
      <c r="O24" s="1863"/>
      <c r="P24" s="3878"/>
      <c r="Q24" s="1384"/>
      <c r="R24" s="1385"/>
      <c r="S24" s="1386"/>
      <c r="T24" s="1385"/>
      <c r="U24" s="1386"/>
      <c r="V24" s="1385"/>
      <c r="W24" s="1386"/>
      <c r="X24" s="1379"/>
      <c r="Y24" s="3878"/>
      <c r="Z24" s="1387"/>
      <c r="AA24" s="1388">
        <v>1</v>
      </c>
      <c r="AB24" s="1388">
        <v>1</v>
      </c>
      <c r="AC24" s="1388">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v>2</v>
      </c>
      <c r="L25" s="1864"/>
      <c r="M25" s="1854"/>
      <c r="N25" s="1854"/>
      <c r="O25" s="1863"/>
      <c r="P25" s="3878"/>
      <c r="Q25" s="1384" t="str">
        <f t="shared" ref="Q25:Q39" si="8">B25</f>
        <v>区域土地利用方向</v>
      </c>
      <c r="R25" s="1385" t="s">
        <v>5</v>
      </c>
      <c r="S25" s="1386">
        <f>F25</f>
        <v>100</v>
      </c>
      <c r="T25" s="1385" t="s">
        <v>5</v>
      </c>
      <c r="U25" s="1386">
        <f>H25</f>
        <v>100</v>
      </c>
      <c r="V25" s="1385" t="s">
        <v>5</v>
      </c>
      <c r="W25" s="1386">
        <f>J25</f>
        <v>100</v>
      </c>
      <c r="X25" s="1379"/>
      <c r="Y25" s="3878"/>
      <c r="Z25" s="1387" t="str">
        <f>Q25</f>
        <v>区域土地利用方向</v>
      </c>
      <c r="AA25" s="1388">
        <f t="shared" si="3"/>
        <v>1</v>
      </c>
      <c r="AB25" s="1388">
        <f t="shared" si="4"/>
        <v>1</v>
      </c>
      <c r="AC25" s="1388">
        <f t="shared" si="5"/>
        <v>1</v>
      </c>
    </row>
    <row r="26" spans="1:29" ht="20.25">
      <c r="A26" s="485"/>
      <c r="B26" s="967"/>
      <c r="C26" s="524" t="s">
        <v>3270</v>
      </c>
      <c r="D26" s="527"/>
      <c r="E26" s="524" t="s">
        <v>3270</v>
      </c>
      <c r="F26" s="525"/>
      <c r="G26" s="524" t="s">
        <v>3270</v>
      </c>
      <c r="H26" s="525"/>
      <c r="I26" s="524" t="s">
        <v>3270</v>
      </c>
      <c r="J26" s="525"/>
      <c r="K26" s="501"/>
      <c r="L26" s="1864"/>
      <c r="M26" s="1854"/>
      <c r="N26" s="1854"/>
      <c r="O26" s="1863"/>
      <c r="P26" s="3878"/>
      <c r="Q26" s="1384"/>
      <c r="R26" s="1385"/>
      <c r="S26" s="1386"/>
      <c r="T26" s="1385"/>
      <c r="U26" s="1386"/>
      <c r="V26" s="1385"/>
      <c r="W26" s="1386"/>
      <c r="X26" s="1379"/>
      <c r="Y26" s="3878"/>
      <c r="Z26" s="1387"/>
      <c r="AA26" s="1388"/>
      <c r="AB26" s="1388"/>
      <c r="AC26" s="1388"/>
    </row>
    <row r="27" spans="1:29" ht="27">
      <c r="A27" s="485"/>
      <c r="B27" s="548" t="s">
        <v>494</v>
      </c>
      <c r="C27" s="531">
        <f>估价对象房地状况!C20</f>
        <v>0</v>
      </c>
      <c r="D27" s="533">
        <v>100</v>
      </c>
      <c r="E27" s="534"/>
      <c r="F27" s="529">
        <f>SUMIF(99:99,E28,100:100)-SUMIF(99:99,C28,100:100)+100</f>
        <v>100</v>
      </c>
      <c r="G27" s="532"/>
      <c r="H27" s="529">
        <f>SUMIF(99:99,G28,100:100)-SUMIF(99:99,C28,100:100)+100</f>
        <v>100</v>
      </c>
      <c r="I27" s="534"/>
      <c r="J27" s="529">
        <f>SUMIF(99:99,I28,100:100)-SUMIF(99:99,C28,100:100)+100</f>
        <v>100</v>
      </c>
      <c r="K27" s="505">
        <v>2</v>
      </c>
      <c r="L27" s="1864"/>
      <c r="M27" s="1854"/>
      <c r="N27" s="1854"/>
      <c r="O27" s="1863"/>
      <c r="P27" s="3878"/>
      <c r="Q27" s="1384" t="str">
        <f t="shared" si="8"/>
        <v>自然及人文环境状况</v>
      </c>
      <c r="R27" s="1385" t="s">
        <v>5</v>
      </c>
      <c r="S27" s="1386">
        <f>F27</f>
        <v>100</v>
      </c>
      <c r="T27" s="1385" t="s">
        <v>5</v>
      </c>
      <c r="U27" s="1386">
        <f>H27</f>
        <v>100</v>
      </c>
      <c r="V27" s="1385" t="s">
        <v>5</v>
      </c>
      <c r="W27" s="1386">
        <f>J27</f>
        <v>100</v>
      </c>
      <c r="X27" s="1379"/>
      <c r="Y27" s="3878"/>
      <c r="Z27" s="1387" t="str">
        <f>Q27</f>
        <v>自然及人文环境状况</v>
      </c>
      <c r="AA27" s="1388">
        <f t="shared" si="3"/>
        <v>1</v>
      </c>
      <c r="AB27" s="1388">
        <f t="shared" si="4"/>
        <v>1</v>
      </c>
      <c r="AC27" s="1388">
        <f t="shared" si="5"/>
        <v>1</v>
      </c>
    </row>
    <row r="28" spans="1:29" ht="20.25">
      <c r="A28" s="485"/>
      <c r="B28" s="536"/>
      <c r="C28" s="524" t="s">
        <v>3270</v>
      </c>
      <c r="D28" s="527"/>
      <c r="E28" s="524" t="s">
        <v>3270</v>
      </c>
      <c r="F28" s="525"/>
      <c r="G28" s="524" t="s">
        <v>3270</v>
      </c>
      <c r="H28" s="525"/>
      <c r="I28" s="524" t="s">
        <v>3270</v>
      </c>
      <c r="J28" s="525"/>
      <c r="K28" s="501"/>
      <c r="L28" s="1864"/>
      <c r="M28" s="1854"/>
      <c r="N28" s="1854"/>
      <c r="O28" s="1863"/>
      <c r="P28" s="3878"/>
      <c r="Q28" s="1384"/>
      <c r="R28" s="1385"/>
      <c r="S28" s="1386"/>
      <c r="T28" s="1385"/>
      <c r="U28" s="1386"/>
      <c r="V28" s="1385"/>
      <c r="W28" s="1386"/>
      <c r="X28" s="1379"/>
      <c r="Y28" s="3878"/>
      <c r="Z28" s="1387"/>
      <c r="AA28" s="1388">
        <v>1</v>
      </c>
      <c r="AB28" s="1388">
        <v>1</v>
      </c>
      <c r="AC28" s="1388">
        <v>1</v>
      </c>
    </row>
    <row r="29" spans="1:29" s="1117" customFormat="1" ht="20.25">
      <c r="A29" s="547"/>
      <c r="B29" s="2198" t="s">
        <v>1831</v>
      </c>
      <c r="C29" s="543">
        <f>估价对象房地状况!C21</f>
        <v>0</v>
      </c>
      <c r="D29" s="533">
        <v>100</v>
      </c>
      <c r="E29" s="534"/>
      <c r="F29" s="529">
        <f>SUMIF(101:101,E30,102:102)-SUMIF(101:101,C30,102:102)+100</f>
        <v>100</v>
      </c>
      <c r="G29" s="532"/>
      <c r="H29" s="529">
        <f>SUMIF(101:101,G30,102:102)-SUMIF(101:101,C30,102:102)+100</f>
        <v>100</v>
      </c>
      <c r="I29" s="534"/>
      <c r="J29" s="529">
        <f>SUMIF(101:101,I30,102:102)-SUMIF(101:101,C30,102:102)+100</f>
        <v>100</v>
      </c>
      <c r="K29" s="505">
        <v>2</v>
      </c>
      <c r="L29" s="1857"/>
      <c r="M29" s="1854"/>
      <c r="N29" s="1854"/>
      <c r="O29" s="1859"/>
      <c r="P29" s="3878"/>
      <c r="Q29" s="1049" t="str">
        <f t="shared" si="8"/>
        <v>公共配套设施</v>
      </c>
      <c r="R29" s="1380" t="s">
        <v>5</v>
      </c>
      <c r="S29" s="1381">
        <f>F29</f>
        <v>100</v>
      </c>
      <c r="T29" s="1380" t="s">
        <v>5</v>
      </c>
      <c r="U29" s="1381">
        <f>H29</f>
        <v>100</v>
      </c>
      <c r="V29" s="1380" t="s">
        <v>5</v>
      </c>
      <c r="W29" s="1381">
        <f>J29</f>
        <v>100</v>
      </c>
      <c r="X29" s="1382"/>
      <c r="Y29" s="3878"/>
      <c r="Z29" s="1048" t="str">
        <f>Q29</f>
        <v>公共配套设施</v>
      </c>
      <c r="AA29" s="1388">
        <f>D29/F29</f>
        <v>1</v>
      </c>
      <c r="AB29" s="1388">
        <f>D29/H29</f>
        <v>1</v>
      </c>
      <c r="AC29" s="1388">
        <f>D29/J29</f>
        <v>1</v>
      </c>
    </row>
    <row r="30" spans="1:29" s="1117" customFormat="1" ht="20.25">
      <c r="A30" s="547"/>
      <c r="B30" s="536"/>
      <c r="C30" s="549" t="s">
        <v>3270</v>
      </c>
      <c r="D30" s="527"/>
      <c r="E30" s="549" t="s">
        <v>3270</v>
      </c>
      <c r="F30" s="525"/>
      <c r="G30" s="549" t="s">
        <v>3270</v>
      </c>
      <c r="H30" s="525"/>
      <c r="I30" s="549" t="s">
        <v>3270</v>
      </c>
      <c r="J30" s="525"/>
      <c r="K30" s="501"/>
      <c r="L30" s="1857"/>
      <c r="M30" s="1854"/>
      <c r="N30" s="1854"/>
      <c r="O30" s="1859"/>
      <c r="P30" s="3878"/>
      <c r="Q30" s="1049"/>
      <c r="R30" s="1380"/>
      <c r="S30" s="1381"/>
      <c r="T30" s="1380"/>
      <c r="U30" s="1381"/>
      <c r="V30" s="1380"/>
      <c r="W30" s="1381"/>
      <c r="X30" s="1382"/>
      <c r="Y30" s="3878"/>
      <c r="Z30" s="1048"/>
      <c r="AA30" s="1388">
        <v>1</v>
      </c>
      <c r="AB30" s="1388">
        <v>1</v>
      </c>
      <c r="AC30" s="1388">
        <v>1</v>
      </c>
    </row>
    <row r="31" spans="1:29" s="1117" customFormat="1" ht="20.25">
      <c r="A31" s="547"/>
      <c r="B31" s="2198" t="s">
        <v>1832</v>
      </c>
      <c r="C31" s="543">
        <f>估价对象房地状况!C22</f>
        <v>0</v>
      </c>
      <c r="D31" s="533">
        <v>100</v>
      </c>
      <c r="E31" s="534"/>
      <c r="F31" s="529">
        <f>SUMIF(103:103,E32,104:104)-SUMIF(103:103,C32,104:104)+100</f>
        <v>100</v>
      </c>
      <c r="G31" s="532"/>
      <c r="H31" s="529">
        <f>SUMIF(103:103,G32,104:104)-SUMIF(103:103,C32,104:104)+100</f>
        <v>100</v>
      </c>
      <c r="I31" s="534"/>
      <c r="J31" s="529">
        <f>SUMIF(103:103,I32,104:104)-SUMIF(103:103,C32,104:104)+100</f>
        <v>100</v>
      </c>
      <c r="K31" s="505">
        <v>2</v>
      </c>
      <c r="L31" s="1857"/>
      <c r="M31" s="1854"/>
      <c r="N31" s="1854"/>
      <c r="O31" s="1859"/>
      <c r="P31" s="3878"/>
      <c r="Q31" s="2191" t="str">
        <f>B31</f>
        <v>基础设施水平</v>
      </c>
      <c r="R31" s="1380" t="s">
        <v>5</v>
      </c>
      <c r="S31" s="1381">
        <f>F31</f>
        <v>100</v>
      </c>
      <c r="T31" s="1380" t="s">
        <v>5</v>
      </c>
      <c r="U31" s="1381">
        <f>H31</f>
        <v>100</v>
      </c>
      <c r="V31" s="1380" t="s">
        <v>5</v>
      </c>
      <c r="W31" s="1381">
        <f>J31</f>
        <v>100</v>
      </c>
      <c r="X31" s="1382"/>
      <c r="Y31" s="3878"/>
      <c r="Z31" s="2190" t="str">
        <f>Q31</f>
        <v>基础设施水平</v>
      </c>
      <c r="AA31" s="1388">
        <f>D31/F31</f>
        <v>1</v>
      </c>
      <c r="AB31" s="1388">
        <f>D31/H31</f>
        <v>1</v>
      </c>
      <c r="AC31" s="1388">
        <f>D31/J31</f>
        <v>1</v>
      </c>
    </row>
    <row r="32" spans="1:29" s="1117" customFormat="1" ht="20.25">
      <c r="A32" s="547"/>
      <c r="B32" s="536"/>
      <c r="C32" s="549" t="s">
        <v>3272</v>
      </c>
      <c r="D32" s="527"/>
      <c r="E32" s="549" t="s">
        <v>3272</v>
      </c>
      <c r="F32" s="525"/>
      <c r="G32" s="549" t="s">
        <v>3272</v>
      </c>
      <c r="H32" s="525"/>
      <c r="I32" s="549" t="s">
        <v>3272</v>
      </c>
      <c r="J32" s="525"/>
      <c r="K32" s="501"/>
      <c r="L32" s="1857"/>
      <c r="M32" s="1854"/>
      <c r="N32" s="1854"/>
      <c r="O32" s="1859"/>
      <c r="P32" s="3878"/>
      <c r="Q32" s="2191"/>
      <c r="R32" s="1380"/>
      <c r="S32" s="1381"/>
      <c r="T32" s="1380"/>
      <c r="U32" s="1381"/>
      <c r="V32" s="1380"/>
      <c r="W32" s="1381"/>
      <c r="X32" s="1382"/>
      <c r="Y32" s="3878"/>
      <c r="Z32" s="2190"/>
      <c r="AA32" s="1388">
        <v>1</v>
      </c>
      <c r="AB32" s="1388">
        <v>1</v>
      </c>
      <c r="AC32" s="1388">
        <v>1</v>
      </c>
    </row>
    <row r="33" spans="1:29" ht="21" thickBot="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878"/>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878"/>
      <c r="Z33" s="1387" t="str">
        <f t="shared" ref="Z33:Z47" si="12">Q33</f>
        <v>临街状况</v>
      </c>
      <c r="AA33" s="1388">
        <f t="shared" si="3"/>
        <v>1</v>
      </c>
      <c r="AB33" s="1388">
        <f t="shared" si="4"/>
        <v>1</v>
      </c>
      <c r="AC33" s="1388">
        <f t="shared" si="5"/>
        <v>1</v>
      </c>
    </row>
    <row r="34" spans="1:29" ht="27" hidden="1">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878"/>
      <c r="Q34" s="1384" t="str">
        <f t="shared" si="8"/>
        <v>毗邻道路的类型与等级</v>
      </c>
      <c r="R34" s="1385" t="s">
        <v>5</v>
      </c>
      <c r="S34" s="1386">
        <f t="shared" si="9"/>
        <v>100</v>
      </c>
      <c r="T34" s="1385" t="s">
        <v>5</v>
      </c>
      <c r="U34" s="1386">
        <f t="shared" si="10"/>
        <v>100</v>
      </c>
      <c r="V34" s="1385" t="s">
        <v>5</v>
      </c>
      <c r="W34" s="1386">
        <f t="shared" si="11"/>
        <v>100</v>
      </c>
      <c r="X34" s="1379"/>
      <c r="Y34" s="3878"/>
      <c r="Z34" s="1387" t="str">
        <f t="shared" si="12"/>
        <v>毗邻道路的类型与等级</v>
      </c>
      <c r="AA34" s="1388">
        <f t="shared" si="3"/>
        <v>1</v>
      </c>
      <c r="AB34" s="1388">
        <f t="shared" si="4"/>
        <v>1</v>
      </c>
      <c r="AC34" s="1388">
        <f t="shared" si="5"/>
        <v>1</v>
      </c>
    </row>
    <row r="35" spans="1:29" ht="20.25" hidden="1">
      <c r="A35" s="502"/>
      <c r="B35" s="536"/>
      <c r="C35" s="524"/>
      <c r="D35" s="527"/>
      <c r="E35" s="546"/>
      <c r="F35" s="525"/>
      <c r="G35" s="524"/>
      <c r="H35" s="525"/>
      <c r="I35" s="546"/>
      <c r="J35" s="525"/>
      <c r="K35" s="551"/>
      <c r="L35" s="1864"/>
      <c r="M35" s="1854"/>
      <c r="N35" s="1854"/>
      <c r="O35" s="1863"/>
      <c r="P35" s="3878"/>
      <c r="Q35" s="1384"/>
      <c r="R35" s="1385"/>
      <c r="S35" s="1386"/>
      <c r="T35" s="1385"/>
      <c r="U35" s="1386"/>
      <c r="V35" s="1385"/>
      <c r="W35" s="1386"/>
      <c r="X35" s="1379"/>
      <c r="Y35" s="3878"/>
      <c r="Z35" s="1387"/>
      <c r="AA35" s="1388">
        <v>1</v>
      </c>
      <c r="AB35" s="1388">
        <v>1</v>
      </c>
      <c r="AC35" s="1388">
        <v>1</v>
      </c>
    </row>
    <row r="36" spans="1:29" ht="20.25" hidden="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4"/>
      <c r="M36" s="1854"/>
      <c r="N36" s="1854"/>
      <c r="O36" s="1863"/>
      <c r="P36" s="3878"/>
      <c r="Q36" s="1384" t="str">
        <f t="shared" si="8"/>
        <v>土地级别</v>
      </c>
      <c r="R36" s="1385" t="s">
        <v>5</v>
      </c>
      <c r="S36" s="1386">
        <f t="shared" si="9"/>
        <v>100</v>
      </c>
      <c r="T36" s="1385" t="s">
        <v>5</v>
      </c>
      <c r="U36" s="1386">
        <f t="shared" si="10"/>
        <v>100</v>
      </c>
      <c r="V36" s="1385" t="s">
        <v>5</v>
      </c>
      <c r="W36" s="1386">
        <f t="shared" si="11"/>
        <v>100</v>
      </c>
      <c r="X36" s="1379"/>
      <c r="Y36" s="3878"/>
      <c r="Z36" s="1387" t="str">
        <f t="shared" si="12"/>
        <v>土地级别</v>
      </c>
      <c r="AA36" s="1388">
        <f t="shared" si="3"/>
        <v>1</v>
      </c>
      <c r="AB36" s="1388">
        <f t="shared" si="4"/>
        <v>1</v>
      </c>
      <c r="AC36" s="1388">
        <f t="shared" si="5"/>
        <v>1</v>
      </c>
    </row>
    <row r="37" spans="1:29" ht="20.25" hidden="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878"/>
      <c r="Q37" s="1384">
        <f t="shared" si="8"/>
        <v>111</v>
      </c>
      <c r="R37" s="1385" t="s">
        <v>5</v>
      </c>
      <c r="S37" s="1386">
        <f t="shared" si="9"/>
        <v>100</v>
      </c>
      <c r="T37" s="1385" t="s">
        <v>5</v>
      </c>
      <c r="U37" s="1386">
        <f t="shared" si="10"/>
        <v>100</v>
      </c>
      <c r="V37" s="1385" t="s">
        <v>5</v>
      </c>
      <c r="W37" s="1386">
        <f t="shared" si="11"/>
        <v>100</v>
      </c>
      <c r="X37" s="1379"/>
      <c r="Y37" s="3878"/>
      <c r="Z37" s="1387">
        <f t="shared" si="12"/>
        <v>111</v>
      </c>
      <c r="AA37" s="1388">
        <f t="shared" si="3"/>
        <v>1</v>
      </c>
      <c r="AB37" s="1388">
        <f t="shared" si="4"/>
        <v>1</v>
      </c>
      <c r="AC37" s="1388">
        <f t="shared" si="5"/>
        <v>1</v>
      </c>
    </row>
    <row r="38" spans="1:29" ht="20.25" hidden="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879" t="s">
        <v>499</v>
      </c>
      <c r="Q38" s="1384">
        <f t="shared" si="8"/>
        <v>111</v>
      </c>
      <c r="R38" s="1385" t="s">
        <v>5</v>
      </c>
      <c r="S38" s="1386">
        <f t="shared" si="9"/>
        <v>100</v>
      </c>
      <c r="T38" s="1385" t="s">
        <v>5</v>
      </c>
      <c r="U38" s="1386">
        <f t="shared" si="10"/>
        <v>100</v>
      </c>
      <c r="V38" s="1385" t="s">
        <v>5</v>
      </c>
      <c r="W38" s="1386">
        <f t="shared" si="11"/>
        <v>100</v>
      </c>
      <c r="X38" s="1379"/>
      <c r="Y38" s="3880" t="s">
        <v>499</v>
      </c>
      <c r="Z38" s="1387">
        <f t="shared" si="12"/>
        <v>111</v>
      </c>
      <c r="AA38" s="1388">
        <f t="shared" si="3"/>
        <v>1</v>
      </c>
      <c r="AB38" s="1388">
        <f t="shared" si="4"/>
        <v>1</v>
      </c>
      <c r="AC38" s="1388">
        <f t="shared" si="5"/>
        <v>1</v>
      </c>
    </row>
    <row r="39" spans="1:29" s="1199" customFormat="1" ht="21" hidden="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880"/>
      <c r="Q39" s="1384">
        <f t="shared" si="8"/>
        <v>111</v>
      </c>
      <c r="R39" s="1389" t="s">
        <v>5</v>
      </c>
      <c r="S39" s="1390">
        <f t="shared" si="9"/>
        <v>100</v>
      </c>
      <c r="T39" s="1389" t="s">
        <v>5</v>
      </c>
      <c r="U39" s="1390">
        <f t="shared" si="10"/>
        <v>100</v>
      </c>
      <c r="V39" s="1389" t="s">
        <v>5</v>
      </c>
      <c r="W39" s="1390">
        <f t="shared" si="11"/>
        <v>100</v>
      </c>
      <c r="X39" s="1391"/>
      <c r="Y39" s="3880"/>
      <c r="Z39" s="1392">
        <f t="shared" si="12"/>
        <v>111</v>
      </c>
      <c r="AA39" s="1388">
        <f t="shared" si="3"/>
        <v>1</v>
      </c>
      <c r="AB39" s="1388">
        <f t="shared" si="4"/>
        <v>1</v>
      </c>
      <c r="AC39" s="1388">
        <f t="shared" si="5"/>
        <v>1</v>
      </c>
    </row>
    <row r="40" spans="1:29" ht="20.25">
      <c r="A40" s="2386" t="s">
        <v>2037</v>
      </c>
      <c r="B40" s="565" t="s">
        <v>501</v>
      </c>
      <c r="C40" s="566">
        <f>'数据-基础表'!A3</f>
        <v>19336.28</v>
      </c>
      <c r="D40" s="567">
        <v>100</v>
      </c>
      <c r="E40" s="566">
        <v>45954</v>
      </c>
      <c r="F40" s="567">
        <f>LOOKUP(E40,118:118,119:119)-LOOKUP(C40,118:118,119:119)+100</f>
        <v>101</v>
      </c>
      <c r="G40" s="566">
        <v>27877</v>
      </c>
      <c r="H40" s="567">
        <f>LOOKUP(G40,118:118,119:119)-LOOKUP(C40,118:118,119:119)+100</f>
        <v>100.5</v>
      </c>
      <c r="I40" s="568">
        <v>54389</v>
      </c>
      <c r="J40" s="567">
        <f>LOOKUP(I40,118:118,119:119)-LOOKUP(C40,118:118,119:119)+100</f>
        <v>101</v>
      </c>
      <c r="K40" s="551"/>
      <c r="L40" s="1864"/>
      <c r="M40" s="1854"/>
      <c r="N40" s="1854"/>
      <c r="O40" s="1863"/>
      <c r="P40" s="3880"/>
      <c r="Q40" s="1384" t="str">
        <f>B40</f>
        <v>宗地面积</v>
      </c>
      <c r="R40" s="1385" t="s">
        <v>5</v>
      </c>
      <c r="S40" s="1386">
        <f t="shared" si="9"/>
        <v>101</v>
      </c>
      <c r="T40" s="1385" t="s">
        <v>5</v>
      </c>
      <c r="U40" s="1386">
        <f t="shared" si="10"/>
        <v>100.5</v>
      </c>
      <c r="V40" s="1385" t="s">
        <v>5</v>
      </c>
      <c r="W40" s="1386">
        <f t="shared" si="11"/>
        <v>101</v>
      </c>
      <c r="X40" s="1379"/>
      <c r="Y40" s="3880"/>
      <c r="Z40" s="1387" t="str">
        <f t="shared" si="12"/>
        <v>宗地面积</v>
      </c>
      <c r="AA40" s="1388">
        <f t="shared" si="3"/>
        <v>0.99009900990099009</v>
      </c>
      <c r="AB40" s="1388">
        <f t="shared" si="4"/>
        <v>0.99502487562189057</v>
      </c>
      <c r="AC40" s="1388">
        <f t="shared" si="5"/>
        <v>0.99009900990099009</v>
      </c>
    </row>
    <row r="41" spans="1:29" ht="20.25">
      <c r="A41" s="564"/>
      <c r="B41" s="497" t="s">
        <v>502</v>
      </c>
      <c r="C41" s="569" t="s">
        <v>3264</v>
      </c>
      <c r="D41" s="510">
        <v>100</v>
      </c>
      <c r="E41" s="569" t="s">
        <v>3264</v>
      </c>
      <c r="F41" s="510">
        <f>SUMIF(120:120,E41,121:121)-SUMIF(120:120,C41,121:121)+100</f>
        <v>100</v>
      </c>
      <c r="G41" s="569" t="s">
        <v>3264</v>
      </c>
      <c r="H41" s="510">
        <f>SUMIF(120:120,G41,121:121)-SUMIF(120:120,C41,121:121)+100</f>
        <v>100</v>
      </c>
      <c r="I41" s="569" t="s">
        <v>3264</v>
      </c>
      <c r="J41" s="510">
        <f>SUMIF(120:120,I41,121:121)-SUMIF(120:120,C41,121:121)+100</f>
        <v>100</v>
      </c>
      <c r="K41" s="554">
        <v>1</v>
      </c>
      <c r="L41" s="1864"/>
      <c r="M41" s="1854"/>
      <c r="N41" s="1854"/>
      <c r="O41" s="1863"/>
      <c r="P41" s="3880"/>
      <c r="Q41" s="1384" t="str">
        <f t="shared" ref="Q41:Q47" si="13">B41</f>
        <v>宗地形状</v>
      </c>
      <c r="R41" s="1385" t="s">
        <v>5</v>
      </c>
      <c r="S41" s="1386">
        <f t="shared" si="9"/>
        <v>100</v>
      </c>
      <c r="T41" s="1385" t="s">
        <v>5</v>
      </c>
      <c r="U41" s="1386">
        <f t="shared" si="10"/>
        <v>100</v>
      </c>
      <c r="V41" s="1385" t="s">
        <v>5</v>
      </c>
      <c r="W41" s="1386">
        <f t="shared" si="11"/>
        <v>100</v>
      </c>
      <c r="X41" s="1379"/>
      <c r="Y41" s="3880"/>
      <c r="Z41" s="1387" t="str">
        <f t="shared" si="12"/>
        <v>宗地形状</v>
      </c>
      <c r="AA41" s="1388">
        <f t="shared" si="3"/>
        <v>1</v>
      </c>
      <c r="AB41" s="1388">
        <f t="shared" si="4"/>
        <v>1</v>
      </c>
      <c r="AC41" s="1388">
        <f t="shared" si="5"/>
        <v>1</v>
      </c>
    </row>
    <row r="42" spans="1:29" ht="20.25">
      <c r="A42" s="564"/>
      <c r="B42" s="497" t="s">
        <v>503</v>
      </c>
      <c r="C42" s="569" t="s">
        <v>3266</v>
      </c>
      <c r="D42" s="510">
        <v>100</v>
      </c>
      <c r="E42" s="569" t="s">
        <v>3266</v>
      </c>
      <c r="F42" s="510">
        <f>SUMIF(122:122,E42,123:123)-SUMIF(122:122,C42,123:123)+100</f>
        <v>100</v>
      </c>
      <c r="G42" s="569" t="s">
        <v>3266</v>
      </c>
      <c r="H42" s="510">
        <f>SUMIF(122:122,G42,123:123)-SUMIF(122:122,C42,123:123)+100</f>
        <v>100</v>
      </c>
      <c r="I42" s="569" t="s">
        <v>3266</v>
      </c>
      <c r="J42" s="510">
        <f>SUMIF(122:122,I42,123:123)-SUMIF(122:122,C42,123:123)+100</f>
        <v>100</v>
      </c>
      <c r="K42" s="554">
        <v>1</v>
      </c>
      <c r="L42" s="1864"/>
      <c r="M42" s="1854"/>
      <c r="N42" s="1854"/>
      <c r="O42" s="1863"/>
      <c r="P42" s="3880"/>
      <c r="Q42" s="1384" t="str">
        <f t="shared" si="13"/>
        <v>临街宽度及深度</v>
      </c>
      <c r="R42" s="1385" t="s">
        <v>5</v>
      </c>
      <c r="S42" s="1386">
        <f t="shared" si="9"/>
        <v>100</v>
      </c>
      <c r="T42" s="1385" t="s">
        <v>5</v>
      </c>
      <c r="U42" s="1386">
        <f t="shared" si="10"/>
        <v>100</v>
      </c>
      <c r="V42" s="1385" t="s">
        <v>5</v>
      </c>
      <c r="W42" s="1386">
        <f t="shared" si="11"/>
        <v>100</v>
      </c>
      <c r="X42" s="1379"/>
      <c r="Y42" s="3880"/>
      <c r="Z42" s="1387" t="str">
        <f t="shared" si="12"/>
        <v>临街宽度及深度</v>
      </c>
      <c r="AA42" s="1388">
        <f t="shared" si="3"/>
        <v>1</v>
      </c>
      <c r="AB42" s="1388">
        <f t="shared" si="4"/>
        <v>1</v>
      </c>
      <c r="AC42" s="1388">
        <f t="shared" si="5"/>
        <v>1</v>
      </c>
    </row>
    <row r="43" spans="1:29" s="1117" customFormat="1" ht="20.25">
      <c r="A43" s="570"/>
      <c r="B43" s="1650" t="s">
        <v>1776</v>
      </c>
      <c r="C43" s="571" t="s">
        <v>3268</v>
      </c>
      <c r="D43" s="246">
        <v>100</v>
      </c>
      <c r="E43" s="571" t="s">
        <v>3268</v>
      </c>
      <c r="F43" s="510">
        <f>SUMIF(124:124,E43,125:125)-SUMIF(124:124,C43,125:125)+100</f>
        <v>100</v>
      </c>
      <c r="G43" s="571" t="s">
        <v>3268</v>
      </c>
      <c r="H43" s="510">
        <f>SUMIF(124:124,G43,125:125)-SUMIF(124:124,C43,125:125)+100</f>
        <v>100</v>
      </c>
      <c r="I43" s="571" t="s">
        <v>3268</v>
      </c>
      <c r="J43" s="510">
        <f>SUMIF(124:124,I43,125:125)-SUMIF(124:124,C43,125:125)+100</f>
        <v>100</v>
      </c>
      <c r="K43" s="554">
        <v>1</v>
      </c>
      <c r="L43" s="1857"/>
      <c r="M43" s="1854"/>
      <c r="N43" s="1854"/>
      <c r="O43" s="1859"/>
      <c r="P43" s="3880"/>
      <c r="Q43" s="1384" t="str">
        <f t="shared" si="13"/>
        <v>宗地开发程度</v>
      </c>
      <c r="R43" s="1380" t="s">
        <v>5</v>
      </c>
      <c r="S43" s="1381">
        <f t="shared" si="9"/>
        <v>100</v>
      </c>
      <c r="T43" s="1380" t="s">
        <v>5</v>
      </c>
      <c r="U43" s="1381">
        <f t="shared" si="10"/>
        <v>100</v>
      </c>
      <c r="V43" s="1380" t="s">
        <v>5</v>
      </c>
      <c r="W43" s="1381">
        <f t="shared" si="11"/>
        <v>100</v>
      </c>
      <c r="X43" s="1382"/>
      <c r="Y43" s="3880"/>
      <c r="Z43" s="1048" t="str">
        <f t="shared" si="12"/>
        <v>宗地开发程度</v>
      </c>
      <c r="AA43" s="1383">
        <f t="shared" si="3"/>
        <v>1</v>
      </c>
      <c r="AB43" s="1383">
        <f t="shared" si="4"/>
        <v>1</v>
      </c>
      <c r="AC43" s="1383">
        <f t="shared" si="5"/>
        <v>1</v>
      </c>
    </row>
    <row r="44" spans="1:29" ht="21" thickBot="1">
      <c r="A44" s="564"/>
      <c r="B44" s="497" t="s">
        <v>504</v>
      </c>
      <c r="C44" s="569" t="s">
        <v>3270</v>
      </c>
      <c r="D44" s="510">
        <v>100</v>
      </c>
      <c r="E44" s="569" t="s">
        <v>3270</v>
      </c>
      <c r="F44" s="510">
        <f>SUMIF(126:126,E44,127:127)-SUMIF(126:126,C44,127:127)+100</f>
        <v>100</v>
      </c>
      <c r="G44" s="569" t="s">
        <v>3270</v>
      </c>
      <c r="H44" s="510">
        <f>SUMIF(126:126,G44,127:127)-SUMIF(126:126,C44,127:127)+100</f>
        <v>100</v>
      </c>
      <c r="I44" s="569" t="s">
        <v>3270</v>
      </c>
      <c r="J44" s="510">
        <f>SUMIF(126:126,I44,127:127)-SUMIF(126:126,C44,127:127)+100</f>
        <v>100</v>
      </c>
      <c r="K44" s="554">
        <v>1</v>
      </c>
      <c r="L44" s="1864"/>
      <c r="M44" s="1854"/>
      <c r="N44" s="1854"/>
      <c r="O44" s="1863"/>
      <c r="P44" s="3880" t="s">
        <v>499</v>
      </c>
      <c r="Q44" s="1384" t="str">
        <f t="shared" si="13"/>
        <v>工程地质条件</v>
      </c>
      <c r="R44" s="1385" t="s">
        <v>5</v>
      </c>
      <c r="S44" s="1386">
        <f t="shared" si="9"/>
        <v>100</v>
      </c>
      <c r="T44" s="1385" t="s">
        <v>5</v>
      </c>
      <c r="U44" s="1386">
        <f t="shared" si="10"/>
        <v>100</v>
      </c>
      <c r="V44" s="1385" t="s">
        <v>5</v>
      </c>
      <c r="W44" s="1386">
        <f t="shared" si="11"/>
        <v>100</v>
      </c>
      <c r="X44" s="1379"/>
      <c r="Y44" s="3880" t="s">
        <v>499</v>
      </c>
      <c r="Z44" s="1387" t="str">
        <f t="shared" si="12"/>
        <v>工程地质条件</v>
      </c>
      <c r="AA44" s="1388">
        <f t="shared" si="3"/>
        <v>1</v>
      </c>
      <c r="AB44" s="1388">
        <f t="shared" si="4"/>
        <v>1</v>
      </c>
      <c r="AC44" s="1388">
        <f t="shared" si="5"/>
        <v>1</v>
      </c>
    </row>
    <row r="45" spans="1:29" ht="20.25" hidden="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880"/>
      <c r="Q45" s="1384">
        <f t="shared" si="13"/>
        <v>111</v>
      </c>
      <c r="R45" s="1385" t="s">
        <v>5</v>
      </c>
      <c r="S45" s="1386">
        <f t="shared" si="9"/>
        <v>100</v>
      </c>
      <c r="T45" s="1385" t="s">
        <v>5</v>
      </c>
      <c r="U45" s="1386">
        <f t="shared" si="10"/>
        <v>100</v>
      </c>
      <c r="V45" s="1385" t="s">
        <v>5</v>
      </c>
      <c r="W45" s="1386">
        <f t="shared" si="11"/>
        <v>100</v>
      </c>
      <c r="X45" s="1379"/>
      <c r="Y45" s="3880"/>
      <c r="Z45" s="1387">
        <f t="shared" si="12"/>
        <v>111</v>
      </c>
      <c r="AA45" s="1388">
        <f t="shared" si="3"/>
        <v>1</v>
      </c>
      <c r="AB45" s="1388">
        <f t="shared" si="4"/>
        <v>1</v>
      </c>
      <c r="AC45" s="1388">
        <f t="shared" si="5"/>
        <v>1</v>
      </c>
    </row>
    <row r="46" spans="1:29" ht="20.25" hidden="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880"/>
      <c r="Q46" s="1384">
        <f t="shared" si="13"/>
        <v>111</v>
      </c>
      <c r="R46" s="1385" t="s">
        <v>5</v>
      </c>
      <c r="S46" s="1386">
        <f t="shared" si="9"/>
        <v>100</v>
      </c>
      <c r="T46" s="1385" t="s">
        <v>5</v>
      </c>
      <c r="U46" s="1386">
        <f t="shared" si="10"/>
        <v>100</v>
      </c>
      <c r="V46" s="1385" t="s">
        <v>5</v>
      </c>
      <c r="W46" s="1386">
        <f t="shared" si="11"/>
        <v>100</v>
      </c>
      <c r="X46" s="1379"/>
      <c r="Y46" s="3880"/>
      <c r="Z46" s="1387">
        <f t="shared" si="12"/>
        <v>111</v>
      </c>
      <c r="AA46" s="1388">
        <f t="shared" si="3"/>
        <v>1</v>
      </c>
      <c r="AB46" s="1388">
        <f t="shared" si="4"/>
        <v>1</v>
      </c>
      <c r="AC46" s="1388">
        <f t="shared" si="5"/>
        <v>1</v>
      </c>
    </row>
    <row r="47" spans="1:29" s="1199" customFormat="1" ht="21" hidden="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880"/>
      <c r="Q47" s="1384">
        <f t="shared" si="13"/>
        <v>111</v>
      </c>
      <c r="R47" s="1389" t="s">
        <v>5</v>
      </c>
      <c r="S47" s="1390">
        <f t="shared" si="9"/>
        <v>100</v>
      </c>
      <c r="T47" s="1389" t="s">
        <v>5</v>
      </c>
      <c r="U47" s="1390">
        <f t="shared" si="10"/>
        <v>100</v>
      </c>
      <c r="V47" s="1389" t="s">
        <v>5</v>
      </c>
      <c r="W47" s="1390">
        <f t="shared" si="11"/>
        <v>100</v>
      </c>
      <c r="X47" s="1391"/>
      <c r="Y47" s="3880"/>
      <c r="Z47" s="1392">
        <f t="shared" si="12"/>
        <v>111</v>
      </c>
      <c r="AA47" s="1388">
        <f t="shared" si="3"/>
        <v>1</v>
      </c>
      <c r="AB47" s="1388">
        <f t="shared" si="4"/>
        <v>1</v>
      </c>
      <c r="AC47" s="1388">
        <f t="shared" si="5"/>
        <v>1</v>
      </c>
    </row>
    <row r="48" spans="1:29" ht="20.25">
      <c r="A48" s="577" t="s">
        <v>505</v>
      </c>
      <c r="B48" s="578" t="s">
        <v>3273</v>
      </c>
      <c r="C48" s="579" t="s">
        <v>0</v>
      </c>
      <c r="D48" s="580"/>
      <c r="E48" s="581">
        <v>31281</v>
      </c>
      <c r="F48" s="582"/>
      <c r="G48" s="583">
        <v>35872</v>
      </c>
      <c r="H48" s="584"/>
      <c r="I48" s="581">
        <v>30721</v>
      </c>
      <c r="J48" s="584"/>
      <c r="K48" s="1200"/>
      <c r="L48" s="1866"/>
      <c r="M48" s="1854"/>
      <c r="N48" s="1854"/>
      <c r="O48" s="1867"/>
      <c r="P48" s="3843" t="str">
        <f>A48</f>
        <v>成交单价</v>
      </c>
      <c r="Q48" s="3843"/>
      <c r="R48" s="3844">
        <f>E48</f>
        <v>31281</v>
      </c>
      <c r="S48" s="3844"/>
      <c r="T48" s="3844">
        <f>G48</f>
        <v>35872</v>
      </c>
      <c r="U48" s="3844"/>
      <c r="V48" s="3844">
        <f>I48</f>
        <v>30721</v>
      </c>
      <c r="W48" s="3844"/>
      <c r="X48" s="1374"/>
      <c r="Y48" s="1393"/>
      <c r="Z48" s="1374"/>
      <c r="AA48" s="1374"/>
      <c r="AB48" s="1374"/>
      <c r="AC48" s="1374"/>
    </row>
    <row r="49" spans="1:29" ht="21" thickBot="1">
      <c r="A49" s="585" t="s">
        <v>1975</v>
      </c>
      <c r="B49" s="586"/>
      <c r="C49" s="587">
        <f>R50</f>
        <v>32245</v>
      </c>
      <c r="D49" s="2756" t="s">
        <v>2252</v>
      </c>
      <c r="E49" s="587">
        <f>R49</f>
        <v>30971</v>
      </c>
      <c r="F49" s="2757"/>
      <c r="G49" s="588">
        <f>T49</f>
        <v>35134</v>
      </c>
      <c r="H49" s="2757"/>
      <c r="I49" s="587">
        <f>V49</f>
        <v>30631</v>
      </c>
      <c r="J49" s="2757"/>
      <c r="K49" s="2758">
        <f>F49+H49+J49</f>
        <v>0</v>
      </c>
      <c r="L49" s="1866"/>
      <c r="M49" s="1854"/>
      <c r="N49" s="1854"/>
      <c r="O49" s="1867"/>
      <c r="P49" s="3843" t="str">
        <f>A49</f>
        <v>比较价格（元/平方米）</v>
      </c>
      <c r="Q49" s="3843"/>
      <c r="R49" s="3845">
        <f>ROUND(PRODUCT(R48,AA9:AA47),0)</f>
        <v>30971</v>
      </c>
      <c r="S49" s="3845"/>
      <c r="T49" s="3845">
        <f>ROUND(PRODUCT(T48,AB9:AB47),0)</f>
        <v>35134</v>
      </c>
      <c r="U49" s="3845"/>
      <c r="V49" s="3845">
        <f>ROUND(PRODUCT(V48,AC9:AC47),0)</f>
        <v>30631</v>
      </c>
      <c r="W49" s="3845"/>
      <c r="X49" s="1374"/>
      <c r="Y49" s="1374"/>
      <c r="Z49" s="1374"/>
      <c r="AA49" s="1374"/>
      <c r="AB49" s="1374"/>
      <c r="AC49" s="1374"/>
    </row>
    <row r="50" spans="1:29" ht="21" thickBot="1">
      <c r="A50" s="589" t="s">
        <v>2189</v>
      </c>
      <c r="B50" s="590"/>
      <c r="C50" s="591">
        <f>R50</f>
        <v>32245</v>
      </c>
      <c r="D50" s="591"/>
      <c r="E50" s="591"/>
      <c r="F50" s="591"/>
      <c r="G50" s="591"/>
      <c r="H50" s="591"/>
      <c r="I50" s="591"/>
      <c r="J50" s="591"/>
      <c r="K50" s="1201"/>
      <c r="L50" s="1866"/>
      <c r="M50" s="1854"/>
      <c r="N50" s="1854"/>
      <c r="O50" s="1867"/>
      <c r="P50" s="3881" t="str">
        <f>A50</f>
        <v>估价对象XX用房的比较价格（楼面单价，元/平方米）</v>
      </c>
      <c r="Q50" s="3882"/>
      <c r="R50" s="3842">
        <f>ROUND(IF(D49="简单平均",AVERAGE(R49:W49),R49*F49+T49*H49+V49*J49),0)</f>
        <v>32245</v>
      </c>
      <c r="S50" s="3842"/>
      <c r="T50" s="3842"/>
      <c r="U50" s="3842"/>
      <c r="V50" s="3842"/>
      <c r="W50" s="3842"/>
      <c r="X50" s="1374"/>
      <c r="Y50" s="1374"/>
      <c r="Z50" s="1374"/>
      <c r="AA50" s="1374"/>
      <c r="AB50" s="1374"/>
      <c r="AC50" s="1374"/>
    </row>
    <row r="51" spans="1:29" ht="20.25">
      <c r="A51" s="2956"/>
      <c r="B51" s="2956"/>
      <c r="C51" s="2956"/>
      <c r="D51" s="2956"/>
      <c r="E51" s="2956"/>
      <c r="F51" s="2956"/>
      <c r="G51" s="2958"/>
      <c r="H51" s="2956"/>
      <c r="I51" s="2956"/>
      <c r="J51" s="2956"/>
      <c r="K51" s="2959"/>
      <c r="L51" s="1871"/>
      <c r="M51" s="1854"/>
      <c r="N51" s="1854"/>
      <c r="O51" s="1867"/>
      <c r="P51" s="1867"/>
      <c r="Q51" s="1867"/>
      <c r="R51" s="1867"/>
      <c r="S51" s="1867"/>
      <c r="T51" s="1867"/>
      <c r="U51" s="1867"/>
      <c r="V51" s="1867"/>
      <c r="W51" s="1867"/>
      <c r="X51" s="1867"/>
      <c r="Y51" s="1867"/>
      <c r="Z51" s="1867"/>
      <c r="AA51" s="1867"/>
      <c r="AB51" s="1867"/>
      <c r="AC51" s="1867"/>
    </row>
    <row r="52" spans="1:29" ht="20.25">
      <c r="A52" s="2956"/>
      <c r="B52" s="2956"/>
      <c r="C52" s="2956"/>
      <c r="D52" s="2956"/>
      <c r="E52" s="2956"/>
      <c r="F52" s="2956"/>
      <c r="G52" s="2956"/>
      <c r="H52" s="2956"/>
      <c r="I52" s="2956"/>
      <c r="J52" s="2956"/>
      <c r="K52" s="2959"/>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6"/>
      <c r="B53" s="2956"/>
      <c r="C53" s="592" t="s">
        <v>506</v>
      </c>
      <c r="D53" s="593"/>
      <c r="E53" s="594">
        <f>IF(E48&lt;E49,E49/E48-1,E48/E49-1)</f>
        <v>1.0009363598204812E-2</v>
      </c>
      <c r="F53" s="595" t="str">
        <f>IF(OR(E53&gt;=0.3,E53&lt;=-0.3),"超过30%","")</f>
        <v/>
      </c>
      <c r="G53" s="594">
        <f>IF(G48&lt;G49,G49/G48-1,G48/G49-1)</f>
        <v>2.1005294017191423E-2</v>
      </c>
      <c r="H53" s="595" t="str">
        <f>IF(OR(G53&gt;=0.3,G53&lt;=-0.3),"超过30%","")</f>
        <v/>
      </c>
      <c r="I53" s="594">
        <f>IF(I48&lt;I49,I49/I48-1,I48/I49-1)</f>
        <v>2.9381998628839057E-3</v>
      </c>
      <c r="J53" s="595" t="str">
        <f>IF(OR(I53&gt;=0.3,I53&lt;=-0.3),"超过30%","")</f>
        <v/>
      </c>
      <c r="K53" s="2959"/>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6"/>
      <c r="B54" s="2956"/>
      <c r="C54" s="592" t="s">
        <v>507</v>
      </c>
      <c r="D54" s="596"/>
      <c r="E54" s="594">
        <f>IF(E49&lt;G49,G49/E49-1,E49/G49-1)</f>
        <v>0.13441606664298855</v>
      </c>
      <c r="F54" s="595" t="str">
        <f>IF(OR(E54&gt;=0.2,E54&lt;=-0.2),"超过20%","")</f>
        <v/>
      </c>
      <c r="G54" s="594">
        <f>IF(G49&lt;I49,I49/G49-1,G49/I49-1)</f>
        <v>0.14700793313962968</v>
      </c>
      <c r="H54" s="595" t="str">
        <f>IF(OR(G54&gt;=0.2,G54&lt;=-0.2),"超过20%","")</f>
        <v/>
      </c>
      <c r="I54" s="594">
        <f>IF(I49&lt;E49,E49/I49-1,I49/E49-1)</f>
        <v>1.1099866148672977E-2</v>
      </c>
      <c r="J54" s="595" t="str">
        <f>IF(OR(I54&gt;=0.2,I54&lt;=-0.2),"超过20%","")</f>
        <v/>
      </c>
      <c r="K54" s="2959"/>
      <c r="L54" s="1871"/>
      <c r="M54" s="1854"/>
      <c r="N54" s="1854"/>
      <c r="O54" s="1867"/>
      <c r="P54" s="1867"/>
      <c r="Q54" s="1867"/>
      <c r="R54" s="1867"/>
      <c r="S54" s="1867"/>
      <c r="T54" s="1867"/>
      <c r="U54" s="1867"/>
      <c r="V54" s="1867"/>
      <c r="W54" s="1867"/>
      <c r="X54" s="1867"/>
      <c r="Y54" s="1867"/>
      <c r="Z54" s="1867"/>
      <c r="AA54" s="1867"/>
      <c r="AB54" s="1867"/>
      <c r="AC54" s="1867"/>
    </row>
    <row r="55" spans="1:29" s="1204" customFormat="1" ht="13.5" customHeight="1">
      <c r="A55" s="2957"/>
      <c r="B55" s="2957"/>
      <c r="C55" s="592" t="s">
        <v>508</v>
      </c>
      <c r="D55" s="596"/>
      <c r="E55" s="594">
        <f>IF(E48&lt;G48,G48/E48-1,E48/G48-1)</f>
        <v>0.14676640772353822</v>
      </c>
      <c r="F55" s="595" t="str">
        <f>IF(OR(E55&gt;=0.3,E55&lt;=-0.3),"超过30%","")</f>
        <v/>
      </c>
      <c r="G55" s="594">
        <f>IF(G48&lt;I48,I48/G48-1,G48/I48-1)</f>
        <v>0.16767032323166564</v>
      </c>
      <c r="H55" s="595" t="str">
        <f>IF(OR(G55&gt;=0.3,G55&lt;=-0.3),"超过30%","")</f>
        <v/>
      </c>
      <c r="I55" s="594">
        <f>IF(I48&lt;E48,E48/I48-1,I48/E48-1)</f>
        <v>1.8228573288630034E-2</v>
      </c>
      <c r="J55" s="595" t="str">
        <f>IF(OR(I55&gt;=0.3,I55&lt;=-0.3),"超过30%","")</f>
        <v/>
      </c>
      <c r="K55" s="2960"/>
      <c r="L55" s="1874"/>
      <c r="M55" s="1854"/>
      <c r="N55" s="1854"/>
      <c r="O55" s="1868"/>
      <c r="P55" s="1868"/>
      <c r="Q55" s="1868"/>
      <c r="R55" s="1868"/>
      <c r="S55" s="1868"/>
      <c r="T55" s="1868"/>
      <c r="U55" s="1868"/>
      <c r="V55" s="1868"/>
      <c r="W55" s="1868"/>
      <c r="X55" s="1868"/>
      <c r="Y55" s="1868"/>
      <c r="Z55" s="1868"/>
      <c r="AA55" s="1868"/>
      <c r="AB55" s="1868"/>
      <c r="AC55" s="1868"/>
    </row>
    <row r="56" spans="1:29" s="1204" customFormat="1" ht="21" thickBot="1">
      <c r="A56" s="1868"/>
      <c r="B56" s="1869"/>
      <c r="C56" s="1872"/>
      <c r="D56" s="1868"/>
      <c r="E56" s="1868"/>
      <c r="F56" s="1868"/>
      <c r="G56" s="1868"/>
      <c r="H56" s="1868"/>
      <c r="I56" s="1868"/>
      <c r="J56" s="1868"/>
      <c r="K56" s="2960"/>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5" t="s">
        <v>1253</v>
      </c>
      <c r="D57" s="1945" t="s">
        <v>1650</v>
      </c>
      <c r="E57" s="599" t="s">
        <v>511</v>
      </c>
      <c r="F57" s="600" t="s">
        <v>512</v>
      </c>
      <c r="G57" s="3870" t="s">
        <v>1639</v>
      </c>
      <c r="H57" s="3871"/>
      <c r="I57" s="1371" t="s">
        <v>1251</v>
      </c>
      <c r="J57" s="1371">
        <f>项目基本情况!F41</f>
        <v>0</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5" customFormat="1" ht="12.75">
      <c r="A58" s="601" t="s">
        <v>513</v>
      </c>
      <c r="B58" s="602">
        <f>C50</f>
        <v>32245</v>
      </c>
      <c r="C58" s="603">
        <v>1</v>
      </c>
      <c r="D58" s="1946">
        <v>1</v>
      </c>
      <c r="E58" s="603">
        <f>'数据-汇总表'!E8+'数据-汇总表'!E9</f>
        <v>38371.56</v>
      </c>
      <c r="F58" s="604">
        <f t="shared" ref="F58:F66" si="14">ROUND(B58*E58/10000,0)</f>
        <v>123729</v>
      </c>
      <c r="G58" s="3872"/>
      <c r="H58" s="3873"/>
      <c r="I58" s="1372">
        <v>1</v>
      </c>
      <c r="J58" s="1372">
        <v>1</v>
      </c>
      <c r="K58" s="2961"/>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5" t="s">
        <v>514</v>
      </c>
      <c r="B59" s="606">
        <f>ROUND($C$50*C59*D59,0)</f>
        <v>0</v>
      </c>
      <c r="C59" s="365">
        <f t="shared" ref="C59:C66" si="15">IF($C$57="北京市系数",I59,J59)</f>
        <v>0</v>
      </c>
      <c r="D59" s="1947">
        <v>0.25</v>
      </c>
      <c r="E59" s="607">
        <v>0</v>
      </c>
      <c r="F59" s="604">
        <f t="shared" si="14"/>
        <v>0</v>
      </c>
      <c r="G59" s="3276" t="s">
        <v>1640</v>
      </c>
      <c r="H59" s="1703">
        <f>项目基本情况!B43</f>
        <v>0</v>
      </c>
      <c r="I59" s="1372">
        <f>SUMIF(修正!$A$57:$A$68,H59,修正!B57:B68)</f>
        <v>0</v>
      </c>
      <c r="J59" s="1373"/>
      <c r="K59" s="2961"/>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5" t="s">
        <v>515</v>
      </c>
      <c r="B60" s="606">
        <f t="shared" ref="B60:B66" si="16">ROUND($C$50*C60*D60,0)</f>
        <v>0</v>
      </c>
      <c r="C60" s="365">
        <f t="shared" si="15"/>
        <v>0</v>
      </c>
      <c r="D60" s="1947">
        <v>0.25</v>
      </c>
      <c r="E60" s="607">
        <v>0</v>
      </c>
      <c r="F60" s="604">
        <f t="shared" si="14"/>
        <v>0</v>
      </c>
      <c r="G60" s="3277"/>
      <c r="H60" s="1703">
        <f>项目基本情况!B43</f>
        <v>0</v>
      </c>
      <c r="I60" s="1372">
        <f>SUMIF(修正!$A$57:$A$68,H60,修正!C57:C68)</f>
        <v>0</v>
      </c>
      <c r="J60" s="1373"/>
      <c r="K60" s="2961"/>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2.75">
      <c r="A61" s="605" t="s">
        <v>516</v>
      </c>
      <c r="B61" s="606">
        <f t="shared" si="16"/>
        <v>0</v>
      </c>
      <c r="C61" s="365">
        <f t="shared" si="15"/>
        <v>0</v>
      </c>
      <c r="D61" s="1947">
        <v>0.25</v>
      </c>
      <c r="E61" s="607">
        <v>0</v>
      </c>
      <c r="F61" s="604">
        <f t="shared" si="14"/>
        <v>0</v>
      </c>
      <c r="G61" s="3277"/>
      <c r="H61" s="1703">
        <f>项目基本情况!B43</f>
        <v>0</v>
      </c>
      <c r="I61" s="1372">
        <f>SUMIF(修正!$A$57:$A$68,H61,修正!D57:D68)</f>
        <v>0</v>
      </c>
      <c r="J61" s="1373"/>
      <c r="K61" s="2961"/>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2.75">
      <c r="A62" s="2049" t="s">
        <v>1685</v>
      </c>
      <c r="B62" s="606">
        <f t="shared" si="16"/>
        <v>0</v>
      </c>
      <c r="C62" s="365">
        <f t="shared" si="15"/>
        <v>0</v>
      </c>
      <c r="D62" s="1947">
        <v>0.25</v>
      </c>
      <c r="E62" s="609">
        <f>'数据-汇总表'!E11</f>
        <v>0</v>
      </c>
      <c r="F62" s="604">
        <f t="shared" si="14"/>
        <v>0</v>
      </c>
      <c r="G62" s="1700" t="s">
        <v>1641</v>
      </c>
      <c r="H62" s="1703">
        <f>项目基本情况!C43</f>
        <v>0</v>
      </c>
      <c r="I62" s="1372">
        <f>SUMIF(修正!$A$57:$A$68,H62,修正!E57:E68)</f>
        <v>0</v>
      </c>
      <c r="J62" s="1373"/>
      <c r="K62" s="2961"/>
      <c r="L62" s="1876"/>
      <c r="M62" s="1876"/>
      <c r="N62" s="1876"/>
      <c r="O62" s="1876"/>
      <c r="P62" s="1876"/>
      <c r="Q62" s="1876"/>
      <c r="R62" s="1876"/>
      <c r="S62" s="1876"/>
      <c r="T62" s="1876"/>
      <c r="U62" s="1876"/>
      <c r="V62" s="1876"/>
      <c r="W62" s="1876"/>
      <c r="X62" s="1876"/>
      <c r="Y62" s="1876"/>
      <c r="Z62" s="1876"/>
      <c r="AA62" s="1876"/>
      <c r="AB62" s="1876"/>
      <c r="AC62" s="1876"/>
    </row>
    <row r="63" spans="1:29" s="1205" customFormat="1" ht="12.75">
      <c r="A63" s="605" t="s">
        <v>517</v>
      </c>
      <c r="B63" s="606">
        <f t="shared" si="16"/>
        <v>0</v>
      </c>
      <c r="C63" s="365">
        <f t="shared" si="15"/>
        <v>0</v>
      </c>
      <c r="D63" s="1947">
        <v>0.25</v>
      </c>
      <c r="E63" s="609">
        <f>'数据-汇总表'!E12</f>
        <v>0</v>
      </c>
      <c r="F63" s="604">
        <f t="shared" si="14"/>
        <v>0</v>
      </c>
      <c r="G63" s="1701" t="s">
        <v>1212</v>
      </c>
      <c r="H63" s="1699">
        <f>IF(G63="商业",项目基本情况!B43,IF(G63="办公",项目基本情况!C43,IF(G63="住宅",项目基本情况!D43,项目基本情况!E43)))</f>
        <v>0</v>
      </c>
      <c r="I63" s="1372">
        <f>SUMIF(修正!$A$57:$A$68,H63,修正!F57:F68)</f>
        <v>0</v>
      </c>
      <c r="J63" s="1373"/>
      <c r="K63" s="2961"/>
      <c r="L63" s="1876"/>
      <c r="M63" s="1876"/>
      <c r="N63" s="1876"/>
      <c r="O63" s="1876"/>
      <c r="P63" s="1876"/>
      <c r="Q63" s="1876"/>
      <c r="R63" s="1876"/>
      <c r="S63" s="1876"/>
      <c r="T63" s="1876"/>
      <c r="U63" s="1876"/>
      <c r="V63" s="1876"/>
      <c r="W63" s="1876"/>
      <c r="X63" s="1876"/>
      <c r="Y63" s="1876"/>
      <c r="Z63" s="1876"/>
      <c r="AA63" s="1876"/>
      <c r="AB63" s="1876"/>
      <c r="AC63" s="1876"/>
    </row>
    <row r="64" spans="1:29" s="1205" customFormat="1" ht="12.75">
      <c r="A64" s="605" t="s">
        <v>518</v>
      </c>
      <c r="B64" s="606">
        <f t="shared" si="16"/>
        <v>1209</v>
      </c>
      <c r="C64" s="365">
        <f t="shared" si="15"/>
        <v>0.15</v>
      </c>
      <c r="D64" s="1947">
        <v>0.25</v>
      </c>
      <c r="E64" s="609">
        <f>'数据-汇总表'!E13</f>
        <v>14080</v>
      </c>
      <c r="F64" s="604">
        <f t="shared" si="14"/>
        <v>1702</v>
      </c>
      <c r="G64" s="1701" t="s">
        <v>851</v>
      </c>
      <c r="H64" s="1699" t="str">
        <f>IF(G64="商业",项目基本情况!B43,IF(G64="办公",项目基本情况!C43,IF(G64="住宅",项目基本情况!D43,项目基本情况!E43)))</f>
        <v>六级</v>
      </c>
      <c r="I64" s="1372">
        <f>SUMIF(修正!$A$57:$A$68,H64,修正!G57:G68)</f>
        <v>0.15</v>
      </c>
      <c r="J64" s="1373"/>
      <c r="K64" s="2961"/>
      <c r="L64" s="1876"/>
      <c r="M64" s="1876"/>
      <c r="N64" s="1876"/>
      <c r="O64" s="1876"/>
      <c r="P64" s="1876"/>
      <c r="Q64" s="1876"/>
      <c r="R64" s="1876"/>
      <c r="S64" s="1876"/>
      <c r="T64" s="1876"/>
      <c r="U64" s="1876"/>
      <c r="V64" s="1876"/>
      <c r="W64" s="1876"/>
      <c r="X64" s="1876"/>
      <c r="Y64" s="1876"/>
      <c r="Z64" s="1876"/>
      <c r="AA64" s="1876"/>
      <c r="AB64" s="1876"/>
      <c r="AC64" s="1876"/>
    </row>
    <row r="65" spans="1:29" s="1205" customFormat="1" ht="12.75">
      <c r="A65" s="605" t="s">
        <v>519</v>
      </c>
      <c r="B65" s="606">
        <f t="shared" si="16"/>
        <v>0</v>
      </c>
      <c r="C65" s="365">
        <f t="shared" si="15"/>
        <v>0</v>
      </c>
      <c r="D65" s="1947">
        <v>0.25</v>
      </c>
      <c r="E65" s="609">
        <f>'数据-汇总表'!E14</f>
        <v>0</v>
      </c>
      <c r="F65" s="604">
        <f t="shared" si="14"/>
        <v>0</v>
      </c>
      <c r="G65" s="1700" t="s">
        <v>1640</v>
      </c>
      <c r="H65" s="1703">
        <f>项目基本情况!B43</f>
        <v>0</v>
      </c>
      <c r="I65" s="1372">
        <f>SUMIF(修正!$A$57:$A$68,H65,修正!G57:G68)</f>
        <v>0</v>
      </c>
      <c r="J65" s="1373"/>
      <c r="K65" s="2961"/>
      <c r="L65" s="1876"/>
      <c r="M65" s="1876"/>
      <c r="N65" s="1876"/>
      <c r="O65" s="1876"/>
      <c r="P65" s="1876"/>
      <c r="Q65" s="1876"/>
      <c r="R65" s="1876"/>
      <c r="S65" s="1876"/>
      <c r="T65" s="1876"/>
      <c r="U65" s="1876"/>
      <c r="V65" s="1876"/>
      <c r="W65" s="1876"/>
      <c r="X65" s="1876"/>
      <c r="Y65" s="1876"/>
      <c r="Z65" s="1876"/>
      <c r="AA65" s="1876"/>
      <c r="AB65" s="1876"/>
      <c r="AC65" s="1876"/>
    </row>
    <row r="66" spans="1:29" s="1205" customFormat="1" ht="13.5" thickBot="1">
      <c r="A66" s="605" t="s">
        <v>520</v>
      </c>
      <c r="B66" s="606">
        <f t="shared" si="16"/>
        <v>0</v>
      </c>
      <c r="C66" s="365">
        <f t="shared" si="15"/>
        <v>0</v>
      </c>
      <c r="D66" s="1947">
        <v>0.25</v>
      </c>
      <c r="E66" s="609">
        <f>'数据-汇总表'!E15</f>
        <v>0</v>
      </c>
      <c r="F66" s="604">
        <f t="shared" si="14"/>
        <v>0</v>
      </c>
      <c r="G66" s="1702" t="s">
        <v>1641</v>
      </c>
      <c r="H66" s="1704">
        <f>项目基本情况!C43</f>
        <v>0</v>
      </c>
      <c r="I66" s="1372">
        <f>SUMIF(修正!$A$57:$A$68,H66,修正!G57:G68)</f>
        <v>0</v>
      </c>
      <c r="J66" s="1373"/>
      <c r="K66" s="2961"/>
      <c r="L66" s="1876"/>
      <c r="M66" s="1876"/>
      <c r="N66" s="1876"/>
      <c r="O66" s="1876"/>
      <c r="P66" s="1876"/>
      <c r="Q66" s="1876"/>
      <c r="R66" s="1876"/>
      <c r="S66" s="1876"/>
      <c r="T66" s="1876"/>
      <c r="U66" s="1876"/>
      <c r="V66" s="1876"/>
      <c r="W66" s="1876"/>
      <c r="X66" s="1876"/>
      <c r="Y66" s="1876"/>
      <c r="Z66" s="1876"/>
      <c r="AA66" s="1876"/>
      <c r="AB66" s="1876"/>
      <c r="AC66" s="1876"/>
    </row>
    <row r="67" spans="1:29" s="1205" customFormat="1" ht="13.5" thickBot="1">
      <c r="A67" s="610" t="s">
        <v>521</v>
      </c>
      <c r="B67" s="611" t="s">
        <v>11</v>
      </c>
      <c r="C67" s="611" t="s">
        <v>12</v>
      </c>
      <c r="D67" s="611" t="s">
        <v>1651</v>
      </c>
      <c r="E67" s="611">
        <f>IF(B48="楼面地价",SUM(E58:E66),'数据-汇总表'!D3)</f>
        <v>52451.56</v>
      </c>
      <c r="F67" s="612">
        <f>IF(B48="楼面地价",SUM(F58:F66),ROUND(C50*E67/10000,0))</f>
        <v>125431</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2023-9-1</v>
      </c>
      <c r="D69" s="2278">
        <f>EDATE(C69,-3)</f>
        <v>45078</v>
      </c>
      <c r="E69" s="2278">
        <f t="shared" ref="E69:N69" si="17">EDATE(D69,-3)</f>
        <v>44986</v>
      </c>
      <c r="F69" s="2278">
        <f t="shared" si="17"/>
        <v>44896</v>
      </c>
      <c r="G69" s="2278">
        <f t="shared" si="17"/>
        <v>44805</v>
      </c>
      <c r="H69" s="2278">
        <f t="shared" si="17"/>
        <v>44713</v>
      </c>
      <c r="I69" s="2278">
        <f t="shared" si="17"/>
        <v>44621</v>
      </c>
      <c r="J69" s="2278">
        <f t="shared" si="17"/>
        <v>44531</v>
      </c>
      <c r="K69" s="2278">
        <f t="shared" si="17"/>
        <v>44440</v>
      </c>
      <c r="L69" s="2278">
        <f t="shared" si="17"/>
        <v>44348</v>
      </c>
      <c r="M69" s="2278">
        <f t="shared" si="17"/>
        <v>44256</v>
      </c>
      <c r="N69" s="2278">
        <f t="shared" si="17"/>
        <v>44166</v>
      </c>
      <c r="O69" s="1867"/>
      <c r="P69" s="1867"/>
      <c r="Q69" s="1867"/>
      <c r="R69" s="1867"/>
      <c r="S69" s="1867"/>
      <c r="T69" s="1867"/>
      <c r="U69" s="1867"/>
      <c r="V69" s="1867"/>
      <c r="W69" s="1867"/>
      <c r="X69" s="1867"/>
      <c r="Y69" s="1867"/>
      <c r="Z69" s="1867"/>
      <c r="AA69" s="1867"/>
      <c r="AB69" s="1867"/>
      <c r="AC69" s="1867"/>
    </row>
    <row r="70" spans="1:29" ht="21.75" thickBot="1">
      <c r="A70" s="1396" t="s">
        <v>522</v>
      </c>
      <c r="B70" s="1374"/>
      <c r="C70" s="1395"/>
      <c r="D70" s="1395"/>
      <c r="E70" s="1395"/>
      <c r="F70" s="1397"/>
      <c r="G70" s="1397"/>
      <c r="H70" s="1395"/>
      <c r="I70" s="1395"/>
      <c r="J70" s="1395"/>
      <c r="K70" s="1398"/>
      <c r="L70" s="1394"/>
      <c r="M70" s="1395"/>
      <c r="N70" s="1395"/>
      <c r="O70" s="1878"/>
      <c r="P70" s="1878"/>
      <c r="Q70" s="1879"/>
      <c r="R70" s="1867"/>
      <c r="S70" s="1867"/>
      <c r="T70" s="1867"/>
      <c r="U70" s="1867"/>
      <c r="V70" s="1867"/>
      <c r="W70" s="1867"/>
      <c r="X70" s="1867"/>
      <c r="Y70" s="1867"/>
      <c r="Z70" s="1867"/>
      <c r="AA70" s="1867"/>
      <c r="AB70" s="1867"/>
      <c r="AC70" s="1867"/>
    </row>
    <row r="71" spans="1:29" s="1206" customFormat="1" ht="15">
      <c r="A71" s="2184" t="s">
        <v>1815</v>
      </c>
      <c r="B71" s="2185"/>
      <c r="C71" s="2275" t="str">
        <f>YEAR(C69)&amp;"-"&amp;ROUNDUP(MONTH(C69)/3,0)</f>
        <v>2023-3</v>
      </c>
      <c r="D71" s="2280" t="str">
        <f>YEAR(D69)&amp;"-"&amp;ROUNDUP(MONTH(D69)/3,0)</f>
        <v>2023-2</v>
      </c>
      <c r="E71" s="2280" t="str">
        <f t="shared" ref="E71:N71" si="18">YEAR(E69)&amp;"-"&amp;ROUNDUP(MONTH(E69)/3,0)</f>
        <v>2023-1</v>
      </c>
      <c r="F71" s="2280" t="str">
        <f t="shared" si="18"/>
        <v>2022-4</v>
      </c>
      <c r="G71" s="2280" t="str">
        <f t="shared" si="18"/>
        <v>2022-3</v>
      </c>
      <c r="H71" s="2280" t="str">
        <f t="shared" si="18"/>
        <v>2022-2</v>
      </c>
      <c r="I71" s="2280" t="str">
        <f t="shared" si="18"/>
        <v>2022-1</v>
      </c>
      <c r="J71" s="2280" t="str">
        <f t="shared" si="18"/>
        <v>2021-4</v>
      </c>
      <c r="K71" s="2280" t="str">
        <f t="shared" si="18"/>
        <v>2021-3</v>
      </c>
      <c r="L71" s="2280" t="str">
        <f t="shared" si="18"/>
        <v>2021-2</v>
      </c>
      <c r="M71" s="2280" t="str">
        <f t="shared" si="18"/>
        <v>2021-1</v>
      </c>
      <c r="N71" s="2280" t="str">
        <f t="shared" si="18"/>
        <v>2020-4</v>
      </c>
      <c r="O71" s="1880"/>
      <c r="P71" s="1881"/>
      <c r="Q71" s="1882"/>
      <c r="R71" s="1882"/>
      <c r="S71" s="1882"/>
      <c r="T71" s="1882"/>
      <c r="U71" s="1882"/>
      <c r="V71" s="1882"/>
      <c r="W71" s="1882"/>
      <c r="X71" s="1882"/>
      <c r="Y71" s="1882"/>
      <c r="Z71" s="1882"/>
      <c r="AA71" s="1882"/>
      <c r="AB71" s="1882"/>
      <c r="AC71" s="1882"/>
    </row>
    <row r="72" spans="1:29" s="1117" customFormat="1" ht="27" customHeight="1">
      <c r="A72" s="2285" t="s">
        <v>1929</v>
      </c>
      <c r="B72" s="465" t="str">
        <f>"北京市平均增长率"&amp;TEXT(SUMIF(基准地价!N25:N29,A72,基准地价!P25:P29),"0.00%")</f>
        <v>北京市平均增长率0.00%</v>
      </c>
      <c r="C72" s="856">
        <v>100</v>
      </c>
      <c r="D72" s="698">
        <f>C72-$C$73</f>
        <v>99.9</v>
      </c>
      <c r="E72" s="698">
        <f t="shared" ref="E72:N72" si="19">D72-$C$73</f>
        <v>99.800000000000011</v>
      </c>
      <c r="F72" s="698">
        <f t="shared" si="19"/>
        <v>99.700000000000017</v>
      </c>
      <c r="G72" s="698">
        <f t="shared" si="19"/>
        <v>99.600000000000023</v>
      </c>
      <c r="H72" s="698">
        <f t="shared" si="19"/>
        <v>99.500000000000028</v>
      </c>
      <c r="I72" s="698">
        <f t="shared" si="19"/>
        <v>99.400000000000034</v>
      </c>
      <c r="J72" s="698">
        <f t="shared" si="19"/>
        <v>99.30000000000004</v>
      </c>
      <c r="K72" s="698">
        <f t="shared" si="19"/>
        <v>99.200000000000045</v>
      </c>
      <c r="L72" s="698">
        <f t="shared" si="19"/>
        <v>99.100000000000051</v>
      </c>
      <c r="M72" s="698">
        <f t="shared" si="19"/>
        <v>99.000000000000057</v>
      </c>
      <c r="N72" s="698">
        <f t="shared" si="19"/>
        <v>98.900000000000063</v>
      </c>
      <c r="O72" s="1883"/>
      <c r="P72" s="1879"/>
      <c r="Q72" s="1745"/>
      <c r="R72" s="1745"/>
      <c r="S72" s="1745"/>
      <c r="T72" s="1745"/>
      <c r="U72" s="1745"/>
      <c r="V72" s="1745"/>
      <c r="W72" s="1745"/>
      <c r="X72" s="1745"/>
      <c r="Y72" s="1745"/>
      <c r="Z72" s="1745"/>
      <c r="AA72" s="1745"/>
      <c r="AB72" s="1745"/>
      <c r="AC72" s="1745"/>
    </row>
    <row r="73" spans="1:29" s="1117" customFormat="1" ht="15" customHeight="1" thickBot="1">
      <c r="A73" s="2276" t="s">
        <v>1928</v>
      </c>
      <c r="B73" s="2284"/>
      <c r="C73" s="623">
        <v>0.1</v>
      </c>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7" customFormat="1" ht="15">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7" customFormat="1" ht="15.75"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c r="A76" s="632" t="s">
        <v>525</v>
      </c>
      <c r="B76" s="633" t="s">
        <v>483</v>
      </c>
      <c r="C76" s="3662" t="s">
        <v>3263</v>
      </c>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5.75" thickBot="1">
      <c r="A77" s="637"/>
      <c r="B77" s="638"/>
      <c r="C77" s="639">
        <v>100</v>
      </c>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7.75"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649" t="s">
        <v>487</v>
      </c>
      <c r="C80" s="650" t="str">
        <f>C81&amp;"（含）"&amp;"-"&amp;D81</f>
        <v>0（含）-1</v>
      </c>
      <c r="D80" s="650" t="str">
        <f t="shared" ref="D80:L80" si="20">D81&amp;"（含）"&amp;"-"&amp;E81</f>
        <v>1（含）-2</v>
      </c>
      <c r="E80" s="650" t="str">
        <f t="shared" si="20"/>
        <v>2（含）-3</v>
      </c>
      <c r="F80" s="650" t="str">
        <f t="shared" si="20"/>
        <v>3（含）-4</v>
      </c>
      <c r="G80" s="650" t="str">
        <f t="shared" si="20"/>
        <v>4（含）-5</v>
      </c>
      <c r="H80" s="650" t="str">
        <f t="shared" si="20"/>
        <v>5（含）-6</v>
      </c>
      <c r="I80" s="650" t="str">
        <f t="shared" si="20"/>
        <v>6（含）-7</v>
      </c>
      <c r="J80" s="650" t="str">
        <f t="shared" si="20"/>
        <v>7（含）-8</v>
      </c>
      <c r="K80" s="650" t="str">
        <f t="shared" si="20"/>
        <v>8（含）-9</v>
      </c>
      <c r="L80" s="650" t="str">
        <f t="shared" si="20"/>
        <v>9（含）-10</v>
      </c>
      <c r="M80" s="525" t="str">
        <f>M81&amp;"（含）"&amp;"-"&amp;P81</f>
        <v>10（含）-</v>
      </c>
      <c r="N80" s="1887"/>
      <c r="O80" s="1887"/>
      <c r="P80" s="1886"/>
      <c r="Q80" s="1879"/>
      <c r="R80" s="1867"/>
      <c r="S80" s="1867"/>
      <c r="T80" s="1867"/>
      <c r="U80" s="1867"/>
      <c r="V80" s="1867"/>
      <c r="W80" s="1867"/>
      <c r="X80" s="1867"/>
      <c r="Y80" s="1867"/>
      <c r="Z80" s="1867"/>
      <c r="AA80" s="1867"/>
      <c r="AB80" s="1867"/>
      <c r="AC80" s="1867"/>
    </row>
    <row r="81" spans="1:29" ht="15">
      <c r="A81" s="637"/>
      <c r="B81" s="651"/>
      <c r="C81" s="511">
        <v>0</v>
      </c>
      <c r="D81" s="511">
        <v>1</v>
      </c>
      <c r="E81" s="511">
        <v>2</v>
      </c>
      <c r="F81" s="511">
        <v>3</v>
      </c>
      <c r="G81" s="511">
        <v>4</v>
      </c>
      <c r="H81" s="511">
        <v>5</v>
      </c>
      <c r="I81" s="511">
        <v>6</v>
      </c>
      <c r="J81" s="511">
        <v>7</v>
      </c>
      <c r="K81" s="511">
        <v>8</v>
      </c>
      <c r="L81" s="511">
        <v>9</v>
      </c>
      <c r="M81" s="511">
        <v>10</v>
      </c>
      <c r="N81" s="1885"/>
      <c r="O81" s="1885"/>
      <c r="P81" s="1886"/>
      <c r="Q81" s="1879"/>
      <c r="R81" s="1867"/>
      <c r="S81" s="1867"/>
      <c r="T81" s="1867"/>
      <c r="U81" s="1867"/>
      <c r="V81" s="1867"/>
      <c r="W81" s="1867"/>
      <c r="X81" s="1867"/>
      <c r="Y81" s="1867"/>
      <c r="Z81" s="1867"/>
      <c r="AA81" s="1867"/>
      <c r="AB81" s="1867"/>
      <c r="AC81" s="1867"/>
    </row>
    <row r="82" spans="1:29" ht="15.75" thickBot="1">
      <c r="A82" s="637"/>
      <c r="B82" s="638"/>
      <c r="C82" s="647">
        <v>100</v>
      </c>
      <c r="D82" s="647">
        <f t="shared" ref="D82:M82" si="21">IF($B$48="单位面积地价",C82+$K13,C82-$K13)</f>
        <v>98</v>
      </c>
      <c r="E82" s="647">
        <f t="shared" si="21"/>
        <v>96</v>
      </c>
      <c r="F82" s="647">
        <f t="shared" si="21"/>
        <v>94</v>
      </c>
      <c r="G82" s="647">
        <f t="shared" si="21"/>
        <v>92</v>
      </c>
      <c r="H82" s="647">
        <f t="shared" si="21"/>
        <v>90</v>
      </c>
      <c r="I82" s="647">
        <f t="shared" si="21"/>
        <v>88</v>
      </c>
      <c r="J82" s="647">
        <f t="shared" si="21"/>
        <v>86</v>
      </c>
      <c r="K82" s="647">
        <f t="shared" si="21"/>
        <v>84</v>
      </c>
      <c r="L82" s="647">
        <f t="shared" si="21"/>
        <v>82</v>
      </c>
      <c r="M82" s="647">
        <f t="shared" si="21"/>
        <v>80</v>
      </c>
      <c r="N82" s="1887"/>
      <c r="O82" s="1887"/>
      <c r="P82" s="1886"/>
      <c r="Q82" s="1879"/>
      <c r="R82" s="1867"/>
      <c r="S82" s="1867"/>
      <c r="T82" s="1867"/>
      <c r="U82" s="1867"/>
      <c r="V82" s="1867"/>
      <c r="W82" s="1867"/>
      <c r="X82" s="1867"/>
      <c r="Y82" s="1867"/>
      <c r="Z82" s="1867"/>
      <c r="AA82" s="1867"/>
      <c r="AB82" s="1867"/>
      <c r="AC82" s="1867"/>
    </row>
    <row r="83" spans="1:29" s="1199" customFormat="1" ht="15.75" thickTop="1">
      <c r="A83" s="655"/>
      <c r="B83" s="641" t="str">
        <f>B14</f>
        <v>配建</v>
      </c>
      <c r="C83" s="656"/>
      <c r="D83" s="1232"/>
      <c r="E83" s="1233"/>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199" customFormat="1" ht="15.75" thickBot="1">
      <c r="A84" s="655"/>
      <c r="B84" s="646"/>
      <c r="C84" s="660"/>
      <c r="D84" s="639"/>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199" customFormat="1" ht="15.75" thickTop="1">
      <c r="A85" s="655"/>
      <c r="B85" s="641" t="str">
        <f>B15</f>
        <v>限售价</v>
      </c>
      <c r="C85" s="3664" t="s">
        <v>3300</v>
      </c>
      <c r="D85" s="3664" t="s">
        <v>3301</v>
      </c>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199" customFormat="1" ht="15.75" thickBot="1">
      <c r="A86" s="655"/>
      <c r="B86" s="646"/>
      <c r="C86" s="660">
        <v>100</v>
      </c>
      <c r="D86" s="660">
        <v>98</v>
      </c>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199" customFormat="1" ht="15.75"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199" customFormat="1" ht="15.75"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5.75" thickBot="1">
      <c r="A90" s="637"/>
      <c r="B90" s="646"/>
      <c r="C90" s="647">
        <v>100</v>
      </c>
      <c r="D90" s="647">
        <f>C90-$K17</f>
        <v>97</v>
      </c>
      <c r="E90" s="647">
        <f>D90-$K17</f>
        <v>94</v>
      </c>
      <c r="F90" s="647">
        <f>E90-$K17</f>
        <v>91</v>
      </c>
      <c r="G90" s="647">
        <f>F90-$K17</f>
        <v>88</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7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47">
        <v>100</v>
      </c>
      <c r="D92" s="647">
        <f>C92-$K19</f>
        <v>97</v>
      </c>
      <c r="E92" s="647">
        <f>D92-$K19</f>
        <v>94</v>
      </c>
      <c r="F92" s="647">
        <f>E92-$K19</f>
        <v>91</v>
      </c>
      <c r="G92" s="647">
        <f>F92-$K19</f>
        <v>88</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7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7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C96-$K23</f>
        <v>97</v>
      </c>
      <c r="E96" s="647">
        <f>D96-$K23</f>
        <v>94</v>
      </c>
      <c r="F96" s="647">
        <f>E96-$K23</f>
        <v>91</v>
      </c>
      <c r="G96" s="647">
        <f>F96-$K23</f>
        <v>88</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7" customFormat="1" ht="27.75"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7" customFormat="1" ht="15.75" thickBot="1">
      <c r="A98" s="677"/>
      <c r="B98" s="646"/>
      <c r="C98" s="680">
        <v>100</v>
      </c>
      <c r="D98" s="647">
        <f>C98-$K25</f>
        <v>98</v>
      </c>
      <c r="E98" s="647">
        <f>D98-$K25</f>
        <v>96</v>
      </c>
      <c r="F98" s="647">
        <f>E98-$K25</f>
        <v>94</v>
      </c>
      <c r="G98" s="647">
        <f>F98-$K25</f>
        <v>92</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7" customFormat="1" ht="27.75"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7" customFormat="1" ht="15.75" thickBot="1">
      <c r="A100" s="677"/>
      <c r="B100" s="646"/>
      <c r="C100" s="647">
        <v>100</v>
      </c>
      <c r="D100" s="647">
        <f>C100-$K27</f>
        <v>98</v>
      </c>
      <c r="E100" s="647">
        <f>D100-$K27</f>
        <v>96</v>
      </c>
      <c r="F100" s="647">
        <f>E100-$K27</f>
        <v>94</v>
      </c>
      <c r="G100" s="647">
        <f>F100-$K27</f>
        <v>92</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199" customFormat="1" ht="15.75" thickTop="1">
      <c r="A101" s="655"/>
      <c r="B101" s="1651" t="s">
        <v>1831</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199"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199" customFormat="1" ht="15.75" thickTop="1">
      <c r="A103" s="655"/>
      <c r="B103" s="2204" t="s">
        <v>1833</v>
      </c>
      <c r="C103" s="2205" t="s">
        <v>1834</v>
      </c>
      <c r="D103" s="2205" t="s">
        <v>1835</v>
      </c>
      <c r="E103" s="2205" t="s">
        <v>1836</v>
      </c>
      <c r="F103" s="2205" t="s">
        <v>1837</v>
      </c>
      <c r="G103" s="2205" t="s">
        <v>1838</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9"/>
      <c r="C104" s="647">
        <v>100</v>
      </c>
      <c r="D104" s="647">
        <f>C104-$K31</f>
        <v>98</v>
      </c>
      <c r="E104" s="647">
        <f>D104-$K31</f>
        <v>96</v>
      </c>
      <c r="F104" s="647">
        <f>E104-$K31</f>
        <v>94</v>
      </c>
      <c r="G104" s="647">
        <f>F104-$K31</f>
        <v>92</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7"/>
      <c r="B107" s="641" t="s">
        <v>497</v>
      </c>
      <c r="C107" s="656"/>
      <c r="D107" s="656"/>
      <c r="E107" s="656"/>
      <c r="F107" s="656"/>
      <c r="G107" s="65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7"/>
      <c r="B109" s="641" t="s">
        <v>498</v>
      </c>
      <c r="C109" s="686"/>
      <c r="D109" s="686"/>
      <c r="E109" s="68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5.75"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5"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5.75"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199" customFormat="1" ht="15"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199" customFormat="1" ht="15.75"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ht="28.5">
      <c r="A117" s="632" t="s">
        <v>500</v>
      </c>
      <c r="B117" s="633" t="s">
        <v>541</v>
      </c>
      <c r="C117" s="672" t="str">
        <f t="shared" ref="C117:L117" si="25">C118&amp;"(含)"&amp;"-"&amp;D118</f>
        <v>0(含)-20000</v>
      </c>
      <c r="D117" s="672" t="str">
        <f t="shared" si="25"/>
        <v>20000(含)-40000</v>
      </c>
      <c r="E117" s="672" t="str">
        <f t="shared" si="25"/>
        <v>40000(含)-60000</v>
      </c>
      <c r="F117" s="672" t="str">
        <f t="shared" si="25"/>
        <v>60000(含)-80000</v>
      </c>
      <c r="G117" s="672" t="str">
        <f t="shared" si="25"/>
        <v>80000(含)-100000</v>
      </c>
      <c r="H117" s="672" t="str">
        <f t="shared" si="25"/>
        <v>100000(含)-120000</v>
      </c>
      <c r="I117" s="672" t="str">
        <f t="shared" si="25"/>
        <v>120000(含)-</v>
      </c>
      <c r="J117" s="2536" t="str">
        <f t="shared" si="25"/>
        <v>(含)-</v>
      </c>
      <c r="K117" s="2536" t="str">
        <f t="shared" si="25"/>
        <v>(含)-</v>
      </c>
      <c r="L117" s="2537" t="str">
        <f t="shared" si="25"/>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7"/>
      <c r="B118" s="649"/>
      <c r="C118" s="698">
        <v>0</v>
      </c>
      <c r="D118" s="698">
        <v>20000</v>
      </c>
      <c r="E118" s="698">
        <v>40000</v>
      </c>
      <c r="F118" s="698">
        <v>60000</v>
      </c>
      <c r="G118" s="698">
        <v>80000</v>
      </c>
      <c r="H118" s="698">
        <v>100000</v>
      </c>
      <c r="I118" s="698">
        <v>120000</v>
      </c>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8">
        <v>100</v>
      </c>
      <c r="D119" s="694">
        <v>100.5</v>
      </c>
      <c r="E119" s="668">
        <v>101</v>
      </c>
      <c r="F119" s="694">
        <v>101.5</v>
      </c>
      <c r="G119" s="668">
        <v>102</v>
      </c>
      <c r="H119" s="694">
        <v>102.5</v>
      </c>
      <c r="I119" s="668">
        <v>103</v>
      </c>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542</v>
      </c>
      <c r="C120" s="3663" t="s">
        <v>3265</v>
      </c>
      <c r="D120" s="686"/>
      <c r="E120" s="686"/>
      <c r="F120" s="686"/>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5.75" thickBot="1">
      <c r="A121" s="637"/>
      <c r="B121" s="646"/>
      <c r="C121" s="647">
        <v>100</v>
      </c>
      <c r="D121" s="647">
        <f t="shared" ref="D121:M121" si="26">C121-$K41</f>
        <v>99</v>
      </c>
      <c r="E121" s="647">
        <f t="shared" si="26"/>
        <v>98</v>
      </c>
      <c r="F121" s="647">
        <f t="shared" si="26"/>
        <v>97</v>
      </c>
      <c r="G121" s="647">
        <f t="shared" si="26"/>
        <v>96</v>
      </c>
      <c r="H121" s="647">
        <f t="shared" si="26"/>
        <v>95</v>
      </c>
      <c r="I121" s="647">
        <f t="shared" si="26"/>
        <v>94</v>
      </c>
      <c r="J121" s="647">
        <f t="shared" si="26"/>
        <v>93</v>
      </c>
      <c r="K121" s="647">
        <f t="shared" si="26"/>
        <v>92</v>
      </c>
      <c r="L121" s="647">
        <f t="shared" si="26"/>
        <v>91</v>
      </c>
      <c r="M121" s="648">
        <f t="shared" si="26"/>
        <v>90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543</v>
      </c>
      <c r="C122" s="3664" t="s">
        <v>3267</v>
      </c>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7">C123-$K42</f>
        <v>99</v>
      </c>
      <c r="E123" s="647">
        <f t="shared" si="27"/>
        <v>98</v>
      </c>
      <c r="F123" s="647">
        <f t="shared" si="27"/>
        <v>97</v>
      </c>
      <c r="G123" s="647">
        <f t="shared" si="27"/>
        <v>96</v>
      </c>
      <c r="H123" s="647">
        <f t="shared" si="27"/>
        <v>95</v>
      </c>
      <c r="I123" s="647">
        <f t="shared" si="27"/>
        <v>94</v>
      </c>
      <c r="J123" s="647">
        <f t="shared" si="27"/>
        <v>93</v>
      </c>
      <c r="K123" s="647">
        <f t="shared" si="27"/>
        <v>92</v>
      </c>
      <c r="L123" s="647">
        <f t="shared" si="27"/>
        <v>91</v>
      </c>
      <c r="M123" s="648">
        <f t="shared" si="27"/>
        <v>90</v>
      </c>
      <c r="N123" s="1887"/>
      <c r="O123" s="1887"/>
      <c r="P123" s="1886"/>
      <c r="Q123" s="1879"/>
      <c r="R123" s="1867"/>
      <c r="S123" s="1867"/>
      <c r="T123" s="1867"/>
      <c r="U123" s="1867"/>
      <c r="V123" s="1867"/>
      <c r="W123" s="1867"/>
      <c r="X123" s="1867"/>
      <c r="Y123" s="1867"/>
      <c r="Z123" s="1867"/>
      <c r="AA123" s="1867"/>
      <c r="AB123" s="1867"/>
      <c r="AC123" s="1867"/>
    </row>
    <row r="124" spans="1:29" s="1199" customFormat="1" ht="15" thickTop="1">
      <c r="A124" s="696"/>
      <c r="B124" s="1651" t="s">
        <v>1777</v>
      </c>
      <c r="C124" s="1232" t="s">
        <v>3269</v>
      </c>
      <c r="D124" s="1232"/>
      <c r="E124" s="1232"/>
      <c r="F124" s="1232"/>
      <c r="G124" s="1232"/>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199" customFormat="1" ht="15.75" thickBot="1">
      <c r="A125" s="655"/>
      <c r="B125" s="646"/>
      <c r="C125" s="647">
        <v>100</v>
      </c>
      <c r="D125" s="647">
        <f t="shared" ref="D125:M125" si="28">C125-$K43</f>
        <v>99</v>
      </c>
      <c r="E125" s="647">
        <f t="shared" si="28"/>
        <v>98</v>
      </c>
      <c r="F125" s="647">
        <f t="shared" si="28"/>
        <v>97</v>
      </c>
      <c r="G125" s="647">
        <f t="shared" si="28"/>
        <v>96</v>
      </c>
      <c r="H125" s="647">
        <f t="shared" si="28"/>
        <v>95</v>
      </c>
      <c r="I125" s="647">
        <f t="shared" si="28"/>
        <v>94</v>
      </c>
      <c r="J125" s="647">
        <f t="shared" si="28"/>
        <v>93</v>
      </c>
      <c r="K125" s="647">
        <f t="shared" si="28"/>
        <v>92</v>
      </c>
      <c r="L125" s="647">
        <f t="shared" si="28"/>
        <v>91</v>
      </c>
      <c r="M125" s="648">
        <f t="shared" si="28"/>
        <v>90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3664" t="s">
        <v>3271</v>
      </c>
      <c r="D126" s="656"/>
      <c r="E126" s="686"/>
      <c r="F126" s="686"/>
      <c r="G126" s="686"/>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5.75" thickBot="1">
      <c r="A127" s="637"/>
      <c r="B127" s="646"/>
      <c r="C127" s="647">
        <v>100</v>
      </c>
      <c r="D127" s="647">
        <f t="shared" ref="D127:M127" si="29">C127-$K44</f>
        <v>99</v>
      </c>
      <c r="E127" s="647">
        <f t="shared" si="29"/>
        <v>98</v>
      </c>
      <c r="F127" s="647">
        <f t="shared" si="29"/>
        <v>97</v>
      </c>
      <c r="G127" s="647">
        <f t="shared" si="29"/>
        <v>96</v>
      </c>
      <c r="H127" s="647">
        <f t="shared" si="29"/>
        <v>95</v>
      </c>
      <c r="I127" s="647">
        <f t="shared" si="29"/>
        <v>94</v>
      </c>
      <c r="J127" s="647">
        <f t="shared" si="29"/>
        <v>93</v>
      </c>
      <c r="K127" s="647">
        <f t="shared" si="29"/>
        <v>92</v>
      </c>
      <c r="L127" s="647">
        <f t="shared" si="29"/>
        <v>91</v>
      </c>
      <c r="M127" s="648">
        <f t="shared" si="29"/>
        <v>90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5.75"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199" customFormat="1" ht="15"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199" customFormat="1" ht="15.75"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399"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399"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399"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399"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399"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399"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399"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399"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399"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399"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399"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399"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399"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399"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399"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399"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399"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399"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399"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399"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399"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399"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399"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399"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399"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399"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399"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399"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399"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399"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399"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399"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399"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399"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399"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399"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399"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399"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399"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399"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399"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399"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399"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399"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399"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399"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399"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399"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399"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399"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399"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399"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399"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399"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399"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399"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399"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399"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399"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399"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399"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399"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399"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399"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399"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399"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399"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399"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399"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399"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399"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399"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399"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399"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399"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399"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399"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399"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399"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399"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399"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399"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399"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399"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399"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399"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399"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399"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399"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399"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399"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399"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399"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399"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399"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399"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399"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399"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399"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399"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399"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399"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399"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399"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399"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399"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399"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399"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399"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399"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399"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399"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399"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399"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399"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399"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399"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399"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399"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399"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399"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1" priority="18" stopIfTrue="1" operator="containsText" text="超过">
      <formula>NOT(ISERROR(SEARCH("超过",F53)))</formula>
    </cfRule>
  </conditionalFormatting>
  <conditionalFormatting sqref="J55">
    <cfRule type="containsText" dxfId="170" priority="17" stopIfTrue="1" operator="containsText" text="超过">
      <formula>NOT(ISERROR(SEARCH("超过",J55)))</formula>
    </cfRule>
  </conditionalFormatting>
  <conditionalFormatting sqref="H55">
    <cfRule type="containsText" dxfId="169" priority="16" stopIfTrue="1" operator="containsText" text="超过">
      <formula>NOT(ISERROR(SEARCH("超过",H55)))</formula>
    </cfRule>
  </conditionalFormatting>
  <conditionalFormatting sqref="F55">
    <cfRule type="containsText" dxfId="168" priority="15" stopIfTrue="1" operator="containsText" text="超过">
      <formula>NOT(ISERROR(SEARCH("超过",F55)))</formula>
    </cfRule>
  </conditionalFormatting>
  <conditionalFormatting sqref="F54 H54 J54">
    <cfRule type="containsText" dxfId="167" priority="14" stopIfTrue="1" operator="containsText" text="超过">
      <formula>NOT(ISERROR(SEARCH("超过",F54)))</formula>
    </cfRule>
  </conditionalFormatting>
  <conditionalFormatting sqref="E53">
    <cfRule type="expression" dxfId="166" priority="13" stopIfTrue="1">
      <formula>$F$53="超过30%"</formula>
    </cfRule>
  </conditionalFormatting>
  <conditionalFormatting sqref="G55">
    <cfRule type="expression" dxfId="165" priority="12" stopIfTrue="1">
      <formula>$H$55="超过30%"</formula>
    </cfRule>
  </conditionalFormatting>
  <conditionalFormatting sqref="E54">
    <cfRule type="expression" dxfId="164" priority="11" stopIfTrue="1">
      <formula>$F$54="超过20%"</formula>
    </cfRule>
  </conditionalFormatting>
  <conditionalFormatting sqref="E55">
    <cfRule type="expression" dxfId="163" priority="10" stopIfTrue="1">
      <formula>$F$55="超过30%"</formula>
    </cfRule>
  </conditionalFormatting>
  <conditionalFormatting sqref="G53">
    <cfRule type="expression" dxfId="162" priority="9" stopIfTrue="1">
      <formula>$H$55+$H$53="超过30%"</formula>
    </cfRule>
  </conditionalFormatting>
  <conditionalFormatting sqref="G54">
    <cfRule type="expression" dxfId="161" priority="8" stopIfTrue="1">
      <formula>$H$54="超过20%"</formula>
    </cfRule>
  </conditionalFormatting>
  <conditionalFormatting sqref="I53">
    <cfRule type="expression" dxfId="160" priority="7" stopIfTrue="1">
      <formula>$J$53="超过30%"</formula>
    </cfRule>
  </conditionalFormatting>
  <conditionalFormatting sqref="I54">
    <cfRule type="expression" dxfId="159" priority="6" stopIfTrue="1">
      <formula>$J$54="超过20%"</formula>
    </cfRule>
  </conditionalFormatting>
  <conditionalFormatting sqref="I55">
    <cfRule type="expression" dxfId="158" priority="5" stopIfTrue="1">
      <formula>$J$55="超过30%"</formula>
    </cfRule>
  </conditionalFormatting>
  <conditionalFormatting sqref="F49">
    <cfRule type="expression" dxfId="157" priority="4">
      <formula>$D$49="简单平均"</formula>
    </cfRule>
  </conditionalFormatting>
  <conditionalFormatting sqref="H49">
    <cfRule type="expression" dxfId="156" priority="3">
      <formula>$D$49="简单平均"</formula>
    </cfRule>
  </conditionalFormatting>
  <conditionalFormatting sqref="J49">
    <cfRule type="expression" dxfId="155" priority="2">
      <formula>$D$49="简单平均"</formula>
    </cfRule>
  </conditionalFormatting>
  <conditionalFormatting sqref="F9:F47 H9:H47 J9:J47">
    <cfRule type="cellIs" dxfId="15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4"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K42" sqref="K42"/>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c r="C1" s="1826"/>
      <c r="D1" s="1826"/>
      <c r="E1" s="1826"/>
      <c r="F1" s="1826"/>
      <c r="G1" s="1826"/>
      <c r="H1" s="1826"/>
      <c r="I1" s="1826"/>
      <c r="J1" s="1826"/>
      <c r="K1" s="409">
        <f>MATCH(B1,'数据-取费表'!A6:A16,0)+5</f>
        <v>8</v>
      </c>
      <c r="L1" s="283"/>
      <c r="M1" s="283"/>
      <c r="N1" s="283"/>
      <c r="O1" s="283"/>
      <c r="P1" s="283"/>
      <c r="Q1" s="283"/>
      <c r="R1" s="283"/>
      <c r="S1" s="283"/>
      <c r="T1" s="283"/>
      <c r="U1" s="283"/>
      <c r="V1" s="283"/>
      <c r="W1" s="283"/>
      <c r="X1" s="283"/>
      <c r="Y1" s="283"/>
      <c r="Z1" s="283"/>
    </row>
    <row r="2" spans="1:31" s="1764" customFormat="1" ht="18" customHeight="1">
      <c r="A2" s="1823" t="s">
        <v>427</v>
      </c>
      <c r="B2" s="1827">
        <f ca="1">C36</f>
        <v>146674</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1217</v>
      </c>
      <c r="B3" s="1829">
        <f ca="1">ROUND(B2*10000/IF(B1="",'数据-汇总表'!E3,INDIRECT("'数据-取费表'!K"&amp;$K$1)),0)</f>
        <v>24539</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f ca="1">ROUND(B2*10000/IF(B1="",'数据-汇总表'!D3,INDIRECT("'数据-取费表'!R"&amp;$K$1)),0)</f>
        <v>80303</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5354</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1371</v>
      </c>
      <c r="B6" s="2308"/>
      <c r="C6" s="2309">
        <f>SUM(C10:K10)</f>
        <v>227992</v>
      </c>
      <c r="D6" s="2308"/>
      <c r="E6" s="2308"/>
      <c r="F6" s="2308"/>
      <c r="G6" s="2308"/>
      <c r="H6" s="2308"/>
      <c r="I6" s="2308"/>
      <c r="J6" s="2308"/>
      <c r="K6" s="2310"/>
      <c r="L6" s="2939"/>
      <c r="M6" s="2939"/>
      <c r="N6" s="2939"/>
      <c r="O6" s="2939"/>
      <c r="P6" s="2939"/>
      <c r="Q6" s="2939"/>
      <c r="R6" s="2939"/>
      <c r="S6" s="2939"/>
      <c r="T6" s="2939"/>
      <c r="U6" s="2939"/>
      <c r="V6" s="2939"/>
      <c r="W6" s="2939"/>
      <c r="X6" s="2939"/>
      <c r="Y6" s="2939"/>
      <c r="Z6" s="2939"/>
    </row>
    <row r="7" spans="1:31" s="1835" customFormat="1" ht="15">
      <c r="A7" s="2311" t="s">
        <v>430</v>
      </c>
      <c r="B7" s="2312" t="s">
        <v>431</v>
      </c>
      <c r="C7" s="423" t="s">
        <v>851</v>
      </c>
      <c r="D7" s="423" t="s">
        <v>3293</v>
      </c>
      <c r="E7" s="423"/>
      <c r="F7" s="423"/>
      <c r="G7" s="423"/>
      <c r="H7" s="423"/>
      <c r="I7" s="423"/>
      <c r="J7" s="423"/>
      <c r="K7" s="424"/>
      <c r="AA7" s="1834"/>
      <c r="AB7" s="1834"/>
      <c r="AC7" s="1834"/>
      <c r="AD7" s="1834"/>
      <c r="AE7" s="1834"/>
    </row>
    <row r="8" spans="1:31" s="1837" customFormat="1" ht="13.5" customHeight="1">
      <c r="A8" s="769" t="s">
        <v>1374</v>
      </c>
      <c r="B8" s="252" t="s">
        <v>432</v>
      </c>
      <c r="C8" s="2313">
        <f>'不动产比较法-住宅'!B3</f>
        <v>56500</v>
      </c>
      <c r="D8" s="3668">
        <f>'不动产比较法-车位'!B3</f>
        <v>7950</v>
      </c>
      <c r="E8" s="2313"/>
      <c r="F8" s="2313"/>
      <c r="G8" s="2313"/>
      <c r="H8" s="2313"/>
      <c r="I8" s="2313"/>
      <c r="J8" s="2313"/>
      <c r="K8" s="2314"/>
      <c r="AA8" s="1836"/>
      <c r="AB8" s="1836"/>
      <c r="AC8" s="1836"/>
      <c r="AD8" s="1836"/>
      <c r="AE8" s="1836"/>
    </row>
    <row r="9" spans="1:31" s="1837" customFormat="1" ht="13.5" customHeight="1">
      <c r="A9" s="769" t="s">
        <v>1375</v>
      </c>
      <c r="B9" s="252" t="s">
        <v>433</v>
      </c>
      <c r="C9" s="428">
        <f>SUMIF('数据-汇总表'!$C19:$C33,'剩余法-待开发'!C7,'数据-汇总表'!$E19:$E33)</f>
        <v>38371.56</v>
      </c>
      <c r="D9" s="428">
        <f>SUMIF('数据-汇总表'!$C19:$C33,'剩余法-待开发'!D7,'数据-汇总表'!$E19:$E33)</f>
        <v>14080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1376</v>
      </c>
      <c r="B10" s="2301" t="s">
        <v>434</v>
      </c>
      <c r="C10" s="2501">
        <f>'不动产比较法-住宅'!B2</f>
        <v>216799</v>
      </c>
      <c r="D10" s="2501">
        <f>'不动产比较法-车位'!B2</f>
        <v>11193</v>
      </c>
      <c r="E10" s="2501"/>
      <c r="F10" s="2316"/>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9"/>
      <c r="M11" s="2939"/>
      <c r="N11" s="2939"/>
      <c r="O11" s="2939"/>
      <c r="P11" s="2939"/>
      <c r="Q11" s="2939"/>
      <c r="R11" s="2939"/>
      <c r="S11" s="2939"/>
      <c r="T11" s="2939"/>
      <c r="U11" s="2939"/>
      <c r="V11" s="2939"/>
      <c r="W11" s="2939"/>
      <c r="X11" s="2939"/>
      <c r="Y11" s="2939"/>
      <c r="Z11" s="2939"/>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40"/>
      <c r="M12" s="2940"/>
      <c r="N12" s="2940"/>
      <c r="O12" s="2940"/>
      <c r="P12" s="2940"/>
      <c r="Q12" s="2940"/>
      <c r="R12" s="2940"/>
      <c r="S12" s="2940"/>
      <c r="T12" s="2940"/>
      <c r="U12" s="2940"/>
      <c r="V12" s="2940"/>
      <c r="W12" s="2940"/>
      <c r="X12" s="2940"/>
      <c r="Y12" s="2940"/>
      <c r="Z12" s="2940"/>
    </row>
    <row r="13" spans="1:31" s="1838" customFormat="1" ht="13.5" customHeight="1">
      <c r="A13" s="2321" t="s">
        <v>1377</v>
      </c>
      <c r="B13" s="2322" t="s">
        <v>439</v>
      </c>
      <c r="C13" s="436">
        <f ca="1">IF(B1="",'数据-取费表'!P16,INDIRECT("'数据-取费表'!p"&amp;$K$1)+INDIRECT("'数据-取费表'!t"&amp;$K$1))</f>
        <v>20981</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1049</v>
      </c>
      <c r="D14" s="2323"/>
      <c r="E14" s="2324"/>
      <c r="F14" s="2328">
        <f>'数据-取费表'!B33</f>
        <v>0.05</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1535</v>
      </c>
      <c r="D15" s="2323"/>
      <c r="E15" s="2324"/>
      <c r="F15" s="2328">
        <f>'数据-取费表'!B34</f>
        <v>0.1</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1195</v>
      </c>
      <c r="D16" s="2323">
        <f ca="1">IF(B1="",'数据-汇总表'!E3,INDIRECT("'数据-取费表'!K"&amp;$K$1)+INDIRECT("'数据-取费表'!S"&amp;$K$1))</f>
        <v>59771.28</v>
      </c>
      <c r="E16" s="51">
        <f>'数据-取费表'!B35</f>
        <v>200</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315</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25075</v>
      </c>
      <c r="D18" s="2332"/>
      <c r="E18" s="454"/>
      <c r="F18" s="454"/>
      <c r="G18" s="2295" t="s">
        <v>1781</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0</v>
      </c>
      <c r="D19" s="2333">
        <f ca="1">D16</f>
        <v>59771.28</v>
      </c>
      <c r="E19" s="2287">
        <f>'数据-取费表'!B32</f>
        <v>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1195</v>
      </c>
      <c r="D20" s="2333"/>
      <c r="E20" s="2287"/>
      <c r="F20" s="2334"/>
      <c r="G20" s="2532"/>
      <c r="H20" s="2289"/>
      <c r="I20" s="2290" t="s">
        <v>1933</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0</v>
      </c>
      <c r="D21" s="2323">
        <f ca="1">IF(B1="",'数据-汇总表'!E5,IF(INDIRECT("'数据-取费表'!c"&amp;$K$1)="住宅",INDIRECT("'数据-取费表'!k"&amp;$K$1),0))</f>
        <v>0</v>
      </c>
      <c r="E21" s="51">
        <f>'数据-取费表'!B27</f>
        <v>160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1195</v>
      </c>
      <c r="D22" s="2323">
        <f ca="1">IF(B1="",'数据-汇总表'!E6,IF(INDIRECT("'数据-取费表'!c"&amp;$K$1)="住宅",INDIRECT("'数据-取费表'!s"&amp;$K$1),INDIRECT("'数据-取费表'!k"&amp;$K$1)+INDIRECT("'数据-取费表'!s"&amp;$K$1)))</f>
        <v>59771.28</v>
      </c>
      <c r="E22" s="51">
        <f>'数据-取费表'!B28</f>
        <v>200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5" t="s">
        <v>2109</v>
      </c>
      <c r="C23" s="2331">
        <f ca="1">ROUND((C18+C19+C20)*F23,0)</f>
        <v>525</v>
      </c>
      <c r="D23" s="454"/>
      <c r="E23" s="454"/>
      <c r="F23" s="2335">
        <f>'数据-取费表'!B37</f>
        <v>0.02</v>
      </c>
      <c r="G23" s="2291" t="s">
        <v>1782</v>
      </c>
      <c r="H23" s="2292"/>
      <c r="I23" s="2292"/>
      <c r="J23" s="2292"/>
      <c r="K23" s="2293"/>
      <c r="L23" s="2941"/>
      <c r="M23" s="2941"/>
      <c r="N23" s="2941"/>
      <c r="O23" s="1839"/>
      <c r="P23" s="1839"/>
      <c r="Q23" s="1839"/>
      <c r="R23" s="1839"/>
      <c r="S23" s="1839"/>
      <c r="T23" s="1839"/>
      <c r="U23" s="1839"/>
      <c r="V23" s="1839"/>
      <c r="W23" s="1839"/>
      <c r="X23" s="1839"/>
      <c r="Y23" s="1839"/>
      <c r="Z23" s="1839"/>
    </row>
    <row r="24" spans="1:26" s="1838" customFormat="1" ht="13.5" customHeight="1">
      <c r="A24" s="2329" t="s">
        <v>1388</v>
      </c>
      <c r="B24" s="2505" t="s">
        <v>2112</v>
      </c>
      <c r="C24" s="2331">
        <f>ROUND(C6*F24,0)</f>
        <v>4560</v>
      </c>
      <c r="D24" s="461"/>
      <c r="E24" s="459"/>
      <c r="F24" s="2335">
        <f>'数据-取费表'!B38</f>
        <v>0.02</v>
      </c>
      <c r="G24" s="2300" t="s">
        <v>459</v>
      </c>
      <c r="H24" s="2294"/>
      <c r="I24" s="2294"/>
      <c r="J24" s="2294"/>
      <c r="K24" s="270"/>
      <c r="L24" s="2941"/>
      <c r="M24" s="2941"/>
      <c r="N24" s="2941"/>
      <c r="O24" s="1839"/>
      <c r="P24" s="1839"/>
      <c r="Q24" s="1839"/>
      <c r="R24" s="1839"/>
      <c r="S24" s="1839"/>
      <c r="T24" s="1839"/>
      <c r="U24" s="1839"/>
      <c r="V24" s="1839"/>
      <c r="W24" s="1839"/>
      <c r="X24" s="1839"/>
      <c r="Y24" s="1839"/>
      <c r="Z24" s="1839"/>
    </row>
    <row r="25" spans="1:26" s="1841" customFormat="1" ht="13.5" customHeight="1">
      <c r="A25" s="2329" t="s">
        <v>1389</v>
      </c>
      <c r="B25" s="2505" t="s">
        <v>2110</v>
      </c>
      <c r="C25" s="453">
        <f>ROUND(F25/(1+'数据-取费表'!C42),4)</f>
        <v>2.9000000000000001E-2</v>
      </c>
      <c r="D25" s="448" t="s">
        <v>2105</v>
      </c>
      <c r="E25" s="455"/>
      <c r="F25" s="2335">
        <f>IF(项目基本情况!B8="出让",0,'数据-取费表'!B48+'数据-取费表'!B49)</f>
        <v>3.0499999999999999E-2</v>
      </c>
      <c r="G25" s="2299" t="s">
        <v>1647</v>
      </c>
      <c r="H25" s="2292"/>
      <c r="I25" s="2292"/>
      <c r="J25" s="2292"/>
      <c r="K25" s="2293"/>
      <c r="L25" s="2942"/>
      <c r="M25" s="2942"/>
      <c r="N25" s="2942"/>
      <c r="O25" s="2942"/>
      <c r="P25" s="2942"/>
      <c r="Q25" s="2942"/>
      <c r="R25" s="2942"/>
      <c r="S25" s="2942"/>
      <c r="T25" s="2942"/>
      <c r="U25" s="2942"/>
      <c r="V25" s="2942"/>
      <c r="W25" s="2942"/>
      <c r="X25" s="2942"/>
      <c r="Y25" s="2942"/>
      <c r="Z25" s="2942"/>
    </row>
    <row r="26" spans="1:26" s="1840" customFormat="1" ht="13.5" customHeight="1">
      <c r="A26" s="2329" t="s">
        <v>1390</v>
      </c>
      <c r="B26" s="2506" t="s">
        <v>2111</v>
      </c>
      <c r="C26" s="2336">
        <f ca="1">C28</f>
        <v>1082</v>
      </c>
      <c r="D26" s="453">
        <f ca="1">C27</f>
        <v>7.22E-2</v>
      </c>
      <c r="E26" s="455" t="s">
        <v>455</v>
      </c>
      <c r="F26" s="457">
        <f ca="1">'数据-取费表'!B40</f>
        <v>3.4500000000000003E-2</v>
      </c>
      <c r="G26" s="2187" t="str">
        <f>IF('数据-取费表'!B22&lt;=1,"单利计息。","复利计息。")&amp;"后续开发成本、管理费用及销售费用产生的利息。"</f>
        <v>复利计息。后续开发成本、管理费用及销售费用产生的利息。</v>
      </c>
      <c r="H26" s="2296"/>
      <c r="I26" s="2296"/>
      <c r="J26" s="2296"/>
      <c r="K26" s="2297"/>
      <c r="L26" s="2941"/>
      <c r="M26" s="2941"/>
      <c r="N26" s="2941"/>
      <c r="O26" s="2941"/>
      <c r="P26" s="2941"/>
      <c r="Q26" s="2941"/>
      <c r="R26" s="2941"/>
      <c r="S26" s="2941"/>
      <c r="T26" s="2941"/>
      <c r="U26" s="2941"/>
      <c r="V26" s="2941"/>
      <c r="W26" s="2941"/>
      <c r="X26" s="2941"/>
      <c r="Y26" s="2941"/>
      <c r="Z26" s="2941"/>
    </row>
    <row r="27" spans="1:26" s="1842" customFormat="1" ht="13.5" customHeight="1">
      <c r="A27" s="769" t="s">
        <v>1385</v>
      </c>
      <c r="B27" s="2337" t="s">
        <v>456</v>
      </c>
      <c r="C27" s="2338">
        <f ca="1">ROUND(IF('数据-取费表'!B22&lt;=1,(1+C25)*F26*'数据-取费表'!B24,(1+C25)*(POWER((1+F26),'数据-取费表'!B24)-1)),4)</f>
        <v>7.22E-2</v>
      </c>
      <c r="D27" s="458"/>
      <c r="E27" s="459"/>
      <c r="F27" s="460"/>
      <c r="G27" s="2187" t="str">
        <f>IF('数据-取费表'!B22&lt;=1,"（1+取得税费率/(1+5%)）×年利率×建设期","（1+取得税费率）/(1+5%)×((1+年利率)^建设期-1)")</f>
        <v>（1+取得税费率）/(1+5%)×((1+年利率)^建设期-1)</v>
      </c>
      <c r="H27" s="2294"/>
      <c r="I27" s="2294"/>
      <c r="J27" s="2294"/>
      <c r="K27" s="270"/>
      <c r="L27" s="2943"/>
      <c r="M27" s="2943"/>
      <c r="N27" s="2943"/>
      <c r="O27" s="2943"/>
      <c r="P27" s="2943"/>
      <c r="Q27" s="2943"/>
      <c r="R27" s="2943"/>
      <c r="S27" s="2943"/>
      <c r="T27" s="2943"/>
      <c r="U27" s="2943"/>
      <c r="V27" s="2943"/>
      <c r="W27" s="2943"/>
      <c r="X27" s="2943"/>
      <c r="Y27" s="2943"/>
      <c r="Z27" s="2943"/>
    </row>
    <row r="28" spans="1:26" s="1842" customFormat="1" ht="13.5" customHeight="1">
      <c r="A28" s="769" t="s">
        <v>1386</v>
      </c>
      <c r="B28" s="2337" t="s">
        <v>2113</v>
      </c>
      <c r="C28" s="2339">
        <f ca="1">ROUND(IF('数据-取费表'!B22&lt;=1,(C18+C19+C20+C23+C24)*F26*'数据-取费表'!B24/2,(C18+C19+C20+C23+C24)*(POWER((1+F26),'数据-取费表'!B24/2)-1)),0)</f>
        <v>1082</v>
      </c>
      <c r="D28" s="458"/>
      <c r="E28" s="459"/>
      <c r="F28" s="460"/>
      <c r="G28" s="2187" t="str">
        <f>IF('数据-取费表'!B22&lt;=1,"（1）-（4）项×年利率×建设期÷2","（1）-（4）项×((1+年利率)^(建设期÷2)-1)")</f>
        <v>（1）-（4）项×((1+年利率)^(建设期÷2)-1)</v>
      </c>
      <c r="H28" s="2294"/>
      <c r="I28" s="2294"/>
      <c r="J28" s="2294"/>
      <c r="K28" s="270"/>
      <c r="L28" s="2943"/>
      <c r="M28" s="2943"/>
      <c r="N28" s="2943"/>
      <c r="O28" s="2943"/>
      <c r="P28" s="2943"/>
      <c r="Q28" s="2943"/>
      <c r="R28" s="2943"/>
      <c r="S28" s="2943"/>
      <c r="T28" s="2943"/>
      <c r="U28" s="2943"/>
      <c r="V28" s="2943"/>
      <c r="W28" s="2943"/>
      <c r="X28" s="2943"/>
      <c r="Y28" s="2943"/>
      <c r="Z28" s="2943"/>
    </row>
    <row r="29" spans="1:26" s="1842" customFormat="1" ht="13.5" customHeight="1">
      <c r="A29" s="2340" t="s">
        <v>1391</v>
      </c>
      <c r="B29" s="2330" t="s">
        <v>457</v>
      </c>
      <c r="C29" s="2331">
        <f>ROUND(C6*F29/(1+'数据-取费表'!C42),0)</f>
        <v>12160</v>
      </c>
      <c r="D29" s="454"/>
      <c r="E29" s="454"/>
      <c r="F29" s="2507">
        <f>'数据-取费表'!B41</f>
        <v>5.6000000000000001E-2</v>
      </c>
      <c r="G29" s="2300" t="s">
        <v>458</v>
      </c>
      <c r="H29" s="2292"/>
      <c r="I29" s="2292"/>
      <c r="J29" s="2292"/>
      <c r="K29" s="2293"/>
      <c r="L29" s="2943"/>
      <c r="M29" s="2943"/>
      <c r="N29" s="2943"/>
      <c r="O29" s="2943"/>
      <c r="P29" s="2943"/>
      <c r="Q29" s="2943"/>
      <c r="R29" s="2943"/>
      <c r="S29" s="2943"/>
      <c r="T29" s="2943"/>
      <c r="U29" s="2943"/>
      <c r="V29" s="2943"/>
      <c r="W29" s="2943"/>
      <c r="X29" s="2943"/>
      <c r="Y29" s="2943"/>
      <c r="Z29" s="2943"/>
    </row>
    <row r="30" spans="1:26" s="1843" customFormat="1" ht="13.5" customHeight="1">
      <c r="A30" s="1441" t="s">
        <v>1392</v>
      </c>
      <c r="B30" s="2341" t="s">
        <v>460</v>
      </c>
      <c r="C30" s="2336">
        <f ca="1">C31</f>
        <v>44597</v>
      </c>
      <c r="D30" s="463">
        <f ca="1">C32</f>
        <v>0.1012</v>
      </c>
      <c r="E30" s="455" t="s">
        <v>455</v>
      </c>
      <c r="F30" s="457"/>
      <c r="G30" s="2299" t="s">
        <v>2221</v>
      </c>
      <c r="H30" s="2292"/>
      <c r="I30" s="2292"/>
      <c r="J30" s="2292"/>
      <c r="K30" s="2293"/>
      <c r="L30" s="2944"/>
      <c r="M30" s="2944"/>
      <c r="N30" s="2944"/>
      <c r="O30" s="2944"/>
      <c r="P30" s="2944"/>
      <c r="Q30" s="2944"/>
      <c r="R30" s="2944"/>
      <c r="S30" s="2944"/>
      <c r="T30" s="2944"/>
      <c r="U30" s="2944"/>
      <c r="V30" s="2944"/>
      <c r="W30" s="2944"/>
      <c r="X30" s="2944"/>
      <c r="Y30" s="2944"/>
      <c r="Z30" s="2944"/>
    </row>
    <row r="31" spans="1:26" s="1842" customFormat="1" ht="13.5" customHeight="1">
      <c r="A31" s="769" t="s">
        <v>1385</v>
      </c>
      <c r="B31" s="2337"/>
      <c r="C31" s="436">
        <f ca="1">C18+C19+C20+C23+C24+C26+C29</f>
        <v>44597</v>
      </c>
      <c r="D31" s="458"/>
      <c r="E31" s="459"/>
      <c r="F31" s="460"/>
      <c r="G31" s="252"/>
      <c r="H31" s="2294"/>
      <c r="I31" s="2294"/>
      <c r="J31" s="2294"/>
      <c r="K31" s="270"/>
      <c r="L31" s="2943"/>
      <c r="M31" s="2943"/>
      <c r="N31" s="2943"/>
      <c r="O31" s="2943"/>
      <c r="P31" s="2943"/>
      <c r="Q31" s="2943"/>
      <c r="R31" s="2943"/>
      <c r="S31" s="2943"/>
      <c r="T31" s="2943"/>
      <c r="U31" s="2943"/>
      <c r="V31" s="2943"/>
      <c r="W31" s="2943"/>
      <c r="X31" s="2943"/>
      <c r="Y31" s="2943"/>
      <c r="Z31" s="2943"/>
    </row>
    <row r="32" spans="1:26" s="1842" customFormat="1" ht="13.5" customHeight="1">
      <c r="A32" s="769" t="s">
        <v>1386</v>
      </c>
      <c r="B32" s="2337"/>
      <c r="C32" s="51">
        <f ca="1">ROUND(C25+D26,4)</f>
        <v>0.1012</v>
      </c>
      <c r="D32" s="458"/>
      <c r="E32" s="459"/>
      <c r="F32" s="460"/>
      <c r="G32" s="252"/>
      <c r="H32" s="2294"/>
      <c r="I32" s="2294"/>
      <c r="J32" s="2294"/>
      <c r="K32" s="270"/>
      <c r="L32" s="2943"/>
      <c r="M32" s="2943"/>
      <c r="N32" s="2943"/>
      <c r="O32" s="2943"/>
      <c r="P32" s="2943"/>
      <c r="Q32" s="2943"/>
      <c r="R32" s="2943"/>
      <c r="S32" s="2943"/>
      <c r="T32" s="2943"/>
      <c r="U32" s="2943"/>
      <c r="V32" s="2943"/>
      <c r="W32" s="2943"/>
      <c r="X32" s="2943"/>
      <c r="Y32" s="2943"/>
      <c r="Z32" s="2943"/>
    </row>
    <row r="33" spans="1:26" s="1844" customFormat="1" ht="13.5" customHeight="1">
      <c r="A33" s="2504" t="s">
        <v>2108</v>
      </c>
      <c r="B33" s="2502" t="s">
        <v>2106</v>
      </c>
      <c r="C33" s="464">
        <f ca="1">C35</f>
        <v>3763</v>
      </c>
      <c r="D33" s="453">
        <f ca="1">C34</f>
        <v>0.1235</v>
      </c>
      <c r="E33" s="455" t="s">
        <v>455</v>
      </c>
      <c r="F33" s="465">
        <f ca="1">IF(B1="",'数据-取费表'!Q16,INDIRECT("'数据-取费表'!q"&amp;$K$1))</f>
        <v>0.12</v>
      </c>
      <c r="G33" s="2295"/>
      <c r="H33" s="2296"/>
      <c r="I33" s="2296"/>
      <c r="J33" s="2296"/>
      <c r="K33" s="2297"/>
      <c r="L33" s="2945"/>
      <c r="M33" s="2945"/>
      <c r="N33" s="2945"/>
      <c r="O33" s="2945"/>
      <c r="P33" s="2945"/>
      <c r="Q33" s="2945"/>
      <c r="R33" s="2945"/>
      <c r="S33" s="2945"/>
      <c r="T33" s="2945"/>
      <c r="U33" s="2945"/>
      <c r="V33" s="2945"/>
      <c r="W33" s="2945"/>
      <c r="X33" s="2945"/>
      <c r="Y33" s="2945"/>
      <c r="Z33" s="2945"/>
    </row>
    <row r="34" spans="1:26" s="1845" customFormat="1" ht="13.5" customHeight="1">
      <c r="A34" s="362" t="s">
        <v>1385</v>
      </c>
      <c r="B34" s="2342" t="s">
        <v>461</v>
      </c>
      <c r="C34" s="458">
        <f ca="1">ROUND((1+C25)*F33,4)</f>
        <v>0.1235</v>
      </c>
      <c r="D34" s="458"/>
      <c r="E34" s="459"/>
      <c r="F34" s="466"/>
      <c r="G34" s="252" t="s">
        <v>1648</v>
      </c>
      <c r="H34" s="2294"/>
      <c r="I34" s="2294"/>
      <c r="J34" s="2294"/>
      <c r="K34" s="270"/>
      <c r="L34" s="2946"/>
      <c r="M34" s="2946"/>
      <c r="N34" s="2946"/>
      <c r="O34" s="2946"/>
      <c r="P34" s="2946"/>
      <c r="Q34" s="2946"/>
      <c r="R34" s="2946"/>
      <c r="S34" s="2946"/>
      <c r="T34" s="2946"/>
      <c r="U34" s="2946"/>
      <c r="V34" s="2946"/>
      <c r="W34" s="2946"/>
      <c r="X34" s="2946"/>
      <c r="Y34" s="2946"/>
      <c r="Z34" s="2946"/>
    </row>
    <row r="35" spans="1:26" s="1845" customFormat="1" ht="13.5" customHeight="1" thickBot="1">
      <c r="A35" s="1442" t="s">
        <v>1386</v>
      </c>
      <c r="B35" s="2503" t="s">
        <v>2114</v>
      </c>
      <c r="C35" s="1434">
        <f ca="1">ROUND((C18+C19+C20+C23+C24)*F33,0)</f>
        <v>3763</v>
      </c>
      <c r="D35" s="1435"/>
      <c r="E35" s="2343"/>
      <c r="F35" s="1436"/>
      <c r="G35" s="2301"/>
      <c r="H35" s="2302"/>
      <c r="I35" s="2302"/>
      <c r="J35" s="2302"/>
      <c r="K35" s="2303"/>
      <c r="L35" s="2946"/>
      <c r="M35" s="2946"/>
      <c r="N35" s="2946"/>
      <c r="O35" s="2946"/>
      <c r="P35" s="2946"/>
      <c r="Q35" s="2946"/>
      <c r="R35" s="2946"/>
      <c r="S35" s="2946"/>
      <c r="T35" s="2946"/>
      <c r="U35" s="2946"/>
      <c r="V35" s="2946"/>
      <c r="W35" s="2946"/>
      <c r="X35" s="2946"/>
      <c r="Y35" s="2946"/>
      <c r="Z35" s="2946"/>
    </row>
    <row r="36" spans="1:26" s="1807" customFormat="1" ht="13.5" customHeight="1" thickBot="1">
      <c r="A36" s="275" t="s">
        <v>1373</v>
      </c>
      <c r="B36" s="2305"/>
      <c r="C36" s="2344">
        <f ca="1">ROUND((C6-C30-C33)/(1+D30+D33),0)</f>
        <v>146674</v>
      </c>
      <c r="D36" s="2305"/>
      <c r="E36" s="2305"/>
      <c r="F36" s="2305"/>
      <c r="G36" s="2304" t="s">
        <v>2115</v>
      </c>
      <c r="H36" s="2305"/>
      <c r="I36" s="2305"/>
      <c r="J36" s="2305"/>
      <c r="K36" s="2306"/>
      <c r="L36" s="2940"/>
      <c r="M36" s="2940"/>
      <c r="N36" s="2940"/>
      <c r="O36" s="2940"/>
      <c r="P36" s="2940"/>
      <c r="Q36" s="2940"/>
      <c r="R36" s="2940"/>
      <c r="S36" s="2940"/>
      <c r="T36" s="2940"/>
      <c r="U36" s="2940"/>
      <c r="V36" s="2940"/>
      <c r="W36" s="2940"/>
      <c r="X36" s="2940"/>
      <c r="Y36" s="2940"/>
      <c r="Z36" s="2940"/>
    </row>
    <row r="37" spans="1:26" s="1837" customFormat="1">
      <c r="A37" s="2947"/>
      <c r="C37" s="2948"/>
      <c r="E37" s="2947"/>
    </row>
    <row r="38" spans="1:26" s="1837" customFormat="1" ht="12.75" customHeight="1">
      <c r="A38" s="2947"/>
      <c r="C38" s="2948"/>
      <c r="E38" s="2947"/>
    </row>
    <row r="39" spans="1:26" s="1837" customFormat="1">
      <c r="A39" s="2947"/>
      <c r="C39" s="2948"/>
      <c r="E39" s="2947"/>
    </row>
    <row r="40" spans="1:26" s="1837" customFormat="1">
      <c r="A40" s="2947"/>
      <c r="C40" s="2948"/>
      <c r="E40" s="2947"/>
    </row>
    <row r="41" spans="1:26" s="1837" customFormat="1">
      <c r="A41" s="2947"/>
      <c r="C41" s="2948"/>
      <c r="E41" s="2947"/>
    </row>
    <row r="42" spans="1:26" s="1837" customFormat="1">
      <c r="A42" s="2947"/>
      <c r="C42" s="2948"/>
      <c r="E42" s="2947"/>
    </row>
    <row r="43" spans="1:26" s="1837" customFormat="1">
      <c r="A43" s="2947"/>
      <c r="C43" s="2948"/>
      <c r="E43" s="2947"/>
    </row>
    <row r="44" spans="1:26" s="1837" customFormat="1">
      <c r="A44" s="2947"/>
      <c r="C44" s="2948"/>
      <c r="E44" s="2947"/>
    </row>
    <row r="45" spans="1:26" s="1837" customFormat="1">
      <c r="A45" s="2947"/>
      <c r="C45" s="2948"/>
      <c r="E45" s="2947"/>
    </row>
    <row r="46" spans="1:26" s="1837" customFormat="1">
      <c r="A46" s="2947"/>
      <c r="C46" s="2948"/>
      <c r="E46" s="2947"/>
    </row>
    <row r="47" spans="1:26" s="1837" customFormat="1">
      <c r="A47" s="2947"/>
      <c r="C47" s="2948"/>
      <c r="E47" s="2947"/>
    </row>
    <row r="48" spans="1:26" s="1837" customFormat="1">
      <c r="A48" s="2947"/>
      <c r="C48" s="2948"/>
      <c r="E48" s="2947"/>
    </row>
    <row r="49" spans="1:5" s="1837" customFormat="1">
      <c r="A49" s="2947"/>
      <c r="C49" s="2948"/>
      <c r="E49" s="2947"/>
    </row>
    <row r="50" spans="1:5" s="1837" customFormat="1">
      <c r="A50" s="2947"/>
      <c r="C50" s="2948"/>
      <c r="E50" s="2947"/>
    </row>
    <row r="51" spans="1:5" s="1837" customFormat="1">
      <c r="A51" s="2947"/>
      <c r="C51" s="2948"/>
      <c r="E51" s="2947"/>
    </row>
    <row r="52" spans="1:5" s="1837" customFormat="1">
      <c r="A52" s="2947"/>
      <c r="C52" s="2948"/>
      <c r="E52" s="2947"/>
    </row>
    <row r="53" spans="1:5" s="1837" customFormat="1">
      <c r="A53" s="2947"/>
      <c r="C53" s="2948"/>
      <c r="E53" s="2947"/>
    </row>
    <row r="54" spans="1:5" s="1837" customFormat="1">
      <c r="A54" s="2947"/>
      <c r="C54" s="2948"/>
      <c r="E54" s="2947"/>
    </row>
    <row r="55" spans="1:5" s="1837" customFormat="1">
      <c r="A55" s="2947"/>
      <c r="C55" s="2948"/>
      <c r="E55" s="2947"/>
    </row>
    <row r="56" spans="1:5" s="1837" customFormat="1">
      <c r="A56" s="2947"/>
      <c r="C56" s="2948"/>
      <c r="E56" s="2947"/>
    </row>
    <row r="57" spans="1:5" s="1837" customFormat="1">
      <c r="A57" s="2947"/>
      <c r="C57" s="2948"/>
      <c r="E57" s="2947"/>
    </row>
    <row r="58" spans="1:5" s="1837" customFormat="1">
      <c r="A58" s="2947"/>
      <c r="C58" s="2948"/>
      <c r="E58" s="2947"/>
    </row>
    <row r="59" spans="1:5" s="1837" customFormat="1">
      <c r="A59" s="2947"/>
      <c r="C59" s="2948"/>
      <c r="E59" s="2947"/>
    </row>
    <row r="60" spans="1:5" s="1837" customFormat="1">
      <c r="A60" s="2947"/>
      <c r="C60" s="2948"/>
      <c r="E60" s="2947"/>
    </row>
    <row r="61" spans="1:5" s="1837" customFormat="1">
      <c r="A61" s="2947"/>
      <c r="C61" s="2948"/>
      <c r="E61" s="2947"/>
    </row>
    <row r="62" spans="1:5" s="1837" customFormat="1">
      <c r="A62" s="2947"/>
      <c r="C62" s="2948"/>
      <c r="E62" s="2947"/>
    </row>
    <row r="63" spans="1:5" s="1837" customFormat="1">
      <c r="A63" s="2947"/>
      <c r="C63" s="2948"/>
      <c r="E63" s="2947"/>
    </row>
    <row r="64" spans="1:5" s="1837" customFormat="1">
      <c r="A64" s="2947"/>
      <c r="C64" s="2948"/>
      <c r="E64" s="2947"/>
    </row>
    <row r="65" spans="1:5" s="1837" customFormat="1">
      <c r="A65" s="2947"/>
      <c r="C65" s="2948"/>
      <c r="E65" s="2947"/>
    </row>
    <row r="66" spans="1:5" s="1837" customFormat="1">
      <c r="A66" s="2947"/>
      <c r="C66" s="2948"/>
      <c r="E66" s="2947"/>
    </row>
    <row r="67" spans="1:5" s="1837" customFormat="1">
      <c r="A67" s="2947"/>
      <c r="C67" s="2948"/>
      <c r="E67" s="2947"/>
    </row>
    <row r="68" spans="1:5" s="1837" customFormat="1">
      <c r="A68" s="2947"/>
      <c r="C68" s="2948"/>
      <c r="E68" s="2947"/>
    </row>
    <row r="69" spans="1:5" s="1837" customFormat="1">
      <c r="A69" s="2947"/>
      <c r="C69" s="2948"/>
      <c r="E69" s="2947"/>
    </row>
    <row r="70" spans="1:5" s="1837" customFormat="1">
      <c r="A70" s="2947"/>
      <c r="C70" s="2948"/>
      <c r="E70" s="2947"/>
    </row>
    <row r="71" spans="1:5" s="1837" customFormat="1">
      <c r="A71" s="2947"/>
      <c r="C71" s="2948"/>
      <c r="E71" s="2947"/>
    </row>
    <row r="72" spans="1:5" s="1837" customFormat="1">
      <c r="A72" s="2947"/>
      <c r="C72" s="2948"/>
      <c r="E72" s="2947"/>
    </row>
    <row r="73" spans="1:5" s="1837" customFormat="1">
      <c r="A73" s="2947"/>
      <c r="C73" s="2948"/>
      <c r="E73" s="2947"/>
    </row>
    <row r="74" spans="1:5" s="1837" customFormat="1">
      <c r="A74" s="2947"/>
      <c r="C74" s="2948"/>
      <c r="E74" s="2947"/>
    </row>
    <row r="75" spans="1:5" s="1837" customFormat="1">
      <c r="A75" s="2947"/>
      <c r="C75" s="2948"/>
      <c r="E75" s="2947"/>
    </row>
    <row r="76" spans="1:5" s="1837" customFormat="1">
      <c r="A76" s="2947"/>
      <c r="C76" s="2948"/>
      <c r="E76" s="2947"/>
    </row>
    <row r="77" spans="1:5" s="1837" customFormat="1">
      <c r="A77" s="2947"/>
      <c r="C77" s="2948"/>
      <c r="E77" s="2947"/>
    </row>
    <row r="78" spans="1:5" s="1837" customFormat="1">
      <c r="A78" s="2947"/>
      <c r="C78" s="2948"/>
      <c r="E78" s="2947"/>
    </row>
    <row r="79" spans="1:5" s="1837" customFormat="1">
      <c r="A79" s="2947"/>
      <c r="C79" s="2948"/>
      <c r="E79" s="2947"/>
    </row>
    <row r="80" spans="1:5" s="1837" customFormat="1">
      <c r="A80" s="2947"/>
      <c r="C80" s="2948"/>
      <c r="E80" s="2947"/>
    </row>
    <row r="81" spans="1:5" s="1837" customFormat="1">
      <c r="A81" s="2947"/>
      <c r="C81" s="2948"/>
      <c r="E81" s="2947"/>
    </row>
    <row r="82" spans="1:5" s="1837" customFormat="1">
      <c r="A82" s="2947"/>
      <c r="C82" s="2948"/>
      <c r="E82" s="2947"/>
    </row>
    <row r="83" spans="1:5" s="1837" customFormat="1">
      <c r="A83" s="2947"/>
      <c r="C83" s="2948"/>
      <c r="E83" s="2947"/>
    </row>
    <row r="84" spans="1:5" s="1837" customFormat="1">
      <c r="A84" s="2947"/>
      <c r="C84" s="2948"/>
      <c r="E84" s="2947"/>
    </row>
    <row r="85" spans="1:5" s="1837" customFormat="1">
      <c r="A85" s="2947"/>
      <c r="C85" s="2948"/>
      <c r="E85" s="2947"/>
    </row>
    <row r="86" spans="1:5" s="1837" customFormat="1">
      <c r="A86" s="2947"/>
      <c r="C86" s="2948"/>
      <c r="E86" s="2947"/>
    </row>
    <row r="87" spans="1:5" s="1837" customFormat="1">
      <c r="A87" s="2947"/>
      <c r="C87" s="2948"/>
      <c r="E87" s="2947"/>
    </row>
    <row r="88" spans="1:5" s="1837" customFormat="1">
      <c r="A88" s="2947"/>
      <c r="C88" s="2948"/>
      <c r="E88" s="2947"/>
    </row>
    <row r="89" spans="1:5" s="1837" customFormat="1">
      <c r="A89" s="2947"/>
      <c r="C89" s="2948"/>
      <c r="E89" s="2947"/>
    </row>
    <row r="90" spans="1:5" s="1837" customFormat="1">
      <c r="A90" s="2947"/>
      <c r="C90" s="2948"/>
      <c r="E90" s="2947"/>
    </row>
    <row r="91" spans="1:5" s="1837" customFormat="1">
      <c r="A91" s="2947"/>
      <c r="C91" s="2948"/>
      <c r="E91" s="2947"/>
    </row>
    <row r="92" spans="1:5" s="1837" customFormat="1">
      <c r="A92" s="2947"/>
      <c r="C92" s="2948"/>
      <c r="E92" s="2947"/>
    </row>
    <row r="93" spans="1:5" s="1837" customFormat="1">
      <c r="A93" s="2947"/>
      <c r="C93" s="2948"/>
      <c r="E93" s="2947"/>
    </row>
    <row r="94" spans="1:5" s="1837" customFormat="1">
      <c r="A94" s="2947"/>
      <c r="C94" s="2948"/>
      <c r="E94" s="2947"/>
    </row>
    <row r="95" spans="1:5" s="1837" customFormat="1">
      <c r="A95" s="2947"/>
      <c r="C95" s="2948"/>
      <c r="E95" s="2947"/>
    </row>
    <row r="96" spans="1:5" s="1837" customFormat="1">
      <c r="A96" s="2947"/>
      <c r="C96" s="2948"/>
      <c r="E96" s="2947"/>
    </row>
    <row r="97" spans="1:5" s="1837" customFormat="1">
      <c r="A97" s="2947"/>
      <c r="C97" s="2948"/>
      <c r="E97" s="2947"/>
    </row>
    <row r="98" spans="1:5" s="1837" customFormat="1">
      <c r="A98" s="2947"/>
      <c r="C98" s="2948"/>
      <c r="E98" s="2947"/>
    </row>
    <row r="99" spans="1:5" s="1837" customFormat="1">
      <c r="A99" s="2947"/>
      <c r="C99" s="2948"/>
      <c r="E99" s="2947"/>
    </row>
    <row r="100" spans="1:5" s="1837" customFormat="1">
      <c r="A100" s="2947"/>
      <c r="C100" s="2948"/>
      <c r="E100" s="2947"/>
    </row>
    <row r="101" spans="1:5" s="1837" customFormat="1">
      <c r="A101" s="2947"/>
      <c r="C101" s="2948"/>
      <c r="E101" s="2947"/>
    </row>
    <row r="102" spans="1:5" s="1837" customFormat="1">
      <c r="A102" s="2947"/>
      <c r="C102" s="2948"/>
      <c r="E102" s="2947"/>
    </row>
    <row r="103" spans="1:5" s="1837" customFormat="1">
      <c r="A103" s="2947"/>
      <c r="C103" s="2948"/>
      <c r="E103" s="2947"/>
    </row>
    <row r="104" spans="1:5" s="1837" customFormat="1">
      <c r="A104" s="2947"/>
      <c r="C104" s="2948"/>
      <c r="E104" s="2947"/>
    </row>
    <row r="105" spans="1:5" s="1837" customFormat="1">
      <c r="A105" s="2947"/>
      <c r="C105" s="2948"/>
      <c r="E105" s="2947"/>
    </row>
    <row r="106" spans="1:5" s="1837" customFormat="1">
      <c r="A106" s="2947"/>
      <c r="C106" s="2948"/>
      <c r="E106" s="2947"/>
    </row>
    <row r="107" spans="1:5" s="1837" customFormat="1">
      <c r="A107" s="2947"/>
      <c r="C107" s="2948"/>
      <c r="E107" s="2947"/>
    </row>
    <row r="108" spans="1:5" s="1837" customFormat="1">
      <c r="A108" s="2947"/>
      <c r="C108" s="2948"/>
      <c r="E108" s="2947"/>
    </row>
    <row r="109" spans="1:5" s="1837" customFormat="1">
      <c r="A109" s="2947"/>
      <c r="C109" s="2948"/>
      <c r="E109" s="2947"/>
    </row>
    <row r="110" spans="1:5" s="1837" customFormat="1">
      <c r="A110" s="2947"/>
      <c r="C110" s="2948"/>
      <c r="E110" s="2947"/>
    </row>
    <row r="111" spans="1:5" s="1837" customFormat="1">
      <c r="A111" s="2947"/>
      <c r="C111" s="2948"/>
      <c r="E111" s="2947"/>
    </row>
    <row r="112" spans="1:5" s="1837" customFormat="1">
      <c r="A112" s="2947"/>
      <c r="C112" s="2948"/>
      <c r="E112" s="2947"/>
    </row>
    <row r="113" spans="1:5" s="1837" customFormat="1">
      <c r="A113" s="2947"/>
      <c r="C113" s="2948"/>
      <c r="E113" s="2947"/>
    </row>
    <row r="114" spans="1:5" s="1837" customFormat="1">
      <c r="A114" s="2947"/>
      <c r="C114" s="2948"/>
      <c r="E114" s="2947"/>
    </row>
    <row r="115" spans="1:5" s="1837" customFormat="1">
      <c r="A115" s="2947"/>
      <c r="C115" s="2948"/>
      <c r="E115" s="2947"/>
    </row>
    <row r="116" spans="1:5" s="1837" customFormat="1">
      <c r="A116" s="2947"/>
      <c r="C116" s="2948"/>
      <c r="E116" s="2947"/>
    </row>
    <row r="117" spans="1:5" s="1837" customFormat="1">
      <c r="A117" s="2947"/>
      <c r="C117" s="2948"/>
      <c r="E117" s="2947"/>
    </row>
    <row r="118" spans="1:5" s="1837" customFormat="1">
      <c r="A118" s="2947"/>
      <c r="C118" s="2948"/>
      <c r="E118" s="2947"/>
    </row>
    <row r="119" spans="1:5" s="1837" customFormat="1">
      <c r="A119" s="2947"/>
      <c r="C119" s="2948"/>
      <c r="E119" s="2947"/>
    </row>
    <row r="120" spans="1:5" s="1837" customFormat="1">
      <c r="A120" s="2947"/>
      <c r="C120" s="2948"/>
      <c r="E120" s="2947"/>
    </row>
    <row r="121" spans="1:5" s="1837" customFormat="1">
      <c r="A121" s="2947"/>
      <c r="C121" s="2948"/>
      <c r="E121" s="2947"/>
    </row>
    <row r="122" spans="1:5" s="1837" customFormat="1">
      <c r="A122" s="2947"/>
      <c r="C122" s="2948"/>
      <c r="E122" s="2947"/>
    </row>
    <row r="123" spans="1:5" s="1837" customFormat="1">
      <c r="A123" s="2947"/>
      <c r="C123" s="2948"/>
      <c r="E123" s="2947"/>
    </row>
    <row r="124" spans="1:5" s="1837" customFormat="1">
      <c r="A124" s="2947"/>
      <c r="C124" s="2948"/>
      <c r="E124" s="2947"/>
    </row>
    <row r="125" spans="1:5" s="1837" customFormat="1">
      <c r="A125" s="2947"/>
      <c r="C125" s="2948"/>
      <c r="E125" s="2947"/>
    </row>
    <row r="126" spans="1:5" s="1837" customFormat="1">
      <c r="A126" s="2947"/>
      <c r="C126" s="2948"/>
      <c r="E126" s="2947"/>
    </row>
    <row r="127" spans="1:5" s="1837" customFormat="1">
      <c r="A127" s="2947"/>
      <c r="C127" s="2948"/>
      <c r="E127" s="2947"/>
    </row>
    <row r="128" spans="1:5" s="1837" customFormat="1">
      <c r="A128" s="2947"/>
      <c r="C128" s="2948"/>
      <c r="E128" s="2947"/>
    </row>
    <row r="129" spans="1:5" s="1837" customFormat="1">
      <c r="A129" s="2947"/>
      <c r="C129" s="2948"/>
      <c r="E129" s="2947"/>
    </row>
    <row r="130" spans="1:5" s="1837" customFormat="1">
      <c r="A130" s="2947"/>
      <c r="C130" s="2948"/>
      <c r="E130" s="2947"/>
    </row>
    <row r="131" spans="1:5" s="1837" customFormat="1">
      <c r="A131" s="2947"/>
      <c r="C131" s="2948"/>
      <c r="E131" s="2947"/>
    </row>
    <row r="132" spans="1:5" s="1837" customFormat="1">
      <c r="A132" s="2947"/>
      <c r="C132" s="2948"/>
      <c r="E132" s="2947"/>
    </row>
    <row r="133" spans="1:5" s="1837" customFormat="1">
      <c r="A133" s="2947"/>
      <c r="C133" s="2948"/>
      <c r="E133" s="2947"/>
    </row>
    <row r="134" spans="1:5" s="1837" customFormat="1">
      <c r="A134" s="2947"/>
      <c r="C134" s="2948"/>
      <c r="E134" s="2947"/>
    </row>
    <row r="135" spans="1:5" s="1837" customFormat="1">
      <c r="A135" s="2947"/>
      <c r="C135" s="2948"/>
      <c r="E135" s="2947"/>
    </row>
    <row r="136" spans="1:5" s="1837" customFormat="1">
      <c r="A136" s="2947"/>
      <c r="C136" s="2948"/>
      <c r="E136" s="2947"/>
    </row>
    <row r="137" spans="1:5" s="1837" customFormat="1">
      <c r="A137" s="2947"/>
      <c r="C137" s="2948"/>
      <c r="E137" s="2947"/>
    </row>
    <row r="138" spans="1:5" s="1837" customFormat="1">
      <c r="A138" s="2947"/>
      <c r="C138" s="2948"/>
      <c r="E138" s="2947"/>
    </row>
    <row r="139" spans="1:5" s="1837" customFormat="1">
      <c r="A139" s="2947"/>
      <c r="C139" s="2948"/>
      <c r="E139" s="2947"/>
    </row>
    <row r="140" spans="1:5" s="1837" customFormat="1">
      <c r="A140" s="2947"/>
      <c r="C140" s="2948"/>
      <c r="E140" s="2947"/>
    </row>
    <row r="141" spans="1:5" s="1837" customFormat="1">
      <c r="A141" s="2947"/>
      <c r="C141" s="2948"/>
      <c r="E141" s="2947"/>
    </row>
    <row r="142" spans="1:5" s="1837" customFormat="1">
      <c r="A142" s="2947"/>
      <c r="C142" s="2948"/>
      <c r="E142" s="2947"/>
    </row>
    <row r="143" spans="1:5" s="1837" customFormat="1">
      <c r="A143" s="2947"/>
      <c r="C143" s="2948"/>
      <c r="E143" s="2947"/>
    </row>
    <row r="144" spans="1:5" s="1837" customFormat="1">
      <c r="A144" s="2947"/>
      <c r="C144" s="2948"/>
      <c r="E144" s="2947"/>
    </row>
    <row r="145" spans="1:5" s="1837" customFormat="1">
      <c r="A145" s="2947"/>
      <c r="C145" s="2948"/>
      <c r="E145" s="2947"/>
    </row>
    <row r="146" spans="1:5" s="1837" customFormat="1">
      <c r="A146" s="2947"/>
      <c r="C146" s="2948"/>
      <c r="E146" s="2947"/>
    </row>
    <row r="147" spans="1:5" s="1837" customFormat="1">
      <c r="A147" s="2947"/>
      <c r="C147" s="2948"/>
      <c r="E147" s="2947"/>
    </row>
    <row r="148" spans="1:5" s="1837" customFormat="1">
      <c r="A148" s="2947"/>
      <c r="C148" s="2948"/>
      <c r="E148" s="2947"/>
    </row>
    <row r="149" spans="1:5" s="1837" customFormat="1">
      <c r="A149" s="2947"/>
      <c r="C149" s="2948"/>
      <c r="E149" s="2947"/>
    </row>
    <row r="150" spans="1:5" s="1837" customFormat="1">
      <c r="A150" s="2947"/>
      <c r="C150" s="2948"/>
      <c r="E150" s="2947"/>
    </row>
    <row r="151" spans="1:5" s="1837" customFormat="1">
      <c r="A151" s="2947"/>
      <c r="C151" s="2948"/>
      <c r="E151" s="2947"/>
    </row>
    <row r="152" spans="1:5" s="1837" customFormat="1">
      <c r="A152" s="2947"/>
      <c r="C152" s="2948"/>
      <c r="E152" s="2947"/>
    </row>
    <row r="153" spans="1:5" s="1837" customFormat="1">
      <c r="A153" s="2947"/>
      <c r="C153" s="2948"/>
      <c r="E153" s="2947"/>
    </row>
    <row r="154" spans="1:5" s="1837" customFormat="1">
      <c r="A154" s="2947"/>
      <c r="C154" s="2948"/>
      <c r="E154" s="2947"/>
    </row>
    <row r="155" spans="1:5" s="1837" customFormat="1">
      <c r="A155" s="2947"/>
      <c r="C155" s="2948"/>
      <c r="E155" s="2947"/>
    </row>
    <row r="156" spans="1:5" s="1837" customFormat="1">
      <c r="A156" s="2947"/>
      <c r="C156" s="2948"/>
      <c r="E156" s="2947"/>
    </row>
    <row r="157" spans="1:5" s="1837" customFormat="1">
      <c r="A157" s="2947"/>
      <c r="C157" s="2948"/>
      <c r="E157" s="2947"/>
    </row>
    <row r="158" spans="1:5" s="1837" customFormat="1">
      <c r="A158" s="2947"/>
      <c r="C158" s="2948"/>
      <c r="E158" s="2947"/>
    </row>
    <row r="159" spans="1:5" s="1837" customFormat="1">
      <c r="A159" s="2947"/>
      <c r="C159" s="2948"/>
      <c r="E159" s="2947"/>
    </row>
    <row r="160" spans="1:5" s="1837" customFormat="1">
      <c r="A160" s="2947"/>
      <c r="C160" s="2948"/>
      <c r="E160" s="2947"/>
    </row>
    <row r="161" spans="1:5" s="1837" customFormat="1">
      <c r="A161" s="2947"/>
      <c r="C161" s="2948"/>
      <c r="E161" s="2947"/>
    </row>
    <row r="162" spans="1:5" s="1837" customFormat="1">
      <c r="A162" s="2947"/>
      <c r="C162" s="2948"/>
      <c r="E162" s="2947"/>
    </row>
    <row r="163" spans="1:5" s="1837" customFormat="1">
      <c r="A163" s="2947"/>
      <c r="C163" s="2948"/>
      <c r="E163" s="2947"/>
    </row>
    <row r="164" spans="1:5" s="1837" customFormat="1">
      <c r="A164" s="2947"/>
      <c r="C164" s="2948"/>
      <c r="E164" s="2947"/>
    </row>
    <row r="165" spans="1:5" s="1837" customFormat="1">
      <c r="A165" s="2947"/>
      <c r="C165" s="2948"/>
      <c r="E165" s="2947"/>
    </row>
    <row r="166" spans="1:5" s="1837" customFormat="1">
      <c r="A166" s="2947"/>
      <c r="C166" s="2948"/>
      <c r="E166" s="2947"/>
    </row>
    <row r="167" spans="1:5" s="1837" customFormat="1">
      <c r="A167" s="2947"/>
      <c r="C167" s="2948"/>
      <c r="E167" s="2947"/>
    </row>
    <row r="168" spans="1:5" s="1837" customFormat="1">
      <c r="A168" s="2947"/>
      <c r="C168" s="2948"/>
      <c r="E168" s="2947"/>
    </row>
    <row r="169" spans="1:5" s="1837" customFormat="1">
      <c r="A169" s="2947"/>
      <c r="C169" s="2948"/>
      <c r="E169" s="2947"/>
    </row>
    <row r="170" spans="1:5" s="1837" customFormat="1">
      <c r="A170" s="2947"/>
      <c r="C170" s="2948"/>
      <c r="E170" s="2947"/>
    </row>
    <row r="171" spans="1:5" s="1837" customFormat="1">
      <c r="A171" s="2947"/>
      <c r="C171" s="2948"/>
      <c r="E171" s="2947"/>
    </row>
    <row r="172" spans="1:5" s="1837" customFormat="1">
      <c r="A172" s="2947"/>
      <c r="C172" s="2948"/>
      <c r="E172" s="2947"/>
    </row>
    <row r="173" spans="1:5" s="1837" customFormat="1">
      <c r="A173" s="2947"/>
      <c r="C173" s="2948"/>
      <c r="E173" s="2947"/>
    </row>
    <row r="174" spans="1:5" s="1837" customFormat="1">
      <c r="A174" s="2947"/>
      <c r="C174" s="2948"/>
      <c r="E174" s="2947"/>
    </row>
    <row r="175" spans="1:5" s="1837" customFormat="1">
      <c r="A175" s="2947"/>
      <c r="C175" s="2948"/>
      <c r="E175" s="2947"/>
    </row>
    <row r="176" spans="1:5" s="1837" customFormat="1">
      <c r="A176" s="2947"/>
      <c r="C176" s="2948"/>
      <c r="E176" s="2947"/>
    </row>
    <row r="177" spans="1:5" s="1837" customFormat="1">
      <c r="A177" s="2947"/>
      <c r="C177" s="2948"/>
      <c r="E177" s="2947"/>
    </row>
    <row r="178" spans="1:5" s="1837" customFormat="1">
      <c r="A178" s="2947"/>
      <c r="C178" s="2948"/>
      <c r="E178" s="2947"/>
    </row>
    <row r="179" spans="1:5" s="1837" customFormat="1">
      <c r="A179" s="2947"/>
      <c r="C179" s="2948"/>
      <c r="E179" s="2947"/>
    </row>
    <row r="180" spans="1:5" s="1837" customFormat="1">
      <c r="A180" s="2947"/>
      <c r="C180" s="2948"/>
      <c r="E180" s="2947"/>
    </row>
    <row r="181" spans="1:5" s="1837" customFormat="1">
      <c r="A181" s="2947"/>
      <c r="C181" s="2948"/>
      <c r="E181" s="2947"/>
    </row>
    <row r="182" spans="1:5" s="1837" customFormat="1">
      <c r="A182" s="2947"/>
      <c r="C182" s="2948"/>
      <c r="E182" s="2947"/>
    </row>
    <row r="183" spans="1:5" s="1837" customFormat="1">
      <c r="A183" s="2947"/>
      <c r="C183" s="2948"/>
      <c r="E183" s="2947"/>
    </row>
    <row r="184" spans="1:5" s="1837" customFormat="1">
      <c r="A184" s="2947"/>
      <c r="C184" s="2948"/>
      <c r="E184" s="2947"/>
    </row>
    <row r="185" spans="1:5" s="1837" customFormat="1">
      <c r="A185" s="2947"/>
      <c r="C185" s="2948"/>
      <c r="E185" s="2947"/>
    </row>
    <row r="186" spans="1:5" s="1837" customFormat="1">
      <c r="A186" s="2947"/>
      <c r="C186" s="2948"/>
      <c r="E186" s="2947"/>
    </row>
    <row r="187" spans="1:5" s="1837" customFormat="1">
      <c r="A187" s="2947"/>
      <c r="C187" s="2948"/>
      <c r="E187" s="2947"/>
    </row>
    <row r="188" spans="1:5" s="1837" customFormat="1">
      <c r="A188" s="2947"/>
      <c r="C188" s="2948"/>
      <c r="E188" s="2947"/>
    </row>
    <row r="189" spans="1:5" s="1837" customFormat="1">
      <c r="A189" s="2947"/>
      <c r="C189" s="2948"/>
      <c r="E189" s="2947"/>
    </row>
    <row r="190" spans="1:5" s="1837" customFormat="1">
      <c r="A190" s="2947"/>
      <c r="C190" s="2948"/>
      <c r="E190" s="2947"/>
    </row>
    <row r="191" spans="1:5" s="1837" customFormat="1">
      <c r="A191" s="2947"/>
      <c r="C191" s="2948"/>
      <c r="E191" s="2947"/>
    </row>
    <row r="192" spans="1:5" s="1837" customFormat="1">
      <c r="A192" s="2947"/>
      <c r="C192" s="2948"/>
      <c r="E192" s="2947"/>
    </row>
    <row r="193" spans="1:5" s="1837" customFormat="1">
      <c r="A193" s="2947"/>
      <c r="C193" s="2948"/>
      <c r="E193" s="2947"/>
    </row>
    <row r="194" spans="1:5" s="1837" customFormat="1">
      <c r="A194" s="2947"/>
      <c r="C194" s="2948"/>
      <c r="E194" s="2947"/>
    </row>
    <row r="195" spans="1:5" s="1837" customFormat="1">
      <c r="A195" s="2947"/>
      <c r="C195" s="2948"/>
      <c r="E195" s="2947"/>
    </row>
    <row r="196" spans="1:5" s="1837" customFormat="1">
      <c r="A196" s="2947"/>
      <c r="C196" s="2948"/>
      <c r="E196" s="2947"/>
    </row>
    <row r="197" spans="1:5" s="1837" customFormat="1">
      <c r="A197" s="2947"/>
      <c r="C197" s="2948"/>
      <c r="E197" s="2947"/>
    </row>
    <row r="198" spans="1:5" s="1837" customFormat="1">
      <c r="A198" s="2947"/>
      <c r="C198" s="2948"/>
      <c r="E198" s="2947"/>
    </row>
    <row r="199" spans="1:5" s="1837" customFormat="1">
      <c r="A199" s="2947"/>
      <c r="C199" s="2948"/>
      <c r="E199" s="2947"/>
    </row>
    <row r="200" spans="1:5" s="1837" customFormat="1">
      <c r="A200" s="2947"/>
      <c r="C200" s="2948"/>
      <c r="E200" s="2947"/>
    </row>
    <row r="201" spans="1:5" s="1837" customFormat="1">
      <c r="A201" s="2947"/>
      <c r="C201" s="2948"/>
      <c r="E201" s="2947"/>
    </row>
    <row r="202" spans="1:5" s="1837" customFormat="1">
      <c r="A202" s="2947"/>
      <c r="C202" s="2948"/>
      <c r="E202" s="2947"/>
    </row>
    <row r="203" spans="1:5" s="1837" customFormat="1">
      <c r="A203" s="2947"/>
      <c r="C203" s="2948"/>
      <c r="E203" s="2947"/>
    </row>
    <row r="204" spans="1:5" s="1837" customFormat="1">
      <c r="A204" s="2947"/>
      <c r="C204" s="2948"/>
      <c r="E204" s="2947"/>
    </row>
    <row r="205" spans="1:5" s="1837" customFormat="1">
      <c r="A205" s="2947"/>
      <c r="C205" s="2948"/>
      <c r="E205" s="2947"/>
    </row>
    <row r="206" spans="1:5" s="1837" customFormat="1">
      <c r="A206" s="2947"/>
      <c r="C206" s="2948"/>
      <c r="E206" s="2947"/>
    </row>
    <row r="207" spans="1:5" s="1837" customFormat="1">
      <c r="A207" s="2947"/>
      <c r="C207" s="2948"/>
      <c r="E207" s="2947"/>
    </row>
    <row r="208" spans="1:5" s="1837" customFormat="1">
      <c r="A208" s="2947"/>
      <c r="C208" s="2948"/>
      <c r="E208" s="2947"/>
    </row>
    <row r="209" spans="1:5" s="1837" customFormat="1">
      <c r="A209" s="2947"/>
      <c r="C209" s="2948"/>
      <c r="E209" s="2947"/>
    </row>
    <row r="210" spans="1:5" s="1837" customFormat="1">
      <c r="A210" s="2947"/>
      <c r="C210" s="2948"/>
      <c r="E210" s="2947"/>
    </row>
    <row r="211" spans="1:5" s="1837" customFormat="1">
      <c r="A211" s="2947"/>
      <c r="C211" s="2948"/>
      <c r="E211" s="2947"/>
    </row>
    <row r="212" spans="1:5" s="1837" customFormat="1">
      <c r="A212" s="2947"/>
      <c r="C212" s="2948"/>
      <c r="E212" s="2947"/>
    </row>
    <row r="213" spans="1:5" s="1837" customFormat="1">
      <c r="A213" s="2947"/>
      <c r="C213" s="2948"/>
      <c r="E213" s="2947"/>
    </row>
    <row r="214" spans="1:5" s="1837" customFormat="1">
      <c r="A214" s="2947"/>
      <c r="C214" s="2948"/>
      <c r="E214" s="2947"/>
    </row>
    <row r="215" spans="1:5" s="1837" customFormat="1">
      <c r="A215" s="2947"/>
      <c r="C215" s="2948"/>
      <c r="E215" s="2947"/>
    </row>
    <row r="216" spans="1:5" s="1837" customFormat="1">
      <c r="A216" s="2947"/>
      <c r="C216" s="2948"/>
      <c r="E216" s="2947"/>
    </row>
    <row r="217" spans="1:5" s="1837" customFormat="1">
      <c r="A217" s="2947"/>
      <c r="C217" s="2948"/>
      <c r="E217" s="2947"/>
    </row>
    <row r="218" spans="1:5" s="1837" customFormat="1">
      <c r="A218" s="2947"/>
      <c r="C218" s="2948"/>
      <c r="E218" s="2947"/>
    </row>
    <row r="219" spans="1:5" s="1837" customFormat="1">
      <c r="A219" s="2947"/>
      <c r="C219" s="2948"/>
      <c r="E219" s="2947"/>
    </row>
    <row r="220" spans="1:5" s="1837" customFormat="1">
      <c r="A220" s="2947"/>
      <c r="C220" s="2948"/>
      <c r="E220" s="2947"/>
    </row>
    <row r="221" spans="1:5" s="1837" customFormat="1">
      <c r="A221" s="2947"/>
      <c r="C221" s="2948"/>
      <c r="E221" s="2947"/>
    </row>
    <row r="222" spans="1:5" s="1837" customFormat="1">
      <c r="A222" s="2947"/>
      <c r="C222" s="2948"/>
      <c r="E222" s="2947"/>
    </row>
    <row r="223" spans="1:5" s="1837" customFormat="1">
      <c r="A223" s="2947"/>
      <c r="C223" s="2948"/>
      <c r="E223" s="2947"/>
    </row>
    <row r="224" spans="1:5" s="1837" customFormat="1">
      <c r="A224" s="2947"/>
      <c r="C224" s="2948"/>
      <c r="E224" s="2947"/>
    </row>
    <row r="225" spans="1:5" s="1837" customFormat="1">
      <c r="A225" s="2947"/>
      <c r="C225" s="2948"/>
      <c r="E225" s="2947"/>
    </row>
    <row r="226" spans="1:5" s="1837" customFormat="1">
      <c r="A226" s="2947"/>
      <c r="C226" s="2948"/>
      <c r="E226" s="2947"/>
    </row>
    <row r="227" spans="1:5" s="1837" customFormat="1">
      <c r="A227" s="2947"/>
      <c r="C227" s="2948"/>
      <c r="E227" s="2947"/>
    </row>
    <row r="228" spans="1:5" s="1837" customFormat="1">
      <c r="A228" s="2947"/>
      <c r="C228" s="2948"/>
      <c r="E228" s="2947"/>
    </row>
    <row r="229" spans="1:5" s="1837" customFormat="1">
      <c r="A229" s="2947"/>
      <c r="C229" s="2948"/>
      <c r="E229" s="2947"/>
    </row>
    <row r="230" spans="1:5" s="1837" customFormat="1">
      <c r="A230" s="2947"/>
      <c r="C230" s="2948"/>
      <c r="E230" s="2947"/>
    </row>
    <row r="231" spans="1:5" s="1837" customFormat="1">
      <c r="A231" s="2947"/>
      <c r="C231" s="2948"/>
      <c r="E231" s="2947"/>
    </row>
    <row r="232" spans="1:5" s="1837" customFormat="1">
      <c r="A232" s="2947"/>
      <c r="C232" s="2948"/>
      <c r="E232" s="2947"/>
    </row>
    <row r="233" spans="1:5" s="1837" customFormat="1">
      <c r="A233" s="2947"/>
      <c r="C233" s="2948"/>
      <c r="E233" s="2947"/>
    </row>
    <row r="234" spans="1:5" s="1837" customFormat="1">
      <c r="A234" s="2947"/>
      <c r="C234" s="2948"/>
      <c r="E234" s="2947"/>
    </row>
    <row r="235" spans="1:5" s="1837" customFormat="1">
      <c r="A235" s="2947"/>
      <c r="C235" s="2948"/>
      <c r="E235" s="2947"/>
    </row>
    <row r="236" spans="1:5" s="1837" customFormat="1">
      <c r="A236" s="2947"/>
      <c r="C236" s="2948"/>
      <c r="E236" s="2947"/>
    </row>
    <row r="237" spans="1:5" s="1837" customFormat="1">
      <c r="A237" s="2947"/>
      <c r="C237" s="2948"/>
      <c r="E237" s="2947"/>
    </row>
    <row r="238" spans="1:5" s="1837" customFormat="1">
      <c r="A238" s="2947"/>
      <c r="C238" s="2948"/>
      <c r="E238" s="2947"/>
    </row>
    <row r="239" spans="1:5" s="1837" customFormat="1">
      <c r="A239" s="2947"/>
      <c r="C239" s="2948"/>
      <c r="E239" s="2947"/>
    </row>
    <row r="240" spans="1:5" s="1837" customFormat="1">
      <c r="A240" s="2947"/>
      <c r="C240" s="2948"/>
      <c r="E240" s="2947"/>
    </row>
    <row r="241" spans="1:5" s="1837" customFormat="1">
      <c r="A241" s="2947"/>
      <c r="C241" s="2948"/>
      <c r="E241" s="2947"/>
    </row>
    <row r="242" spans="1:5" s="1837" customFormat="1">
      <c r="A242" s="2947"/>
      <c r="C242" s="2948"/>
      <c r="E242" s="2947"/>
    </row>
    <row r="243" spans="1:5" s="1837" customFormat="1">
      <c r="A243" s="2947"/>
      <c r="C243" s="2948"/>
      <c r="E243" s="2947"/>
    </row>
    <row r="244" spans="1:5" s="1837" customFormat="1">
      <c r="A244" s="2947"/>
      <c r="C244" s="2948"/>
      <c r="E244" s="2947"/>
    </row>
    <row r="245" spans="1:5" s="1837" customFormat="1">
      <c r="A245" s="2947"/>
      <c r="C245" s="2948"/>
      <c r="E245" s="2947"/>
    </row>
    <row r="246" spans="1:5" s="1837" customFormat="1">
      <c r="A246" s="2947"/>
      <c r="C246" s="2948"/>
      <c r="E246" s="2947"/>
    </row>
    <row r="247" spans="1:5" s="1837" customFormat="1">
      <c r="A247" s="2947"/>
      <c r="C247" s="2948"/>
      <c r="E247" s="2947"/>
    </row>
    <row r="248" spans="1:5" s="1837" customFormat="1">
      <c r="A248" s="2947"/>
      <c r="C248" s="2948"/>
      <c r="E248" s="2947"/>
    </row>
    <row r="249" spans="1:5" s="1837" customFormat="1">
      <c r="A249" s="2947"/>
      <c r="C249" s="2948"/>
      <c r="E249" s="2947"/>
    </row>
    <row r="250" spans="1:5" s="1837" customFormat="1">
      <c r="A250" s="2947"/>
      <c r="C250" s="2948"/>
      <c r="E250" s="2947"/>
    </row>
    <row r="251" spans="1:5" s="1837" customFormat="1">
      <c r="A251" s="2947"/>
      <c r="C251" s="2948"/>
      <c r="E251" s="2947"/>
    </row>
    <row r="252" spans="1:5" s="1837" customFormat="1">
      <c r="A252" s="2947"/>
      <c r="C252" s="2948"/>
      <c r="E252" s="2947"/>
    </row>
    <row r="253" spans="1:5" s="1837" customFormat="1">
      <c r="A253" s="2947"/>
      <c r="C253" s="2948"/>
      <c r="E253" s="2947"/>
    </row>
    <row r="254" spans="1:5" s="1837" customFormat="1">
      <c r="A254" s="2947"/>
      <c r="C254" s="2948"/>
      <c r="E254" s="2947"/>
    </row>
    <row r="255" spans="1:5" s="1837" customFormat="1">
      <c r="A255" s="2947"/>
      <c r="C255" s="2948"/>
      <c r="E255" s="2947"/>
    </row>
    <row r="256" spans="1:5" s="1837" customFormat="1">
      <c r="A256" s="2947"/>
      <c r="C256" s="2948"/>
      <c r="E256" s="2947"/>
    </row>
    <row r="257" spans="1:5" s="1837" customFormat="1">
      <c r="A257" s="2947"/>
      <c r="C257" s="2948"/>
      <c r="E257" s="2947"/>
    </row>
    <row r="258" spans="1:5" s="1837" customFormat="1">
      <c r="A258" s="2947"/>
      <c r="C258" s="2948"/>
      <c r="E258" s="2947"/>
    </row>
    <row r="259" spans="1:5" s="1837" customFormat="1">
      <c r="A259" s="2947"/>
      <c r="C259" s="2948"/>
      <c r="E259" s="2947"/>
    </row>
    <row r="260" spans="1:5" s="1837" customFormat="1">
      <c r="A260" s="2947"/>
      <c r="C260" s="2948"/>
      <c r="E260" s="2947"/>
    </row>
    <row r="261" spans="1:5" s="1837" customFormat="1">
      <c r="A261" s="2947"/>
      <c r="C261" s="2948"/>
      <c r="E261" s="2947"/>
    </row>
    <row r="262" spans="1:5" s="1837" customFormat="1">
      <c r="A262" s="2947"/>
      <c r="C262" s="2948"/>
      <c r="E262" s="2947"/>
    </row>
    <row r="263" spans="1:5" s="1837" customFormat="1">
      <c r="A263" s="2947"/>
      <c r="C263" s="2948"/>
      <c r="E263" s="2947"/>
    </row>
    <row r="264" spans="1:5" s="1837" customFormat="1">
      <c r="A264" s="2947"/>
      <c r="C264" s="2948"/>
      <c r="E264" s="2947"/>
    </row>
    <row r="265" spans="1:5" s="1837" customFormat="1">
      <c r="A265" s="2947"/>
      <c r="C265" s="2948"/>
      <c r="E265" s="2947"/>
    </row>
    <row r="266" spans="1:5" s="1837" customFormat="1">
      <c r="A266" s="2947"/>
      <c r="C266" s="2948"/>
      <c r="E266" s="2947"/>
    </row>
    <row r="267" spans="1:5" s="1837" customFormat="1">
      <c r="A267" s="2947"/>
      <c r="C267" s="2948"/>
      <c r="E267" s="2947"/>
    </row>
    <row r="268" spans="1:5" s="1837" customFormat="1">
      <c r="A268" s="2947"/>
      <c r="C268" s="2948"/>
      <c r="E268" s="2947"/>
    </row>
    <row r="269" spans="1:5" s="1837" customFormat="1">
      <c r="A269" s="2947"/>
      <c r="C269" s="2948"/>
      <c r="E269" s="2947"/>
    </row>
    <row r="270" spans="1:5" s="1837" customFormat="1">
      <c r="A270" s="2947"/>
      <c r="C270" s="2948"/>
      <c r="E270" s="2947"/>
    </row>
    <row r="271" spans="1:5" s="1837" customFormat="1">
      <c r="A271" s="2947"/>
      <c r="C271" s="2948"/>
      <c r="E271" s="2947"/>
    </row>
    <row r="272" spans="1:5" s="1837" customFormat="1">
      <c r="A272" s="2947"/>
      <c r="C272" s="2948"/>
      <c r="E272" s="2947"/>
    </row>
    <row r="273" spans="1:5" s="1837" customFormat="1">
      <c r="A273" s="2947"/>
      <c r="C273" s="2948"/>
      <c r="E273" s="2947"/>
    </row>
    <row r="274" spans="1:5" s="1837" customFormat="1">
      <c r="A274" s="2947"/>
      <c r="C274" s="2948"/>
      <c r="E274" s="2947"/>
    </row>
    <row r="275" spans="1:5" s="1837" customFormat="1">
      <c r="A275" s="2947"/>
      <c r="C275" s="2948"/>
      <c r="E275" s="2947"/>
    </row>
    <row r="276" spans="1:5" s="1837" customFormat="1">
      <c r="A276" s="2947"/>
      <c r="C276" s="2948"/>
      <c r="E276" s="2947"/>
    </row>
    <row r="277" spans="1:5" s="1837" customFormat="1">
      <c r="A277" s="2947"/>
      <c r="C277" s="2948"/>
      <c r="E277" s="2947"/>
    </row>
    <row r="278" spans="1:5" s="1837" customFormat="1">
      <c r="A278" s="2947"/>
      <c r="C278" s="2948"/>
      <c r="E278" s="2947"/>
    </row>
    <row r="279" spans="1:5" s="1837" customFormat="1">
      <c r="A279" s="2947"/>
      <c r="C279" s="2948"/>
      <c r="E279" s="2947"/>
    </row>
    <row r="280" spans="1:5" s="1837" customFormat="1">
      <c r="A280" s="2947"/>
      <c r="C280" s="2948"/>
      <c r="E280" s="2947"/>
    </row>
    <row r="281" spans="1:5" s="1837" customFormat="1">
      <c r="A281" s="2947"/>
      <c r="C281" s="2948"/>
      <c r="E281" s="2947"/>
    </row>
    <row r="282" spans="1:5" s="1837" customFormat="1">
      <c r="A282" s="2947"/>
      <c r="C282" s="2948"/>
      <c r="E282" s="2947"/>
    </row>
    <row r="283" spans="1:5" s="1837" customFormat="1">
      <c r="A283" s="2947"/>
      <c r="C283" s="2948"/>
      <c r="E283" s="2947"/>
    </row>
    <row r="284" spans="1:5" s="1837" customFormat="1">
      <c r="A284" s="2947"/>
      <c r="C284" s="2948"/>
      <c r="E284" s="2947"/>
    </row>
    <row r="285" spans="1:5" s="1837" customFormat="1">
      <c r="A285" s="2947"/>
      <c r="C285" s="2948"/>
      <c r="E285" s="2947"/>
    </row>
    <row r="286" spans="1:5" s="1837" customFormat="1">
      <c r="A286" s="2947"/>
      <c r="C286" s="2948"/>
      <c r="E286" s="2947"/>
    </row>
    <row r="287" spans="1:5" s="1837" customFormat="1">
      <c r="A287" s="2947"/>
      <c r="C287" s="2948"/>
      <c r="E287" s="2947"/>
    </row>
    <row r="288" spans="1:5" s="1837" customFormat="1">
      <c r="A288" s="2947"/>
      <c r="C288" s="2948"/>
      <c r="E288" s="2947"/>
    </row>
    <row r="289" spans="1:5" s="1837" customFormat="1">
      <c r="A289" s="2947"/>
      <c r="C289" s="2948"/>
      <c r="E289" s="2947"/>
    </row>
    <row r="290" spans="1:5" s="1837" customFormat="1">
      <c r="A290" s="2947"/>
      <c r="C290" s="2948"/>
      <c r="E290" s="2947"/>
    </row>
    <row r="291" spans="1:5" s="1837" customFormat="1">
      <c r="A291" s="2947"/>
      <c r="C291" s="2948"/>
      <c r="E291" s="2947"/>
    </row>
    <row r="292" spans="1:5" s="1837" customFormat="1">
      <c r="A292" s="2947"/>
      <c r="C292" s="2948"/>
      <c r="E292" s="2947"/>
    </row>
    <row r="293" spans="1:5" s="1837" customFormat="1">
      <c r="A293" s="2947"/>
      <c r="C293" s="2948"/>
      <c r="E293" s="2947"/>
    </row>
    <row r="294" spans="1:5" s="1837" customFormat="1">
      <c r="A294" s="2947"/>
      <c r="C294" s="2948"/>
      <c r="E294" s="2947"/>
    </row>
    <row r="295" spans="1:5" s="1837" customFormat="1">
      <c r="A295" s="2947"/>
      <c r="C295" s="2948"/>
      <c r="E295" s="2947"/>
    </row>
    <row r="296" spans="1:5" s="1837" customFormat="1">
      <c r="A296" s="2947"/>
      <c r="C296" s="2948"/>
      <c r="E296" s="2947"/>
    </row>
    <row r="297" spans="1:5" s="1837" customFormat="1">
      <c r="A297" s="2947"/>
      <c r="C297" s="2948"/>
      <c r="E297" s="2947"/>
    </row>
    <row r="298" spans="1:5" s="1837" customFormat="1">
      <c r="A298" s="2947"/>
      <c r="C298" s="2948"/>
      <c r="E298" s="2947"/>
    </row>
    <row r="299" spans="1:5" s="1837" customFormat="1">
      <c r="A299" s="2947"/>
      <c r="C299" s="2948"/>
      <c r="E299" s="2947"/>
    </row>
    <row r="300" spans="1:5" s="1837" customFormat="1">
      <c r="A300" s="2947"/>
      <c r="C300" s="2948"/>
      <c r="E300" s="2947"/>
    </row>
    <row r="301" spans="1:5" s="1837" customFormat="1">
      <c r="A301" s="2947"/>
      <c r="C301" s="2948"/>
      <c r="E301" s="2947"/>
    </row>
    <row r="302" spans="1:5" s="1837" customFormat="1">
      <c r="A302" s="2947"/>
      <c r="C302" s="2948"/>
      <c r="E302" s="2947"/>
    </row>
    <row r="303" spans="1:5" s="1837" customFormat="1">
      <c r="A303" s="2947"/>
      <c r="C303" s="2948"/>
      <c r="E303" s="2947"/>
    </row>
    <row r="304" spans="1:5" s="1837" customFormat="1">
      <c r="A304" s="2947"/>
      <c r="C304" s="2948"/>
      <c r="E304" s="2947"/>
    </row>
    <row r="305" spans="1:5" s="1837" customFormat="1">
      <c r="A305" s="2947"/>
      <c r="C305" s="2948"/>
      <c r="E305" s="2947"/>
    </row>
    <row r="306" spans="1:5" s="1837" customFormat="1">
      <c r="A306" s="2947"/>
      <c r="C306" s="2948"/>
      <c r="E306" s="2947"/>
    </row>
    <row r="307" spans="1:5" s="1837" customFormat="1">
      <c r="A307" s="2947"/>
      <c r="C307" s="2948"/>
      <c r="E307" s="2947"/>
    </row>
    <row r="308" spans="1:5" s="1837" customFormat="1">
      <c r="A308" s="2947"/>
      <c r="C308" s="2948"/>
      <c r="E308" s="2947"/>
    </row>
    <row r="309" spans="1:5" s="1837" customFormat="1">
      <c r="A309" s="2947"/>
      <c r="C309" s="2948"/>
      <c r="E309" s="2947"/>
    </row>
    <row r="310" spans="1:5" s="1837" customFormat="1">
      <c r="A310" s="2947"/>
      <c r="C310" s="2948"/>
      <c r="E310" s="2947"/>
    </row>
    <row r="311" spans="1:5" s="1837" customFormat="1">
      <c r="A311" s="2947"/>
      <c r="C311" s="2948"/>
      <c r="E311" s="2947"/>
    </row>
    <row r="312" spans="1:5" s="1837" customFormat="1">
      <c r="A312" s="2947"/>
      <c r="C312" s="2948"/>
      <c r="E312" s="2947"/>
    </row>
    <row r="313" spans="1:5" s="1837" customFormat="1">
      <c r="A313" s="2947"/>
      <c r="C313" s="2948"/>
      <c r="E313" s="2947"/>
    </row>
    <row r="314" spans="1:5" s="1837" customFormat="1">
      <c r="A314" s="2947"/>
      <c r="C314" s="2948"/>
      <c r="E314" s="2947"/>
    </row>
    <row r="315" spans="1:5" s="1837" customFormat="1">
      <c r="A315" s="2947"/>
      <c r="C315" s="2948"/>
      <c r="E315" s="2947"/>
    </row>
    <row r="316" spans="1:5" s="1837" customFormat="1">
      <c r="A316" s="2947"/>
      <c r="C316" s="2948"/>
      <c r="E316" s="2947"/>
    </row>
    <row r="317" spans="1:5" s="1837" customFormat="1">
      <c r="A317" s="2947"/>
      <c r="C317" s="2948"/>
      <c r="E317" s="2947"/>
    </row>
    <row r="318" spans="1:5" s="1837" customFormat="1">
      <c r="A318" s="2947"/>
      <c r="C318" s="2948"/>
      <c r="E318" s="2947"/>
    </row>
    <row r="319" spans="1:5" s="1837" customFormat="1">
      <c r="A319" s="2947"/>
      <c r="C319" s="2948"/>
      <c r="E319" s="2947"/>
    </row>
    <row r="320" spans="1:5" s="1837" customFormat="1">
      <c r="A320" s="2947"/>
      <c r="C320" s="2948"/>
      <c r="E320" s="2947"/>
    </row>
    <row r="321" spans="1:5" s="1837" customFormat="1">
      <c r="A321" s="2947"/>
      <c r="C321" s="2948"/>
      <c r="E321" s="2947"/>
    </row>
    <row r="322" spans="1:5" s="1837" customFormat="1">
      <c r="A322" s="2947"/>
      <c r="C322" s="2948"/>
      <c r="E322" s="2947"/>
    </row>
    <row r="323" spans="1:5" s="1837" customFormat="1">
      <c r="A323" s="2947"/>
      <c r="C323" s="2948"/>
      <c r="E323" s="2947"/>
    </row>
    <row r="324" spans="1:5" s="1837" customFormat="1">
      <c r="A324" s="2947"/>
      <c r="C324" s="2948"/>
      <c r="E324" s="2947"/>
    </row>
    <row r="325" spans="1:5" s="1837" customFormat="1">
      <c r="A325" s="2947"/>
      <c r="C325" s="2948"/>
      <c r="E325" s="2947"/>
    </row>
    <row r="326" spans="1:5" s="1837" customFormat="1">
      <c r="A326" s="2947"/>
      <c r="C326" s="2948"/>
      <c r="E326" s="2947"/>
    </row>
    <row r="327" spans="1:5" s="1837" customFormat="1">
      <c r="A327" s="2947"/>
      <c r="C327" s="2948"/>
      <c r="E327" s="2947"/>
    </row>
    <row r="328" spans="1:5" s="1837" customFormat="1">
      <c r="A328" s="2947"/>
      <c r="C328" s="2948"/>
      <c r="E328" s="2947"/>
    </row>
    <row r="329" spans="1:5" s="1837" customFormat="1">
      <c r="A329" s="2947"/>
      <c r="C329" s="2948"/>
      <c r="E329" s="2947"/>
    </row>
    <row r="330" spans="1:5" s="1837" customFormat="1">
      <c r="A330" s="2947"/>
      <c r="C330" s="2948"/>
      <c r="E330" s="2947"/>
    </row>
    <row r="331" spans="1:5" s="1837" customFormat="1">
      <c r="A331" s="2947"/>
      <c r="C331" s="2948"/>
      <c r="E331" s="2947"/>
    </row>
    <row r="332" spans="1:5" s="1837" customFormat="1">
      <c r="A332" s="2947"/>
      <c r="C332" s="2948"/>
      <c r="E332" s="2947"/>
    </row>
    <row r="333" spans="1:5" s="1837" customFormat="1">
      <c r="A333" s="2947"/>
      <c r="C333" s="2948"/>
      <c r="E333" s="2947"/>
    </row>
    <row r="334" spans="1:5" s="1837" customFormat="1">
      <c r="A334" s="2947"/>
      <c r="C334" s="2948"/>
      <c r="E334" s="2947"/>
    </row>
    <row r="335" spans="1:5" s="1837" customFormat="1">
      <c r="A335" s="2947"/>
      <c r="C335" s="2948"/>
      <c r="E335" s="2947"/>
    </row>
    <row r="336" spans="1:5" s="1837" customFormat="1">
      <c r="A336" s="2947"/>
      <c r="C336" s="2948"/>
      <c r="E336" s="2947"/>
    </row>
    <row r="337" spans="1:5" s="1837" customFormat="1">
      <c r="A337" s="2947"/>
      <c r="C337" s="2948"/>
      <c r="E337" s="2947"/>
    </row>
    <row r="338" spans="1:5" s="1837" customFormat="1">
      <c r="A338" s="2947"/>
      <c r="C338" s="2948"/>
      <c r="E338" s="2947"/>
    </row>
    <row r="339" spans="1:5" s="1837" customFormat="1">
      <c r="A339" s="2947"/>
      <c r="C339" s="2948"/>
      <c r="E339" s="2947"/>
    </row>
    <row r="340" spans="1:5" s="1837" customFormat="1">
      <c r="A340" s="2947"/>
      <c r="C340" s="2948"/>
      <c r="E340" s="2947"/>
    </row>
    <row r="341" spans="1:5" s="1837" customFormat="1">
      <c r="A341" s="2947"/>
      <c r="C341" s="2948"/>
      <c r="E341" s="2947"/>
    </row>
    <row r="342" spans="1:5" s="1837" customFormat="1">
      <c r="A342" s="2947"/>
      <c r="C342" s="2948"/>
      <c r="E342" s="2947"/>
    </row>
    <row r="343" spans="1:5" s="1837" customFormat="1">
      <c r="A343" s="2947"/>
      <c r="C343" s="2948"/>
      <c r="E343" s="2947"/>
    </row>
    <row r="344" spans="1:5" s="1837" customFormat="1">
      <c r="A344" s="2947"/>
      <c r="C344" s="2948"/>
      <c r="E344" s="2947"/>
    </row>
    <row r="345" spans="1:5" s="1837" customFormat="1">
      <c r="A345" s="2947"/>
      <c r="C345" s="2948"/>
      <c r="E345" s="2947"/>
    </row>
    <row r="346" spans="1:5" s="1837" customFormat="1">
      <c r="A346" s="2947"/>
      <c r="C346" s="2948"/>
      <c r="E346" s="2947"/>
    </row>
    <row r="347" spans="1:5" s="1837" customFormat="1">
      <c r="A347" s="2947"/>
      <c r="C347" s="2948"/>
      <c r="E347" s="2947"/>
    </row>
    <row r="348" spans="1:5" s="1837" customFormat="1">
      <c r="A348" s="2947"/>
      <c r="C348" s="2948"/>
      <c r="E348" s="2947"/>
    </row>
    <row r="349" spans="1:5" s="1837" customFormat="1">
      <c r="A349" s="2947"/>
      <c r="C349" s="2948"/>
      <c r="E349" s="2947"/>
    </row>
    <row r="350" spans="1:5" s="1837" customFormat="1">
      <c r="A350" s="2947"/>
      <c r="C350" s="2948"/>
      <c r="E350" s="2947"/>
    </row>
    <row r="351" spans="1:5" s="1837" customFormat="1">
      <c r="A351" s="2947"/>
      <c r="C351" s="2948"/>
      <c r="E351" s="2947"/>
    </row>
    <row r="352" spans="1:5" s="1837" customFormat="1">
      <c r="A352" s="2947"/>
      <c r="C352" s="2948"/>
      <c r="E352" s="2947"/>
    </row>
    <row r="353" spans="1:5" s="1837" customFormat="1">
      <c r="A353" s="2947"/>
      <c r="C353" s="2948"/>
      <c r="E353" s="2947"/>
    </row>
    <row r="354" spans="1:5" s="1837" customFormat="1">
      <c r="A354" s="2947"/>
      <c r="C354" s="2948"/>
      <c r="E354" s="2947"/>
    </row>
    <row r="355" spans="1:5" s="1837" customFormat="1">
      <c r="A355" s="2947"/>
      <c r="C355" s="2948"/>
      <c r="E355" s="2947"/>
    </row>
    <row r="356" spans="1:5" s="1837" customFormat="1">
      <c r="A356" s="2947"/>
      <c r="C356" s="2948"/>
      <c r="E356" s="2947"/>
    </row>
    <row r="357" spans="1:5" s="1837" customFormat="1">
      <c r="A357" s="2947"/>
      <c r="C357" s="2948"/>
      <c r="E357" s="2947"/>
    </row>
    <row r="358" spans="1:5" s="1837" customFormat="1">
      <c r="A358" s="2947"/>
      <c r="C358" s="2948"/>
      <c r="E358" s="2947"/>
    </row>
    <row r="359" spans="1:5" s="1837" customFormat="1">
      <c r="A359" s="2947"/>
      <c r="C359" s="2948"/>
      <c r="E359" s="2947"/>
    </row>
    <row r="360" spans="1:5" s="1837" customFormat="1">
      <c r="A360" s="2947"/>
      <c r="C360" s="2948"/>
      <c r="E360" s="2947"/>
    </row>
    <row r="361" spans="1:5" s="1837" customFormat="1">
      <c r="A361" s="2947"/>
      <c r="C361" s="2948"/>
      <c r="E361" s="2947"/>
    </row>
    <row r="362" spans="1:5" s="1837" customFormat="1">
      <c r="A362" s="2947"/>
      <c r="C362" s="2948"/>
      <c r="E362" s="2947"/>
    </row>
    <row r="363" spans="1:5" s="1837" customFormat="1">
      <c r="A363" s="2947"/>
      <c r="C363" s="2948"/>
      <c r="E363" s="2947"/>
    </row>
    <row r="364" spans="1:5" s="1837" customFormat="1">
      <c r="A364" s="2947"/>
      <c r="C364" s="2948"/>
      <c r="E364" s="2947"/>
    </row>
    <row r="365" spans="1:5" s="1837" customFormat="1">
      <c r="A365" s="2947"/>
      <c r="C365" s="2948"/>
      <c r="E365" s="2947"/>
    </row>
    <row r="366" spans="1:5" s="1837" customFormat="1">
      <c r="A366" s="2947"/>
      <c r="C366" s="2948"/>
      <c r="E366" s="2947"/>
    </row>
    <row r="367" spans="1:5" s="1837" customFormat="1">
      <c r="A367" s="2947"/>
      <c r="C367" s="2948"/>
      <c r="E367" s="2947"/>
    </row>
    <row r="368" spans="1:5" s="1837" customFormat="1">
      <c r="A368" s="2947"/>
      <c r="C368" s="2948"/>
      <c r="E368" s="2947"/>
    </row>
    <row r="369" spans="1:5" s="1837" customFormat="1">
      <c r="A369" s="2947"/>
      <c r="C369" s="2948"/>
      <c r="E369" s="2947"/>
    </row>
    <row r="370" spans="1:5" s="1837" customFormat="1">
      <c r="A370" s="2947"/>
      <c r="C370" s="2948"/>
      <c r="E370" s="2947"/>
    </row>
    <row r="371" spans="1:5" s="1837" customFormat="1">
      <c r="A371" s="2947"/>
      <c r="C371" s="2948"/>
      <c r="E371" s="2947"/>
    </row>
    <row r="372" spans="1:5" s="1837" customFormat="1">
      <c r="A372" s="2947"/>
      <c r="C372" s="2948"/>
      <c r="E372" s="2947"/>
    </row>
    <row r="373" spans="1:5" s="1837" customFormat="1">
      <c r="A373" s="2947"/>
      <c r="C373" s="2948"/>
      <c r="E373" s="2947"/>
    </row>
    <row r="374" spans="1:5" s="1837" customFormat="1">
      <c r="A374" s="2947"/>
      <c r="C374" s="2948"/>
      <c r="E374" s="2947"/>
    </row>
    <row r="375" spans="1:5" s="1837" customFormat="1">
      <c r="A375" s="2947"/>
      <c r="C375" s="2948"/>
      <c r="E375" s="2947"/>
    </row>
    <row r="376" spans="1:5" s="1837" customFormat="1">
      <c r="A376" s="2947"/>
      <c r="C376" s="2948"/>
      <c r="E376" s="2947"/>
    </row>
    <row r="377" spans="1:5" s="1837" customFormat="1">
      <c r="A377" s="2947"/>
      <c r="C377" s="2948"/>
      <c r="E377" s="2947"/>
    </row>
    <row r="378" spans="1:5" s="1837" customFormat="1">
      <c r="A378" s="2947"/>
      <c r="C378" s="2948"/>
      <c r="E378" s="2947"/>
    </row>
    <row r="379" spans="1:5" s="1837" customFormat="1">
      <c r="A379" s="2947"/>
      <c r="C379" s="2948"/>
      <c r="E379" s="2947"/>
    </row>
    <row r="380" spans="1:5" s="1837" customFormat="1">
      <c r="A380" s="2947"/>
      <c r="C380" s="2948"/>
      <c r="E380" s="2947"/>
    </row>
    <row r="381" spans="1:5" s="1837" customFormat="1">
      <c r="A381" s="2947"/>
      <c r="C381" s="2948"/>
      <c r="E381" s="2947"/>
    </row>
    <row r="382" spans="1:5" s="1837" customFormat="1">
      <c r="A382" s="2947"/>
      <c r="C382" s="2948"/>
      <c r="E382" s="2947"/>
    </row>
    <row r="383" spans="1:5" s="1837" customFormat="1">
      <c r="A383" s="2947"/>
      <c r="C383" s="2948"/>
      <c r="E383" s="2947"/>
    </row>
    <row r="384" spans="1:5" s="1837" customFormat="1">
      <c r="A384" s="2947"/>
      <c r="C384" s="2948"/>
      <c r="E384" s="2947"/>
    </row>
    <row r="385" spans="1:5" s="1837" customFormat="1">
      <c r="A385" s="2947"/>
      <c r="C385" s="2948"/>
      <c r="E385" s="2947"/>
    </row>
    <row r="386" spans="1:5" s="1837" customFormat="1">
      <c r="A386" s="2947"/>
      <c r="C386" s="2948"/>
      <c r="E386" s="2947"/>
    </row>
    <row r="387" spans="1:5" s="1837" customFormat="1">
      <c r="A387" s="2947"/>
      <c r="C387" s="2948"/>
      <c r="E387" s="2947"/>
    </row>
    <row r="388" spans="1:5" s="1837" customFormat="1">
      <c r="A388" s="2947"/>
      <c r="C388" s="2948"/>
      <c r="E388" s="2947"/>
    </row>
    <row r="389" spans="1:5" s="1837" customFormat="1">
      <c r="A389" s="2947"/>
      <c r="C389" s="2948"/>
      <c r="E389" s="2947"/>
    </row>
    <row r="390" spans="1:5" s="1837" customFormat="1">
      <c r="A390" s="2947"/>
      <c r="C390" s="2948"/>
      <c r="E390" s="2947"/>
    </row>
    <row r="391" spans="1:5" s="1837" customFormat="1">
      <c r="A391" s="2947"/>
      <c r="C391" s="2948"/>
      <c r="E391" s="2947"/>
    </row>
    <row r="392" spans="1:5" s="1837" customFormat="1">
      <c r="A392" s="2947"/>
      <c r="C392" s="2948"/>
      <c r="E392" s="2947"/>
    </row>
    <row r="393" spans="1:5" s="1837" customFormat="1">
      <c r="A393" s="2947"/>
      <c r="C393" s="2948"/>
      <c r="E393" s="2947"/>
    </row>
    <row r="394" spans="1:5" s="1837" customFormat="1">
      <c r="A394" s="2947"/>
      <c r="C394" s="2948"/>
      <c r="E394" s="2947"/>
    </row>
    <row r="395" spans="1:5" s="1837" customFormat="1">
      <c r="A395" s="2947"/>
      <c r="C395" s="2948"/>
      <c r="E395" s="2947"/>
    </row>
    <row r="396" spans="1:5" s="1837" customFormat="1">
      <c r="A396" s="2947"/>
      <c r="C396" s="2948"/>
      <c r="E396" s="2947"/>
    </row>
    <row r="397" spans="1:5" s="1837" customFormat="1">
      <c r="A397" s="2947"/>
      <c r="C397" s="2948"/>
      <c r="E397" s="2947"/>
    </row>
    <row r="398" spans="1:5" s="1837" customFormat="1">
      <c r="A398" s="2947"/>
      <c r="C398" s="2948"/>
      <c r="E398" s="2947"/>
    </row>
    <row r="399" spans="1:5" s="1837" customFormat="1">
      <c r="A399" s="2947"/>
      <c r="C399" s="2948"/>
      <c r="E399" s="2947"/>
    </row>
    <row r="400" spans="1:5" s="1837" customFormat="1">
      <c r="A400" s="2947"/>
      <c r="C400" s="2948"/>
      <c r="E400" s="2947"/>
    </row>
    <row r="401" spans="1:5" s="1837" customFormat="1">
      <c r="A401" s="2947"/>
      <c r="C401" s="2948"/>
      <c r="E401" s="2947"/>
    </row>
    <row r="402" spans="1:5" s="1837" customFormat="1">
      <c r="A402" s="2947"/>
      <c r="C402" s="2948"/>
      <c r="E402" s="2947"/>
    </row>
    <row r="403" spans="1:5" s="1837" customFormat="1">
      <c r="A403" s="2947"/>
      <c r="C403" s="2948"/>
      <c r="E403" s="2947"/>
    </row>
    <row r="404" spans="1:5" s="1837" customFormat="1">
      <c r="A404" s="2947"/>
      <c r="C404" s="2948"/>
      <c r="E404" s="2947"/>
    </row>
    <row r="405" spans="1:5" s="1837" customFormat="1">
      <c r="A405" s="2947"/>
      <c r="C405" s="2948"/>
      <c r="E405" s="2947"/>
    </row>
    <row r="406" spans="1:5" s="1837" customFormat="1">
      <c r="A406" s="2947"/>
      <c r="C406" s="2948"/>
      <c r="E406" s="2947"/>
    </row>
    <row r="407" spans="1:5" s="1837" customFormat="1">
      <c r="A407" s="2947"/>
      <c r="C407" s="2948"/>
      <c r="E407" s="2947"/>
    </row>
    <row r="408" spans="1:5" s="1837" customFormat="1">
      <c r="A408" s="2947"/>
      <c r="C408" s="2948"/>
      <c r="E408" s="2947"/>
    </row>
    <row r="409" spans="1:5" s="1837" customFormat="1">
      <c r="A409" s="2947"/>
      <c r="C409" s="2948"/>
      <c r="E409" s="2947"/>
    </row>
    <row r="410" spans="1:5" s="1837" customFormat="1">
      <c r="A410" s="2947"/>
      <c r="C410" s="2948"/>
      <c r="E410" s="2947"/>
    </row>
    <row r="411" spans="1:5" s="1837" customFormat="1">
      <c r="A411" s="2947"/>
      <c r="C411" s="2948"/>
      <c r="E411" s="2947"/>
    </row>
    <row r="412" spans="1:5" s="1837" customFormat="1">
      <c r="A412" s="2947"/>
      <c r="C412" s="2948"/>
      <c r="E412" s="2947"/>
    </row>
    <row r="413" spans="1:5" s="1837" customFormat="1">
      <c r="A413" s="2947"/>
      <c r="C413" s="2948"/>
      <c r="E413" s="2947"/>
    </row>
    <row r="414" spans="1:5" s="1837" customFormat="1">
      <c r="A414" s="2947"/>
      <c r="C414" s="2948"/>
      <c r="E414" s="2947"/>
    </row>
    <row r="415" spans="1:5" s="1837" customFormat="1">
      <c r="A415" s="2947"/>
      <c r="C415" s="2948"/>
      <c r="E415" s="2947"/>
    </row>
    <row r="416" spans="1:5" s="1837" customFormat="1">
      <c r="A416" s="2947"/>
      <c r="C416" s="2948"/>
      <c r="E416" s="2947"/>
    </row>
    <row r="417" spans="1:5" s="1837" customFormat="1">
      <c r="A417" s="2947"/>
      <c r="C417" s="2948"/>
      <c r="E417" s="2947"/>
    </row>
    <row r="418" spans="1:5" s="1837" customFormat="1">
      <c r="A418" s="2947"/>
      <c r="C418" s="2948"/>
      <c r="E418" s="2947"/>
    </row>
    <row r="419" spans="1:5" s="1837" customFormat="1">
      <c r="A419" s="2947"/>
      <c r="C419" s="2948"/>
      <c r="E419" s="2947"/>
    </row>
    <row r="420" spans="1:5" s="1837" customFormat="1">
      <c r="A420" s="2947"/>
      <c r="C420" s="2948"/>
      <c r="E420" s="2947"/>
    </row>
    <row r="421" spans="1:5" s="1837" customFormat="1">
      <c r="A421" s="2947"/>
      <c r="C421" s="2948"/>
      <c r="E421" s="2947"/>
    </row>
    <row r="422" spans="1:5" s="1837" customFormat="1">
      <c r="A422" s="2947"/>
      <c r="C422" s="2948"/>
      <c r="E422" s="2947"/>
    </row>
    <row r="423" spans="1:5" s="1837" customFormat="1">
      <c r="A423" s="2947"/>
      <c r="C423" s="2948"/>
      <c r="E423" s="2947"/>
    </row>
    <row r="424" spans="1:5" s="1837" customFormat="1">
      <c r="A424" s="2947"/>
      <c r="C424" s="2948"/>
      <c r="E424" s="2947"/>
    </row>
    <row r="425" spans="1:5" s="1837" customFormat="1">
      <c r="A425" s="2947"/>
      <c r="C425" s="2948"/>
      <c r="E425" s="2947"/>
    </row>
    <row r="426" spans="1:5" s="1837" customFormat="1">
      <c r="A426" s="2947"/>
      <c r="C426" s="2948"/>
      <c r="E426" s="2947"/>
    </row>
    <row r="427" spans="1:5" s="1837" customFormat="1">
      <c r="A427" s="2947"/>
      <c r="C427" s="2948"/>
      <c r="E427" s="2947"/>
    </row>
    <row r="428" spans="1:5" s="1837" customFormat="1">
      <c r="A428" s="2947"/>
      <c r="C428" s="2948"/>
      <c r="E428" s="2947"/>
    </row>
    <row r="429" spans="1:5" s="1837" customFormat="1">
      <c r="A429" s="2947"/>
      <c r="C429" s="2948"/>
      <c r="E429" s="2947"/>
    </row>
    <row r="430" spans="1:5" s="1837" customFormat="1">
      <c r="A430" s="2947"/>
      <c r="C430" s="2948"/>
      <c r="E430" s="2947"/>
    </row>
    <row r="431" spans="1:5" s="1837" customFormat="1">
      <c r="A431" s="2947"/>
      <c r="C431" s="2948"/>
      <c r="E431" s="2947"/>
    </row>
    <row r="432" spans="1:5" s="1837" customFormat="1">
      <c r="A432" s="2947"/>
      <c r="C432" s="2948"/>
      <c r="E432" s="2947"/>
    </row>
    <row r="433" spans="1:5" s="1837" customFormat="1">
      <c r="A433" s="2947"/>
      <c r="C433" s="2948"/>
      <c r="E433" s="2947"/>
    </row>
    <row r="434" spans="1:5" s="1837" customFormat="1">
      <c r="A434" s="2947"/>
      <c r="C434" s="2948"/>
      <c r="E434" s="2947"/>
    </row>
    <row r="435" spans="1:5" s="1837" customFormat="1">
      <c r="A435" s="2947"/>
      <c r="C435" s="2948"/>
      <c r="E435" s="2947"/>
    </row>
    <row r="436" spans="1:5" s="1837" customFormat="1">
      <c r="A436" s="2947"/>
      <c r="C436" s="2948"/>
      <c r="E436" s="2947"/>
    </row>
    <row r="437" spans="1:5" s="1837" customFormat="1">
      <c r="A437" s="2947"/>
      <c r="C437" s="2948"/>
      <c r="E437" s="2947"/>
    </row>
    <row r="438" spans="1:5" s="1837" customFormat="1">
      <c r="A438" s="2947"/>
      <c r="C438" s="2948"/>
      <c r="E438" s="2947"/>
    </row>
    <row r="439" spans="1:5" s="1837" customFormat="1">
      <c r="A439" s="2947"/>
      <c r="C439" s="2948"/>
      <c r="E439" s="2947"/>
    </row>
    <row r="440" spans="1:5" s="1837" customFormat="1">
      <c r="A440" s="2947"/>
      <c r="C440" s="2948"/>
      <c r="E440" s="2947"/>
    </row>
    <row r="441" spans="1:5" s="1837" customFormat="1">
      <c r="A441" s="2947"/>
      <c r="C441" s="2948"/>
      <c r="E441" s="2947"/>
    </row>
    <row r="442" spans="1:5" s="1837" customFormat="1">
      <c r="A442" s="2947"/>
      <c r="C442" s="2948"/>
      <c r="E442" s="2947"/>
    </row>
    <row r="443" spans="1:5" s="1837" customFormat="1">
      <c r="A443" s="2947"/>
      <c r="C443" s="2948"/>
      <c r="E443" s="2947"/>
    </row>
    <row r="444" spans="1:5" s="1837" customFormat="1">
      <c r="A444" s="2947"/>
      <c r="C444" s="2948"/>
      <c r="E444" s="2947"/>
    </row>
    <row r="445" spans="1:5" s="1837" customFormat="1">
      <c r="A445" s="2947"/>
      <c r="C445" s="2948"/>
      <c r="E445" s="2947"/>
    </row>
    <row r="446" spans="1:5" s="1837" customFormat="1">
      <c r="A446" s="2947"/>
      <c r="C446" s="2948"/>
      <c r="E446" s="2947"/>
    </row>
    <row r="447" spans="1:5" s="1837" customFormat="1">
      <c r="A447" s="2947"/>
      <c r="C447" s="2948"/>
      <c r="E447" s="2947"/>
    </row>
    <row r="448" spans="1:5" s="1837" customFormat="1">
      <c r="A448" s="2947"/>
      <c r="C448" s="2948"/>
      <c r="E448" s="2947"/>
    </row>
    <row r="449" spans="1:5" s="1837" customFormat="1">
      <c r="A449" s="2947"/>
      <c r="C449" s="2948"/>
      <c r="E449" s="2947"/>
    </row>
    <row r="450" spans="1:5" s="1837" customFormat="1">
      <c r="A450" s="2947"/>
      <c r="C450" s="2948"/>
      <c r="E450" s="2947"/>
    </row>
    <row r="451" spans="1:5" s="1837" customFormat="1">
      <c r="A451" s="2947"/>
      <c r="C451" s="2948"/>
      <c r="E451" s="2947"/>
    </row>
    <row r="452" spans="1:5" s="1837" customFormat="1">
      <c r="A452" s="2947"/>
      <c r="C452" s="2948"/>
      <c r="E452" s="2947"/>
    </row>
    <row r="453" spans="1:5" s="1837" customFormat="1">
      <c r="A453" s="2947"/>
      <c r="C453" s="2948"/>
      <c r="E453" s="2947"/>
    </row>
    <row r="454" spans="1:5" s="1837" customFormat="1">
      <c r="A454" s="2947"/>
      <c r="C454" s="2948"/>
      <c r="E454" s="2947"/>
    </row>
    <row r="455" spans="1:5" s="1837" customFormat="1">
      <c r="A455" s="2947"/>
      <c r="C455" s="2948"/>
      <c r="E455" s="2947"/>
    </row>
    <row r="456" spans="1:5" s="1837" customFormat="1">
      <c r="A456" s="2947"/>
      <c r="C456" s="2948"/>
      <c r="E456" s="2947"/>
    </row>
    <row r="457" spans="1:5" s="1837" customFormat="1">
      <c r="A457" s="2947"/>
      <c r="C457" s="2948"/>
      <c r="E457" s="2947"/>
    </row>
    <row r="458" spans="1:5" s="1837" customFormat="1">
      <c r="A458" s="2947"/>
      <c r="C458" s="2948"/>
      <c r="E458" s="2947"/>
    </row>
    <row r="459" spans="1:5" s="1837" customFormat="1">
      <c r="A459" s="2947"/>
      <c r="C459" s="2948"/>
      <c r="E459" s="2947"/>
    </row>
    <row r="460" spans="1:5" s="1837" customFormat="1">
      <c r="A460" s="2947"/>
      <c r="C460" s="2948"/>
      <c r="E460" s="2947"/>
    </row>
    <row r="461" spans="1:5" s="1837" customFormat="1">
      <c r="A461" s="2947"/>
      <c r="C461" s="2948"/>
      <c r="E461" s="2947"/>
    </row>
    <row r="462" spans="1:5" s="1837" customFormat="1">
      <c r="A462" s="2947"/>
      <c r="C462" s="2948"/>
      <c r="E462" s="2947"/>
    </row>
    <row r="463" spans="1:5" s="1837" customFormat="1">
      <c r="A463" s="2947"/>
      <c r="C463" s="2948"/>
      <c r="E463" s="2947"/>
    </row>
    <row r="464" spans="1:5" s="1837" customFormat="1">
      <c r="A464" s="2947"/>
      <c r="C464" s="2948"/>
      <c r="E464" s="2947"/>
    </row>
    <row r="465" spans="1:5" s="1837" customFormat="1">
      <c r="A465" s="2947"/>
      <c r="C465" s="2948"/>
      <c r="E465" s="2947"/>
    </row>
    <row r="466" spans="1:5" s="1837" customFormat="1">
      <c r="A466" s="2947"/>
      <c r="C466" s="2948"/>
      <c r="E466" s="2947"/>
    </row>
    <row r="467" spans="1:5" s="1837" customFormat="1">
      <c r="A467" s="2947"/>
      <c r="C467" s="2948"/>
      <c r="E467" s="2947"/>
    </row>
    <row r="468" spans="1:5" s="1837" customFormat="1">
      <c r="A468" s="2947"/>
      <c r="C468" s="2948"/>
      <c r="E468" s="2947"/>
    </row>
    <row r="469" spans="1:5" s="1837" customFormat="1">
      <c r="A469" s="2947"/>
      <c r="C469" s="2948"/>
      <c r="E469" s="2947"/>
    </row>
    <row r="470" spans="1:5" s="1837" customFormat="1">
      <c r="A470" s="2947"/>
      <c r="C470" s="2948"/>
      <c r="E470" s="2947"/>
    </row>
    <row r="471" spans="1:5" s="1837" customFormat="1">
      <c r="A471" s="2947"/>
      <c r="C471" s="2948"/>
      <c r="E471" s="2947"/>
    </row>
    <row r="472" spans="1:5" s="1837" customFormat="1">
      <c r="A472" s="2947"/>
      <c r="C472" s="2948"/>
      <c r="E472" s="2947"/>
    </row>
    <row r="473" spans="1:5" s="1837" customFormat="1">
      <c r="A473" s="2947"/>
      <c r="C473" s="2948"/>
      <c r="E473" s="2947"/>
    </row>
    <row r="474" spans="1:5" s="1837" customFormat="1">
      <c r="A474" s="2947"/>
      <c r="C474" s="2948"/>
      <c r="E474" s="2947"/>
    </row>
    <row r="475" spans="1:5" s="1837" customFormat="1">
      <c r="A475" s="2947"/>
      <c r="C475" s="2948"/>
      <c r="E475" s="2947"/>
    </row>
    <row r="476" spans="1:5" s="1837" customFormat="1">
      <c r="A476" s="2947"/>
      <c r="C476" s="2948"/>
      <c r="E476" s="2947"/>
    </row>
    <row r="477" spans="1:5" s="1837" customFormat="1">
      <c r="A477" s="2947"/>
      <c r="C477" s="2948"/>
      <c r="E477" s="2947"/>
    </row>
    <row r="478" spans="1:5" s="1837" customFormat="1">
      <c r="A478" s="2947"/>
      <c r="C478" s="2948"/>
      <c r="E478" s="2947"/>
    </row>
    <row r="479" spans="1:5" s="1837" customFormat="1">
      <c r="A479" s="2947"/>
      <c r="C479" s="2948"/>
      <c r="E479" s="2947"/>
    </row>
    <row r="480" spans="1:5" s="1837" customFormat="1">
      <c r="A480" s="2947"/>
      <c r="C480" s="2948"/>
      <c r="E480" s="2947"/>
    </row>
    <row r="481" spans="1:5" s="1837" customFormat="1">
      <c r="A481" s="2947"/>
      <c r="C481" s="2948"/>
      <c r="E481" s="2947"/>
    </row>
    <row r="482" spans="1:5" s="1837" customFormat="1">
      <c r="A482" s="2947"/>
      <c r="C482" s="2948"/>
      <c r="E482" s="2947"/>
    </row>
    <row r="483" spans="1:5" s="1837" customFormat="1">
      <c r="A483" s="2947"/>
      <c r="C483" s="2948"/>
      <c r="E483" s="2947"/>
    </row>
    <row r="484" spans="1:5" s="1837" customFormat="1">
      <c r="A484" s="2947"/>
      <c r="C484" s="2948"/>
      <c r="E484" s="2947"/>
    </row>
    <row r="485" spans="1:5" s="1837" customFormat="1">
      <c r="A485" s="2947"/>
      <c r="C485" s="2948"/>
      <c r="E485" s="2947"/>
    </row>
    <row r="486" spans="1:5" s="1837" customFormat="1">
      <c r="A486" s="2947"/>
      <c r="C486" s="2948"/>
      <c r="E486" s="2947"/>
    </row>
    <row r="487" spans="1:5" s="1837" customFormat="1">
      <c r="A487" s="2947"/>
      <c r="C487" s="2948"/>
      <c r="E487" s="2947"/>
    </row>
    <row r="488" spans="1:5" s="1837" customFormat="1">
      <c r="A488" s="2947"/>
      <c r="C488" s="2948"/>
      <c r="E488" s="2947"/>
    </row>
    <row r="489" spans="1:5" s="1837" customFormat="1">
      <c r="A489" s="2947"/>
      <c r="C489" s="2948"/>
      <c r="E489" s="2947"/>
    </row>
    <row r="490" spans="1:5" s="1837" customFormat="1">
      <c r="A490" s="2947"/>
      <c r="C490" s="2948"/>
      <c r="E490" s="294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9" customWidth="1"/>
    <col min="2" max="2" width="10.75" style="1459" customWidth="1"/>
    <col min="3" max="4" width="11.625" style="1459" customWidth="1"/>
    <col min="5" max="5" width="6.625" style="1459" customWidth="1"/>
    <col min="6" max="16384" width="9" style="1459"/>
  </cols>
  <sheetData>
    <row r="36" spans="1:9">
      <c r="A36" s="1458" t="s">
        <v>1425</v>
      </c>
      <c r="B36" s="1458" t="s">
        <v>1426</v>
      </c>
    </row>
    <row r="37" spans="1:9" ht="28.5" customHeight="1">
      <c r="A37" s="1458"/>
      <c r="B37" s="3671" t="str">
        <f>项目基本情况!B1</f>
        <v>北京市出让国有建设用地使用权抵押价格预评估</v>
      </c>
      <c r="C37" s="3671"/>
      <c r="D37" s="3671"/>
      <c r="E37" s="3671"/>
      <c r="F37" s="3671"/>
      <c r="G37" s="3671"/>
      <c r="H37" s="3671"/>
      <c r="I37" s="3671"/>
    </row>
    <row r="38" spans="1:9">
      <c r="A38" s="1460"/>
      <c r="B38" s="1460"/>
    </row>
    <row r="39" spans="1:9">
      <c r="A39" s="1458" t="s">
        <v>1425</v>
      </c>
      <c r="B39" s="1458" t="s">
        <v>1564</v>
      </c>
    </row>
    <row r="40" spans="1:9">
      <c r="A40" s="1458"/>
      <c r="B40" s="1458">
        <f>项目基本情况!B5</f>
        <v>0</v>
      </c>
    </row>
    <row r="41" spans="1:9">
      <c r="A41" s="1458"/>
      <c r="B41" s="1458"/>
    </row>
    <row r="42" spans="1:9">
      <c r="A42" s="1458" t="s">
        <v>1425</v>
      </c>
      <c r="B42" s="1458" t="s">
        <v>1565</v>
      </c>
    </row>
    <row r="43" spans="1:9">
      <c r="A43" s="1458"/>
      <c r="B43" s="1458" t="s">
        <v>1427</v>
      </c>
    </row>
    <row r="44" spans="1:9">
      <c r="A44" s="1458"/>
      <c r="B44" s="1458"/>
    </row>
    <row r="45" spans="1:9">
      <c r="A45" s="1458" t="s">
        <v>1425</v>
      </c>
      <c r="B45" s="1458" t="s">
        <v>1563</v>
      </c>
    </row>
    <row r="46" spans="1:9" s="1458" customFormat="1" ht="12.75">
      <c r="B46" s="1458" t="str">
        <f>项目基本情况!K4</f>
        <v>土地估价师、土地估价师</v>
      </c>
    </row>
    <row r="47" spans="1:9">
      <c r="A47" s="1458"/>
      <c r="B47" s="1458"/>
    </row>
    <row r="48" spans="1:9">
      <c r="A48" s="1458" t="s">
        <v>1425</v>
      </c>
      <c r="B48" s="1458" t="s">
        <v>1566</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8" t="s">
        <v>426</v>
      </c>
      <c r="B1" s="2288"/>
      <c r="C1" s="1826"/>
      <c r="D1" s="1826"/>
      <c r="E1" s="1826"/>
      <c r="F1" s="1826"/>
      <c r="G1" s="1826"/>
      <c r="H1" s="1826"/>
      <c r="I1" s="1826"/>
      <c r="J1" s="1826"/>
      <c r="K1" s="409">
        <f>MATCH(B1,'数据-取费表'!A6:A16,0)+5</f>
        <v>8</v>
      </c>
      <c r="L1" s="283"/>
      <c r="M1" s="283"/>
      <c r="N1" s="283"/>
      <c r="O1" s="283"/>
      <c r="P1" s="283"/>
      <c r="Q1" s="283"/>
      <c r="R1" s="283"/>
      <c r="S1" s="283"/>
      <c r="T1" s="283"/>
      <c r="U1" s="283"/>
      <c r="V1" s="283"/>
      <c r="W1" s="283"/>
      <c r="X1" s="283"/>
      <c r="Y1" s="283"/>
      <c r="Z1" s="283"/>
    </row>
    <row r="2" spans="1:41" s="1764" customFormat="1" ht="18" customHeight="1">
      <c r="A2" s="410" t="s">
        <v>427</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6" t="s">
        <v>1217</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1934</v>
      </c>
      <c r="B6" s="420"/>
      <c r="C6" s="1429">
        <f>SUM(C10:K10)</f>
        <v>0</v>
      </c>
      <c r="D6" s="1831"/>
      <c r="E6" s="1831"/>
      <c r="F6" s="1831"/>
      <c r="G6" s="1831"/>
      <c r="H6" s="1831"/>
      <c r="I6" s="1831"/>
      <c r="J6" s="1831"/>
      <c r="K6" s="1832"/>
      <c r="L6" s="2939"/>
      <c r="M6" s="2939"/>
      <c r="N6" s="2939"/>
      <c r="O6" s="2939"/>
      <c r="P6" s="2939"/>
      <c r="Q6" s="2939"/>
      <c r="R6" s="2939"/>
      <c r="S6" s="2939"/>
      <c r="T6" s="2939"/>
      <c r="U6" s="2939"/>
      <c r="V6" s="2939"/>
      <c r="W6" s="2939"/>
      <c r="X6" s="2939"/>
      <c r="Y6" s="2939"/>
      <c r="Z6" s="2939"/>
    </row>
    <row r="7" spans="1:41" s="1835" customFormat="1" ht="15">
      <c r="A7" s="421" t="s">
        <v>430</v>
      </c>
      <c r="B7" s="422" t="s">
        <v>431</v>
      </c>
      <c r="C7" s="3056"/>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7" t="s">
        <v>1374</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7"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8" t="s">
        <v>1376</v>
      </c>
      <c r="B10" s="1430" t="s">
        <v>434</v>
      </c>
      <c r="C10" s="1431"/>
      <c r="D10" s="1431"/>
      <c r="E10" s="1431"/>
      <c r="F10" s="1432"/>
      <c r="G10" s="1432"/>
      <c r="H10" s="1432"/>
      <c r="I10" s="1432"/>
      <c r="J10" s="1432"/>
      <c r="K10" s="1433"/>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6" t="s">
        <v>1393</v>
      </c>
      <c r="B11" s="1427"/>
      <c r="C11" s="1427"/>
      <c r="D11" s="1427"/>
      <c r="E11" s="1427"/>
      <c r="F11" s="1427"/>
      <c r="G11" s="1427"/>
      <c r="H11" s="1427"/>
      <c r="I11" s="1427"/>
      <c r="J11" s="1427"/>
      <c r="K11" s="1428"/>
      <c r="L11" s="2939"/>
      <c r="M11" s="2939"/>
      <c r="N11" s="2939"/>
      <c r="O11" s="2939"/>
      <c r="P11" s="2939"/>
      <c r="Q11" s="2939"/>
      <c r="R11" s="2939"/>
      <c r="S11" s="2939"/>
      <c r="T11" s="2939"/>
      <c r="U11" s="2939"/>
      <c r="V11" s="2939"/>
      <c r="W11" s="2939"/>
      <c r="X11" s="2939"/>
      <c r="Y11" s="2939"/>
      <c r="Z11" s="2939"/>
    </row>
    <row r="12" spans="1:41" s="1807" customFormat="1" ht="13.5" customHeight="1">
      <c r="A12" s="421" t="s">
        <v>430</v>
      </c>
      <c r="B12" s="430" t="s">
        <v>431</v>
      </c>
      <c r="C12" s="431" t="s">
        <v>435</v>
      </c>
      <c r="D12" s="432" t="s">
        <v>436</v>
      </c>
      <c r="E12" s="432" t="s">
        <v>437</v>
      </c>
      <c r="F12" s="432" t="s">
        <v>438</v>
      </c>
      <c r="G12" s="430"/>
      <c r="H12" s="433"/>
      <c r="I12" s="433"/>
      <c r="J12" s="433"/>
      <c r="K12" s="434"/>
      <c r="L12" s="2940"/>
      <c r="M12" s="2940"/>
      <c r="N12" s="2940"/>
      <c r="O12" s="2940"/>
      <c r="P12" s="2940"/>
      <c r="Q12" s="2940"/>
      <c r="R12" s="2940"/>
      <c r="S12" s="2940"/>
      <c r="T12" s="2940"/>
      <c r="U12" s="2940"/>
      <c r="V12" s="2940"/>
      <c r="W12" s="2940"/>
      <c r="X12" s="2940"/>
      <c r="Y12" s="2940"/>
      <c r="Z12" s="2940"/>
    </row>
    <row r="13" spans="1:41" s="1838" customFormat="1" ht="13.5" customHeight="1">
      <c r="A13" s="1439" t="s">
        <v>1377</v>
      </c>
      <c r="B13" s="435" t="s">
        <v>439</v>
      </c>
      <c r="C13" s="436">
        <f ca="1">IF(B1="",'数据-取费表'!M16,INDIRECT("'数据-取费表'!M"&amp;$K$1)+INDIRECT("'数据-取费表'!t"&amp;$K$1))</f>
        <v>20981</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39" t="s">
        <v>1378</v>
      </c>
      <c r="B14" s="435" t="s">
        <v>440</v>
      </c>
      <c r="C14" s="51">
        <f ca="1">ROUND(C13*F14,0)</f>
        <v>1049</v>
      </c>
      <c r="D14" s="437"/>
      <c r="E14" s="356"/>
      <c r="F14" s="442">
        <f>'数据-取费表'!B33</f>
        <v>0.05</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39" t="s">
        <v>1379</v>
      </c>
      <c r="B15" s="435" t="s">
        <v>442</v>
      </c>
      <c r="C15" s="51">
        <f ca="1">ROUND(IF(B1="",SUMIF('数据-取费表'!C:C,"住宅",'数据-取费表'!M:M)*F15,IF(INDIRECT("'数据-取费表'!c"&amp;$K$1)="住宅",INDIRECT("'数据-取费表'!M"&amp;$K$1)*F15,0)),0)</f>
        <v>1535</v>
      </c>
      <c r="D15" s="437"/>
      <c r="E15" s="356"/>
      <c r="F15" s="442">
        <f>'数据-取费表'!B34</f>
        <v>0.1</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39" t="s">
        <v>1380</v>
      </c>
      <c r="B16" s="435" t="s">
        <v>444</v>
      </c>
      <c r="C16" s="51">
        <f ca="1">ROUND(D16*E16/10000,0)</f>
        <v>1195</v>
      </c>
      <c r="D16" s="437">
        <f ca="1">IF(B1="",'数据-汇总表'!E3,INDIRECT("'数据-取费表'!K"&amp;$K$1)+INDIRECT("'数据-取费表'!S"&amp;$K$1))</f>
        <v>59771.28</v>
      </c>
      <c r="E16" s="51">
        <f>'数据-取费表'!B35</f>
        <v>200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39" t="s">
        <v>1381</v>
      </c>
      <c r="B17" s="435" t="s">
        <v>445</v>
      </c>
      <c r="C17" s="440">
        <f ca="1">ROUND(C13*F17,0)</f>
        <v>315</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0" t="s">
        <v>1382</v>
      </c>
      <c r="B18" s="445" t="s">
        <v>447</v>
      </c>
      <c r="C18" s="446">
        <f ca="1">SUM(C13:C17)</f>
        <v>25075</v>
      </c>
      <c r="D18" s="447"/>
      <c r="E18" s="448"/>
      <c r="F18" s="448"/>
      <c r="G18" s="1194" t="s">
        <v>1783</v>
      </c>
      <c r="H18" s="433"/>
      <c r="I18" s="433"/>
      <c r="J18" s="433"/>
      <c r="K18" s="434"/>
      <c r="L18" s="2942"/>
      <c r="M18" s="2942"/>
      <c r="N18" s="2942"/>
      <c r="O18" s="2942"/>
      <c r="P18" s="2942"/>
      <c r="Q18" s="2942"/>
      <c r="R18" s="2942"/>
      <c r="S18" s="2942"/>
      <c r="T18" s="2942"/>
      <c r="U18" s="2942"/>
      <c r="V18" s="2942"/>
      <c r="W18" s="2942"/>
      <c r="X18" s="2942"/>
      <c r="Y18" s="2942"/>
      <c r="Z18" s="2942"/>
    </row>
    <row r="19" spans="1:26" s="1841" customFormat="1" ht="13.5" customHeight="1">
      <c r="A19" s="1440" t="s">
        <v>1383</v>
      </c>
      <c r="B19" s="445" t="s">
        <v>453</v>
      </c>
      <c r="C19" s="446">
        <f ca="1">ROUND(C18*F19,0)</f>
        <v>502</v>
      </c>
      <c r="D19" s="447"/>
      <c r="E19" s="448"/>
      <c r="F19" s="452">
        <f>'数据-取费表'!B37</f>
        <v>0.02</v>
      </c>
      <c r="G19" s="430" t="s">
        <v>463</v>
      </c>
      <c r="H19" s="433"/>
      <c r="I19" s="433"/>
      <c r="J19" s="433"/>
      <c r="K19" s="434"/>
      <c r="L19" s="2944"/>
      <c r="M19" s="2944"/>
      <c r="N19" s="2944"/>
      <c r="O19" s="2942"/>
      <c r="P19" s="2942"/>
      <c r="Q19" s="2942"/>
      <c r="R19" s="2942"/>
      <c r="S19" s="2942"/>
      <c r="T19" s="2942"/>
      <c r="U19" s="2942"/>
      <c r="V19" s="2942"/>
      <c r="W19" s="2942"/>
      <c r="X19" s="2942"/>
      <c r="Y19" s="2942"/>
      <c r="Z19" s="2942"/>
    </row>
    <row r="20" spans="1:26" s="1843" customFormat="1" ht="13.5" customHeight="1">
      <c r="A20" s="1440" t="s">
        <v>1384</v>
      </c>
      <c r="B20" s="447" t="s">
        <v>454</v>
      </c>
      <c r="C20" s="456">
        <f ca="1">ROUND(IF('数据-取费表'!B22&lt;=1,(C18+C19)*F20*'数据-取费表'!B20/2,(C18+C19)*(POWER((1+F20),'数据-取费表'!B20/2)-1)),0)</f>
        <v>882</v>
      </c>
      <c r="D20" s="448">
        <f ca="1">ROUND(((1+F20)^'数据-取费表'!B20)-1,4)</f>
        <v>7.0199999999999999E-2</v>
      </c>
      <c r="E20" s="448"/>
      <c r="F20" s="457">
        <f ca="1">'数据-取费表'!B40</f>
        <v>3.4500000000000003E-2</v>
      </c>
      <c r="G20" s="1194" t="str">
        <f>IF('数据-取费表'!B22&lt;=1,"单利计息。","复利计息。")&amp;"建造成本、管理费用产生的利息 / 地价及税费产生的利息。"</f>
        <v>复利计息。建造成本、管理费用产生的利息 / 地价及税费产生的利息。</v>
      </c>
      <c r="H20" s="433"/>
      <c r="I20" s="433"/>
      <c r="J20" s="433"/>
      <c r="K20" s="434"/>
      <c r="L20" s="2950" t="s">
        <v>1800</v>
      </c>
      <c r="M20" s="2951"/>
      <c r="N20" s="2951"/>
      <c r="O20" s="2951"/>
      <c r="P20" s="2951"/>
      <c r="Q20" s="2944"/>
      <c r="R20" s="2944"/>
      <c r="S20" s="2944"/>
      <c r="T20" s="2944"/>
      <c r="U20" s="2944"/>
      <c r="V20" s="2944"/>
      <c r="W20" s="2944"/>
      <c r="X20" s="2944"/>
      <c r="Y20" s="2944"/>
      <c r="Z20" s="2944"/>
    </row>
    <row r="21" spans="1:26" s="1842" customFormat="1" ht="13.5" customHeight="1">
      <c r="A21" s="1440" t="s">
        <v>2290</v>
      </c>
      <c r="B21" s="2502" t="s">
        <v>2107</v>
      </c>
      <c r="C21" s="464">
        <f ca="1">ROUND((C18+C19)*F21,0)</f>
        <v>3069</v>
      </c>
      <c r="D21" s="3028"/>
      <c r="E21" s="448"/>
      <c r="F21" s="465">
        <f ca="1">IF(B1="",'数据-取费表'!Q16,INDIRECT("'数据-取费表'!q"&amp;$K$1))</f>
        <v>0.12</v>
      </c>
      <c r="G21" s="430"/>
      <c r="H21" s="433"/>
      <c r="I21" s="433"/>
      <c r="J21" s="433"/>
      <c r="K21" s="434"/>
      <c r="L21" s="2943"/>
      <c r="M21" s="2943"/>
      <c r="N21" s="2943"/>
      <c r="O21" s="2943"/>
      <c r="P21" s="2943"/>
      <c r="Q21" s="2943"/>
      <c r="R21" s="2943"/>
      <c r="S21" s="2943"/>
      <c r="T21" s="2943"/>
      <c r="U21" s="2943"/>
      <c r="V21" s="2943"/>
      <c r="W21" s="2943"/>
      <c r="X21" s="2943"/>
      <c r="Y21" s="2943"/>
      <c r="Z21" s="2943"/>
    </row>
    <row r="22" spans="1:26" s="1843" customFormat="1" ht="13.5" customHeight="1">
      <c r="A22" s="1440" t="s">
        <v>1388</v>
      </c>
      <c r="B22" s="462" t="s">
        <v>464</v>
      </c>
      <c r="C22" s="469"/>
      <c r="D22" s="469"/>
      <c r="E22" s="470"/>
      <c r="F22" s="3030">
        <f ca="1">IF(B1="",'数据-取费表'!N16,INDIRECT("'数据-取费表'!N"&amp;$K$1))</f>
        <v>0</v>
      </c>
      <c r="G22" s="430"/>
      <c r="H22" s="433"/>
      <c r="I22" s="433"/>
      <c r="J22" s="433"/>
      <c r="K22" s="434"/>
      <c r="L22" s="2944"/>
      <c r="M22" s="2944"/>
      <c r="N22" s="2944"/>
      <c r="O22" s="2944"/>
      <c r="P22" s="2944"/>
      <c r="Q22" s="2944"/>
      <c r="R22" s="2944"/>
      <c r="S22" s="2944"/>
      <c r="T22" s="2944"/>
      <c r="U22" s="2944"/>
      <c r="V22" s="2944"/>
      <c r="W22" s="2944"/>
      <c r="X22" s="2944"/>
      <c r="Y22" s="2944"/>
      <c r="Z22" s="2944"/>
    </row>
    <row r="23" spans="1:26" s="1843" customFormat="1" ht="13.5" customHeight="1" thickBot="1">
      <c r="A23" s="3031" t="s">
        <v>1389</v>
      </c>
      <c r="B23" s="3032" t="s">
        <v>2291</v>
      </c>
      <c r="C23" s="3033">
        <f ca="1">ROUND((C18+C19+C20+C21)*F22,0)</f>
        <v>0</v>
      </c>
      <c r="D23" s="3034"/>
      <c r="E23" s="3035"/>
      <c r="F23" s="471"/>
      <c r="G23" s="422"/>
      <c r="H23" s="3036"/>
      <c r="I23" s="3036"/>
      <c r="J23" s="3036"/>
      <c r="K23" s="3037"/>
      <c r="L23" s="2944"/>
      <c r="M23" s="2944"/>
      <c r="N23" s="2944"/>
      <c r="O23" s="2944"/>
      <c r="P23" s="2944"/>
      <c r="Q23" s="2944"/>
      <c r="R23" s="2944"/>
      <c r="S23" s="2944"/>
      <c r="T23" s="2944"/>
      <c r="U23" s="2944"/>
      <c r="V23" s="2944"/>
      <c r="W23" s="2944"/>
      <c r="X23" s="2944"/>
      <c r="Y23" s="2944"/>
      <c r="Z23" s="2944"/>
    </row>
    <row r="24" spans="1:26" s="1843" customFormat="1" ht="13.5" customHeight="1" thickBot="1">
      <c r="A24" s="3883" t="s">
        <v>1394</v>
      </c>
      <c r="B24" s="3884"/>
      <c r="C24" s="3038">
        <f>ROUND(C6*F24/(1+'数据-取费表'!B42),0)</f>
        <v>0</v>
      </c>
      <c r="D24" s="3039"/>
      <c r="E24" s="3040"/>
      <c r="F24" s="3041">
        <f>'数据-取费表'!B41</f>
        <v>5.6000000000000001E-2</v>
      </c>
      <c r="G24" s="3042"/>
      <c r="H24" s="3042"/>
      <c r="I24" s="3042"/>
      <c r="J24" s="3042"/>
      <c r="K24" s="3043"/>
      <c r="L24" s="2944"/>
      <c r="M24" s="2944"/>
      <c r="N24" s="2944"/>
      <c r="O24" s="2944"/>
      <c r="P24" s="2944"/>
      <c r="Q24" s="2944"/>
      <c r="R24" s="2944"/>
      <c r="S24" s="2944"/>
      <c r="T24" s="2944"/>
      <c r="U24" s="2944"/>
      <c r="V24" s="2944"/>
      <c r="W24" s="2944"/>
      <c r="X24" s="2944"/>
      <c r="Y24" s="2944"/>
      <c r="Z24" s="2944"/>
    </row>
    <row r="25" spans="1:26" s="1843" customFormat="1" ht="13.5" customHeight="1" thickBot="1">
      <c r="A25" s="3883" t="s">
        <v>2288</v>
      </c>
      <c r="B25" s="3884"/>
      <c r="C25" s="3038">
        <f>ROUND(C6*F25,0)</f>
        <v>0</v>
      </c>
      <c r="D25" s="3039"/>
      <c r="E25" s="3040"/>
      <c r="F25" s="3044">
        <f>'数据-取费表'!B38</f>
        <v>0.02</v>
      </c>
      <c r="G25" s="3045"/>
      <c r="H25" s="3042"/>
      <c r="I25" s="3042"/>
      <c r="J25" s="3042"/>
      <c r="K25" s="3043"/>
      <c r="L25" s="2944"/>
      <c r="M25" s="2944"/>
      <c r="N25" s="2944"/>
      <c r="O25" s="2944"/>
      <c r="P25" s="2944"/>
      <c r="Q25" s="2944"/>
      <c r="R25" s="2944"/>
      <c r="S25" s="2944"/>
      <c r="T25" s="2944"/>
      <c r="U25" s="2944"/>
      <c r="V25" s="2944"/>
      <c r="W25" s="2944"/>
      <c r="X25" s="2944"/>
      <c r="Y25" s="2944"/>
      <c r="Z25" s="2944"/>
    </row>
    <row r="26" spans="1:26" s="1848" customFormat="1" ht="13.5" customHeight="1" thickBot="1">
      <c r="A26" s="3883" t="s">
        <v>2289</v>
      </c>
      <c r="B26" s="3884"/>
      <c r="C26" s="3050"/>
      <c r="D26" s="3051"/>
      <c r="E26" s="3051"/>
      <c r="F26" s="3052">
        <f>'数据-取费表'!B48+'数据-取费表'!B49</f>
        <v>3.0499999999999999E-2</v>
      </c>
      <c r="G26" s="3053"/>
      <c r="H26" s="3053"/>
      <c r="I26" s="3053"/>
      <c r="J26" s="3054"/>
      <c r="K26" s="3055"/>
      <c r="L26" s="2949"/>
      <c r="M26" s="2949"/>
      <c r="N26" s="2949"/>
      <c r="O26" s="2949"/>
      <c r="P26" s="2949"/>
      <c r="Q26" s="2949"/>
      <c r="R26" s="2949"/>
      <c r="S26" s="2949"/>
      <c r="T26" s="2949"/>
      <c r="U26" s="2949"/>
      <c r="V26" s="2949"/>
      <c r="W26" s="2949"/>
      <c r="X26" s="2949"/>
      <c r="Y26" s="2949"/>
      <c r="Z26" s="2949"/>
    </row>
    <row r="27" spans="1:26" s="3029" customFormat="1" ht="13.5" customHeight="1" thickBot="1">
      <c r="A27" s="3885" t="s">
        <v>2287</v>
      </c>
      <c r="B27" s="3886"/>
      <c r="C27" s="3046">
        <f ca="1">(C6-C23-C24-C25)/((1+F26)*(1+D20+F21))</f>
        <v>0</v>
      </c>
      <c r="D27" s="3047"/>
      <c r="E27" s="3047"/>
      <c r="F27" s="3047"/>
      <c r="G27" s="3048" t="s">
        <v>2222</v>
      </c>
      <c r="H27" s="3047"/>
      <c r="I27" s="3047"/>
      <c r="J27" s="3047"/>
      <c r="K27" s="3049"/>
    </row>
    <row r="28" spans="1:26" s="1837" customFormat="1">
      <c r="A28" s="2947"/>
      <c r="C28" s="2948"/>
      <c r="E28" s="2947"/>
    </row>
    <row r="29" spans="1:26" s="1837" customFormat="1" ht="12.75" customHeight="1">
      <c r="A29" s="2947"/>
      <c r="C29" s="2948"/>
      <c r="E29" s="2947"/>
    </row>
    <row r="30" spans="1:26" s="1837" customFormat="1">
      <c r="A30" s="2947"/>
      <c r="C30" s="2948"/>
      <c r="E30" s="2947"/>
    </row>
    <row r="31" spans="1:26" s="1837" customFormat="1">
      <c r="A31" s="2947"/>
      <c r="C31" s="2948"/>
      <c r="E31" s="2947"/>
    </row>
    <row r="32" spans="1:26" s="1837" customFormat="1">
      <c r="A32" s="2947"/>
      <c r="C32" s="2948"/>
      <c r="E32" s="2947"/>
    </row>
    <row r="33" spans="1:5" s="1837" customFormat="1">
      <c r="A33" s="2947"/>
      <c r="C33" s="2948"/>
      <c r="E33" s="2947"/>
    </row>
    <row r="34" spans="1:5" s="1837" customFormat="1">
      <c r="A34" s="2947"/>
      <c r="C34" s="2948"/>
      <c r="E34" s="2947"/>
    </row>
    <row r="35" spans="1:5" s="1837" customFormat="1">
      <c r="A35" s="2947"/>
      <c r="C35" s="2948"/>
      <c r="E35" s="2947"/>
    </row>
    <row r="36" spans="1:5" s="1837" customFormat="1">
      <c r="A36" s="2947"/>
      <c r="C36" s="2948"/>
      <c r="E36" s="2947"/>
    </row>
    <row r="37" spans="1:5" s="1837" customFormat="1">
      <c r="A37" s="2947"/>
      <c r="C37" s="2948"/>
      <c r="E37" s="2947"/>
    </row>
    <row r="38" spans="1:5" s="1837" customFormat="1">
      <c r="A38" s="2947"/>
      <c r="C38" s="2948"/>
      <c r="E38" s="2947"/>
    </row>
    <row r="39" spans="1:5" s="1837" customFormat="1">
      <c r="A39" s="2947"/>
      <c r="C39" s="2948"/>
      <c r="E39" s="2947"/>
    </row>
    <row r="40" spans="1:5" s="1837" customFormat="1">
      <c r="A40" s="2947"/>
      <c r="C40" s="2948"/>
      <c r="E40" s="2947"/>
    </row>
    <row r="41" spans="1:5" s="1837" customFormat="1">
      <c r="A41" s="2947"/>
      <c r="C41" s="2948"/>
      <c r="E41" s="2947"/>
    </row>
    <row r="42" spans="1:5" s="1837" customFormat="1">
      <c r="A42" s="2947"/>
      <c r="C42" s="2948"/>
      <c r="E42" s="2947"/>
    </row>
    <row r="43" spans="1:5" s="1837" customFormat="1">
      <c r="A43" s="2947"/>
      <c r="C43" s="2948"/>
      <c r="E43" s="2947"/>
    </row>
    <row r="44" spans="1:5" s="1837" customFormat="1">
      <c r="A44" s="2947"/>
      <c r="C44" s="2948"/>
      <c r="E44" s="2947"/>
    </row>
    <row r="45" spans="1:5" s="1837" customFormat="1">
      <c r="A45" s="2947"/>
      <c r="C45" s="2948"/>
      <c r="E45" s="2947"/>
    </row>
    <row r="46" spans="1:5" s="1837" customFormat="1">
      <c r="A46" s="2947"/>
      <c r="C46" s="2948"/>
      <c r="E46" s="2947"/>
    </row>
    <row r="47" spans="1:5" s="1837" customFormat="1">
      <c r="A47" s="2947"/>
      <c r="C47" s="2948"/>
      <c r="E47" s="2947"/>
    </row>
    <row r="48" spans="1:5" s="1837" customFormat="1">
      <c r="A48" s="2947"/>
      <c r="C48" s="2948"/>
      <c r="E48" s="2947"/>
    </row>
    <row r="49" spans="1:5" s="1837" customFormat="1">
      <c r="A49" s="2947"/>
      <c r="C49" s="2948"/>
      <c r="E49" s="2947"/>
    </row>
    <row r="50" spans="1:5" s="1837" customFormat="1">
      <c r="A50" s="2947"/>
      <c r="C50" s="2948"/>
      <c r="E50" s="2947"/>
    </row>
    <row r="51" spans="1:5" s="1837" customFormat="1">
      <c r="A51" s="2947"/>
      <c r="C51" s="2948"/>
      <c r="E51" s="2947"/>
    </row>
    <row r="52" spans="1:5" s="1837" customFormat="1">
      <c r="A52" s="2947"/>
      <c r="C52" s="2948"/>
      <c r="E52" s="2947"/>
    </row>
    <row r="53" spans="1:5" s="1837" customFormat="1">
      <c r="A53" s="2947"/>
      <c r="C53" s="2948"/>
      <c r="E53" s="2947"/>
    </row>
    <row r="54" spans="1:5" s="1837" customFormat="1">
      <c r="A54" s="2947"/>
      <c r="C54" s="2948"/>
      <c r="E54" s="2947"/>
    </row>
    <row r="55" spans="1:5" s="1837" customFormat="1">
      <c r="A55" s="2947"/>
      <c r="C55" s="2948"/>
      <c r="E55" s="2947"/>
    </row>
    <row r="56" spans="1:5" s="1837" customFormat="1">
      <c r="A56" s="2947"/>
      <c r="C56" s="2948"/>
      <c r="E56" s="2947"/>
    </row>
    <row r="57" spans="1:5" s="1837" customFormat="1">
      <c r="A57" s="2947"/>
      <c r="C57" s="2948"/>
      <c r="E57" s="2947"/>
    </row>
    <row r="58" spans="1:5" s="1837" customFormat="1">
      <c r="A58" s="2947"/>
      <c r="C58" s="2948"/>
      <c r="E58" s="2947"/>
    </row>
    <row r="59" spans="1:5" s="1837" customFormat="1">
      <c r="A59" s="2947"/>
      <c r="C59" s="2948"/>
      <c r="E59" s="2947"/>
    </row>
    <row r="60" spans="1:5" s="1837" customFormat="1">
      <c r="A60" s="2947"/>
      <c r="C60" s="2948"/>
      <c r="E60" s="2947"/>
    </row>
    <row r="61" spans="1:5" s="1837" customFormat="1">
      <c r="A61" s="2947"/>
      <c r="C61" s="2948"/>
      <c r="E61" s="2947"/>
    </row>
    <row r="62" spans="1:5" s="1837" customFormat="1">
      <c r="A62" s="2947"/>
      <c r="C62" s="2948"/>
      <c r="E62" s="2947"/>
    </row>
    <row r="63" spans="1:5" s="1837" customFormat="1">
      <c r="A63" s="2947"/>
      <c r="C63" s="2948"/>
      <c r="E63" s="2947"/>
    </row>
    <row r="64" spans="1:5" s="1837" customFormat="1">
      <c r="A64" s="2947"/>
      <c r="C64" s="2948"/>
      <c r="E64" s="2947"/>
    </row>
    <row r="65" spans="1:5" s="1837" customFormat="1">
      <c r="A65" s="2947"/>
      <c r="C65" s="2948"/>
      <c r="E65" s="2947"/>
    </row>
    <row r="66" spans="1:5" s="1837" customFormat="1">
      <c r="A66" s="2947"/>
      <c r="C66" s="2948"/>
      <c r="E66" s="2947"/>
    </row>
    <row r="67" spans="1:5" s="1837" customFormat="1">
      <c r="A67" s="2947"/>
      <c r="C67" s="2948"/>
      <c r="E67" s="2947"/>
    </row>
    <row r="68" spans="1:5" s="1837" customFormat="1">
      <c r="A68" s="2947"/>
      <c r="C68" s="2948"/>
      <c r="E68" s="2947"/>
    </row>
    <row r="69" spans="1:5" s="1837" customFormat="1">
      <c r="A69" s="2947"/>
      <c r="C69" s="2948"/>
      <c r="E69" s="2947"/>
    </row>
    <row r="70" spans="1:5" s="1837" customFormat="1">
      <c r="A70" s="2947"/>
      <c r="C70" s="2948"/>
      <c r="E70" s="2947"/>
    </row>
    <row r="71" spans="1:5" s="1837" customFormat="1">
      <c r="A71" s="2947"/>
      <c r="C71" s="2948"/>
      <c r="E71" s="2947"/>
    </row>
    <row r="72" spans="1:5" s="1837" customFormat="1">
      <c r="A72" s="2947"/>
      <c r="C72" s="2948"/>
      <c r="E72" s="2947"/>
    </row>
    <row r="73" spans="1:5" s="1837" customFormat="1">
      <c r="A73" s="2947"/>
      <c r="C73" s="2948"/>
      <c r="E73" s="2947"/>
    </row>
    <row r="74" spans="1:5" s="1837" customFormat="1">
      <c r="A74" s="2947"/>
      <c r="C74" s="2948"/>
      <c r="E74" s="2947"/>
    </row>
    <row r="75" spans="1:5" s="1837" customFormat="1">
      <c r="A75" s="2947"/>
      <c r="C75" s="2948"/>
      <c r="E75" s="2947"/>
    </row>
    <row r="76" spans="1:5" s="1837" customFormat="1">
      <c r="A76" s="2947"/>
      <c r="C76" s="2948"/>
      <c r="E76" s="2947"/>
    </row>
    <row r="77" spans="1:5" s="1837" customFormat="1">
      <c r="A77" s="2947"/>
      <c r="C77" s="2948"/>
      <c r="E77" s="2947"/>
    </row>
    <row r="78" spans="1:5" s="1837" customFormat="1">
      <c r="A78" s="2947"/>
      <c r="C78" s="2948"/>
      <c r="E78" s="2947"/>
    </row>
    <row r="79" spans="1:5" s="1837" customFormat="1">
      <c r="A79" s="2947"/>
      <c r="C79" s="2948"/>
      <c r="E79" s="2947"/>
    </row>
    <row r="80" spans="1:5" s="1837" customFormat="1">
      <c r="A80" s="2947"/>
      <c r="C80" s="2948"/>
      <c r="E80" s="2947"/>
    </row>
    <row r="81" spans="1:5" s="1837" customFormat="1">
      <c r="A81" s="2947"/>
      <c r="C81" s="2948"/>
      <c r="E81" s="2947"/>
    </row>
    <row r="82" spans="1:5" s="1837" customFormat="1">
      <c r="A82" s="2947"/>
      <c r="C82" s="2948"/>
      <c r="E82" s="2947"/>
    </row>
    <row r="83" spans="1:5" s="1837" customFormat="1">
      <c r="A83" s="2947"/>
      <c r="C83" s="2948"/>
      <c r="E83" s="2947"/>
    </row>
    <row r="84" spans="1:5" s="1837" customFormat="1">
      <c r="A84" s="2947"/>
      <c r="C84" s="2948"/>
      <c r="E84" s="2947"/>
    </row>
    <row r="85" spans="1:5" s="1837" customFormat="1">
      <c r="A85" s="2947"/>
      <c r="C85" s="2948"/>
      <c r="E85" s="2947"/>
    </row>
    <row r="86" spans="1:5" s="1837" customFormat="1">
      <c r="A86" s="2947"/>
      <c r="C86" s="2948"/>
      <c r="E86" s="2947"/>
    </row>
    <row r="87" spans="1:5" s="1837" customFormat="1">
      <c r="A87" s="2947"/>
      <c r="C87" s="2948"/>
      <c r="E87" s="2947"/>
    </row>
    <row r="88" spans="1:5" s="1837" customFormat="1">
      <c r="A88" s="2947"/>
      <c r="C88" s="2948"/>
      <c r="E88" s="2947"/>
    </row>
    <row r="89" spans="1:5" s="1837" customFormat="1">
      <c r="A89" s="2947"/>
      <c r="C89" s="2948"/>
      <c r="E89" s="2947"/>
    </row>
    <row r="90" spans="1:5" s="1837" customFormat="1">
      <c r="A90" s="2947"/>
      <c r="C90" s="2948"/>
      <c r="E90" s="2947"/>
    </row>
    <row r="91" spans="1:5" s="1837" customFormat="1">
      <c r="A91" s="2947"/>
      <c r="C91" s="2948"/>
      <c r="E91" s="2947"/>
    </row>
    <row r="92" spans="1:5" s="1837" customFormat="1">
      <c r="A92" s="2947"/>
      <c r="C92" s="2948"/>
      <c r="E92" s="2947"/>
    </row>
    <row r="93" spans="1:5" s="1837" customFormat="1">
      <c r="A93" s="2947"/>
      <c r="C93" s="2948"/>
      <c r="E93" s="2947"/>
    </row>
    <row r="94" spans="1:5" s="1837" customFormat="1">
      <c r="A94" s="2947"/>
      <c r="C94" s="2948"/>
      <c r="E94" s="2947"/>
    </row>
    <row r="95" spans="1:5" s="1837" customFormat="1">
      <c r="A95" s="2947"/>
      <c r="C95" s="2948"/>
      <c r="E95" s="2947"/>
    </row>
    <row r="96" spans="1:5" s="1837" customFormat="1">
      <c r="A96" s="2947"/>
      <c r="C96" s="2948"/>
      <c r="E96" s="2947"/>
    </row>
    <row r="97" spans="1:5" s="1837" customFormat="1">
      <c r="A97" s="2947"/>
      <c r="C97" s="2948"/>
      <c r="E97" s="2947"/>
    </row>
    <row r="98" spans="1:5" s="1837" customFormat="1">
      <c r="A98" s="2947"/>
      <c r="C98" s="2948"/>
      <c r="E98" s="2947"/>
    </row>
    <row r="99" spans="1:5" s="1837" customFormat="1">
      <c r="A99" s="2947"/>
      <c r="C99" s="2948"/>
      <c r="E99" s="2947"/>
    </row>
    <row r="100" spans="1:5" s="1837" customFormat="1">
      <c r="A100" s="2947"/>
      <c r="C100" s="2948"/>
      <c r="E100" s="2947"/>
    </row>
    <row r="101" spans="1:5" s="1837" customFormat="1">
      <c r="A101" s="2947"/>
      <c r="C101" s="2948"/>
      <c r="E101" s="2947"/>
    </row>
    <row r="102" spans="1:5" s="1837" customFormat="1">
      <c r="A102" s="2947"/>
      <c r="C102" s="2948"/>
      <c r="E102" s="2947"/>
    </row>
    <row r="103" spans="1:5" s="1837" customFormat="1">
      <c r="A103" s="2947"/>
      <c r="C103" s="2948"/>
      <c r="E103" s="2947"/>
    </row>
    <row r="104" spans="1:5" s="1837" customFormat="1">
      <c r="A104" s="2947"/>
      <c r="C104" s="2948"/>
      <c r="E104" s="2947"/>
    </row>
    <row r="105" spans="1:5" s="1837" customFormat="1">
      <c r="A105" s="2947"/>
      <c r="C105" s="2948"/>
      <c r="E105" s="2947"/>
    </row>
    <row r="106" spans="1:5" s="1837" customFormat="1">
      <c r="A106" s="2947"/>
      <c r="C106" s="2948"/>
      <c r="E106" s="2947"/>
    </row>
    <row r="107" spans="1:5" s="1837" customFormat="1">
      <c r="A107" s="2947"/>
      <c r="C107" s="2948"/>
      <c r="E107" s="2947"/>
    </row>
    <row r="108" spans="1:5" s="1837" customFormat="1">
      <c r="A108" s="2947"/>
      <c r="C108" s="2948"/>
      <c r="E108" s="2947"/>
    </row>
    <row r="109" spans="1:5" s="1837" customFormat="1">
      <c r="A109" s="2947"/>
      <c r="C109" s="2948"/>
      <c r="E109" s="2947"/>
    </row>
    <row r="110" spans="1:5" s="1837" customFormat="1">
      <c r="A110" s="2947"/>
      <c r="C110" s="2948"/>
      <c r="E110" s="2947"/>
    </row>
    <row r="111" spans="1:5" s="1837" customFormat="1">
      <c r="A111" s="2947"/>
      <c r="C111" s="2948"/>
      <c r="E111" s="2947"/>
    </row>
    <row r="112" spans="1:5" s="1837" customFormat="1">
      <c r="A112" s="2947"/>
      <c r="C112" s="2948"/>
      <c r="E112" s="2947"/>
    </row>
    <row r="113" spans="1:5" s="1837" customFormat="1">
      <c r="A113" s="2947"/>
      <c r="C113" s="2948"/>
      <c r="E113" s="2947"/>
    </row>
    <row r="114" spans="1:5" s="1837" customFormat="1">
      <c r="A114" s="2947"/>
      <c r="C114" s="2948"/>
      <c r="E114" s="2947"/>
    </row>
    <row r="115" spans="1:5" s="1837" customFormat="1">
      <c r="A115" s="2947"/>
      <c r="C115" s="2948"/>
      <c r="E115" s="2947"/>
    </row>
    <row r="116" spans="1:5" s="1837" customFormat="1">
      <c r="A116" s="2947"/>
      <c r="C116" s="2948"/>
      <c r="E116" s="2947"/>
    </row>
    <row r="117" spans="1:5" s="1837" customFormat="1">
      <c r="A117" s="2947"/>
      <c r="C117" s="2948"/>
      <c r="E117" s="2947"/>
    </row>
    <row r="118" spans="1:5" s="1837" customFormat="1">
      <c r="A118" s="2947"/>
      <c r="C118" s="2948"/>
      <c r="E118" s="2947"/>
    </row>
    <row r="119" spans="1:5" s="1837" customFormat="1">
      <c r="A119" s="2947"/>
      <c r="C119" s="2948"/>
      <c r="E119" s="2947"/>
    </row>
    <row r="120" spans="1:5" s="1837" customFormat="1">
      <c r="A120" s="2947"/>
      <c r="C120" s="2948"/>
      <c r="E120" s="2947"/>
    </row>
    <row r="121" spans="1:5" s="1837" customFormat="1">
      <c r="A121" s="2947"/>
      <c r="C121" s="2948"/>
      <c r="E121" s="2947"/>
    </row>
    <row r="122" spans="1:5" s="1837" customFormat="1">
      <c r="A122" s="2947"/>
      <c r="C122" s="2948"/>
      <c r="E122" s="2947"/>
    </row>
    <row r="123" spans="1:5" s="1837" customFormat="1">
      <c r="A123" s="2947"/>
      <c r="C123" s="2948"/>
      <c r="E123" s="2947"/>
    </row>
    <row r="124" spans="1:5" s="1837" customFormat="1">
      <c r="A124" s="2947"/>
      <c r="C124" s="2948"/>
      <c r="E124" s="2947"/>
    </row>
    <row r="125" spans="1:5" s="1837" customFormat="1">
      <c r="A125" s="2947"/>
      <c r="C125" s="2948"/>
      <c r="E125" s="2947"/>
    </row>
    <row r="126" spans="1:5" s="1837" customFormat="1">
      <c r="A126" s="2947"/>
      <c r="C126" s="2948"/>
      <c r="E126" s="2947"/>
    </row>
    <row r="127" spans="1:5" s="1837" customFormat="1">
      <c r="A127" s="2947"/>
      <c r="C127" s="2948"/>
      <c r="E127" s="2947"/>
    </row>
    <row r="128" spans="1:5" s="1837" customFormat="1">
      <c r="A128" s="2947"/>
      <c r="C128" s="2948"/>
      <c r="E128" s="2947"/>
    </row>
    <row r="129" spans="1:5" s="1837" customFormat="1">
      <c r="A129" s="2947"/>
      <c r="C129" s="2948"/>
      <c r="E129" s="2947"/>
    </row>
    <row r="130" spans="1:5" s="1837" customFormat="1">
      <c r="A130" s="2947"/>
      <c r="C130" s="2948"/>
      <c r="E130" s="2947"/>
    </row>
    <row r="131" spans="1:5" s="1837" customFormat="1">
      <c r="A131" s="2947"/>
      <c r="C131" s="2948"/>
      <c r="E131" s="2947"/>
    </row>
    <row r="132" spans="1:5" s="1837" customFormat="1">
      <c r="A132" s="2947"/>
      <c r="C132" s="2948"/>
      <c r="E132" s="2947"/>
    </row>
    <row r="133" spans="1:5" s="1837" customFormat="1">
      <c r="A133" s="2947"/>
      <c r="C133" s="2948"/>
      <c r="E133" s="2947"/>
    </row>
    <row r="134" spans="1:5" s="1837" customFormat="1">
      <c r="A134" s="2947"/>
      <c r="C134" s="2948"/>
      <c r="E134" s="2947"/>
    </row>
    <row r="135" spans="1:5" s="1837" customFormat="1">
      <c r="A135" s="2947"/>
      <c r="C135" s="2948"/>
      <c r="E135" s="2947"/>
    </row>
    <row r="136" spans="1:5" s="1837" customFormat="1">
      <c r="A136" s="2947"/>
      <c r="C136" s="2948"/>
      <c r="E136" s="2947"/>
    </row>
    <row r="137" spans="1:5" s="1837" customFormat="1">
      <c r="A137" s="2947"/>
      <c r="C137" s="2948"/>
      <c r="E137" s="2947"/>
    </row>
    <row r="138" spans="1:5" s="1837" customFormat="1">
      <c r="A138" s="2947"/>
      <c r="C138" s="2948"/>
      <c r="E138" s="2947"/>
    </row>
    <row r="139" spans="1:5" s="1837" customFormat="1">
      <c r="A139" s="2947"/>
      <c r="C139" s="2948"/>
      <c r="E139" s="2947"/>
    </row>
    <row r="140" spans="1:5" s="1837" customFormat="1">
      <c r="A140" s="2947"/>
      <c r="C140" s="2948"/>
      <c r="E140" s="2947"/>
    </row>
    <row r="141" spans="1:5" s="1837" customFormat="1">
      <c r="A141" s="2947"/>
      <c r="C141" s="2948"/>
      <c r="E141" s="2947"/>
    </row>
    <row r="142" spans="1:5" s="1837" customFormat="1">
      <c r="A142" s="2947"/>
      <c r="C142" s="2948"/>
      <c r="E142" s="2947"/>
    </row>
    <row r="143" spans="1:5" s="1837" customFormat="1">
      <c r="A143" s="2947"/>
      <c r="C143" s="2948"/>
      <c r="E143" s="2947"/>
    </row>
    <row r="144" spans="1:5" s="1837" customFormat="1">
      <c r="A144" s="2947"/>
      <c r="C144" s="2948"/>
      <c r="E144" s="2947"/>
    </row>
    <row r="145" spans="1:5" s="1837" customFormat="1">
      <c r="A145" s="2947"/>
      <c r="C145" s="2948"/>
      <c r="E145" s="2947"/>
    </row>
    <row r="146" spans="1:5" s="1837" customFormat="1">
      <c r="A146" s="2947"/>
      <c r="C146" s="2948"/>
      <c r="E146" s="2947"/>
    </row>
    <row r="147" spans="1:5" s="1837" customFormat="1">
      <c r="A147" s="2947"/>
      <c r="C147" s="2948"/>
      <c r="E147" s="2947"/>
    </row>
    <row r="148" spans="1:5" s="1837" customFormat="1">
      <c r="A148" s="2947"/>
      <c r="C148" s="2948"/>
      <c r="E148" s="2947"/>
    </row>
    <row r="149" spans="1:5" s="1837" customFormat="1">
      <c r="A149" s="2947"/>
      <c r="C149" s="2948"/>
      <c r="E149" s="2947"/>
    </row>
    <row r="150" spans="1:5" s="1837" customFormat="1">
      <c r="A150" s="2947"/>
      <c r="C150" s="2948"/>
      <c r="E150" s="2947"/>
    </row>
    <row r="151" spans="1:5" s="1837" customFormat="1">
      <c r="A151" s="2947"/>
      <c r="C151" s="2948"/>
      <c r="E151" s="2947"/>
    </row>
    <row r="152" spans="1:5" s="1837" customFormat="1">
      <c r="A152" s="2947"/>
      <c r="C152" s="2948"/>
      <c r="E152" s="2947"/>
    </row>
    <row r="153" spans="1:5" s="1837" customFormat="1">
      <c r="A153" s="2947"/>
      <c r="C153" s="2948"/>
      <c r="E153" s="2947"/>
    </row>
    <row r="154" spans="1:5" s="1837" customFormat="1">
      <c r="A154" s="2947"/>
      <c r="C154" s="2948"/>
      <c r="E154" s="2947"/>
    </row>
    <row r="155" spans="1:5" s="1837" customFormat="1">
      <c r="A155" s="2947"/>
      <c r="C155" s="2948"/>
      <c r="E155" s="2947"/>
    </row>
    <row r="156" spans="1:5" s="1837" customFormat="1">
      <c r="A156" s="2947"/>
      <c r="C156" s="2948"/>
      <c r="E156" s="2947"/>
    </row>
    <row r="157" spans="1:5" s="1837" customFormat="1">
      <c r="A157" s="2947"/>
      <c r="C157" s="2948"/>
      <c r="E157" s="2947"/>
    </row>
    <row r="158" spans="1:5" s="1837" customFormat="1">
      <c r="A158" s="2947"/>
      <c r="C158" s="2948"/>
      <c r="E158" s="2947"/>
    </row>
    <row r="159" spans="1:5" s="1837" customFormat="1">
      <c r="A159" s="2947"/>
      <c r="C159" s="2948"/>
      <c r="E159" s="2947"/>
    </row>
    <row r="160" spans="1:5" s="1837" customFormat="1">
      <c r="A160" s="2947"/>
      <c r="C160" s="2948"/>
      <c r="E160" s="2947"/>
    </row>
    <row r="161" spans="1:5" s="1837" customFormat="1">
      <c r="A161" s="2947"/>
      <c r="C161" s="2948"/>
      <c r="E161" s="2947"/>
    </row>
    <row r="162" spans="1:5" s="1837" customFormat="1">
      <c r="A162" s="2947"/>
      <c r="C162" s="2948"/>
      <c r="E162" s="2947"/>
    </row>
    <row r="163" spans="1:5" s="1837" customFormat="1">
      <c r="A163" s="2947"/>
      <c r="C163" s="2948"/>
      <c r="E163" s="2947"/>
    </row>
    <row r="164" spans="1:5" s="1837" customFormat="1">
      <c r="A164" s="2947"/>
      <c r="C164" s="2948"/>
      <c r="E164" s="2947"/>
    </row>
    <row r="165" spans="1:5" s="1837" customFormat="1">
      <c r="A165" s="2947"/>
      <c r="C165" s="2948"/>
      <c r="E165" s="2947"/>
    </row>
    <row r="166" spans="1:5" s="1837" customFormat="1">
      <c r="A166" s="2947"/>
      <c r="C166" s="2948"/>
      <c r="E166" s="2947"/>
    </row>
    <row r="167" spans="1:5" s="1837" customFormat="1">
      <c r="A167" s="2947"/>
      <c r="C167" s="2948"/>
      <c r="E167" s="2947"/>
    </row>
    <row r="168" spans="1:5" s="1837" customFormat="1">
      <c r="A168" s="2947"/>
      <c r="C168" s="2948"/>
      <c r="E168" s="2947"/>
    </row>
    <row r="169" spans="1:5" s="1837" customFormat="1">
      <c r="A169" s="2947"/>
      <c r="C169" s="2948"/>
      <c r="E169" s="2947"/>
    </row>
    <row r="170" spans="1:5" s="1837" customFormat="1">
      <c r="A170" s="2947"/>
      <c r="C170" s="2948"/>
      <c r="E170" s="2947"/>
    </row>
    <row r="171" spans="1:5" s="1837" customFormat="1">
      <c r="A171" s="2947"/>
      <c r="C171" s="2948"/>
      <c r="E171" s="2947"/>
    </row>
    <row r="172" spans="1:5" s="1837" customFormat="1">
      <c r="A172" s="2947"/>
      <c r="C172" s="2948"/>
      <c r="E172" s="2947"/>
    </row>
    <row r="173" spans="1:5" s="1837" customFormat="1">
      <c r="A173" s="2947"/>
      <c r="C173" s="2948"/>
      <c r="E173" s="2947"/>
    </row>
    <row r="174" spans="1:5" s="1837" customFormat="1">
      <c r="A174" s="2947"/>
      <c r="C174" s="2948"/>
      <c r="E174" s="2947"/>
    </row>
    <row r="175" spans="1:5" s="1837" customFormat="1">
      <c r="A175" s="2947"/>
      <c r="C175" s="2948"/>
      <c r="E175" s="2947"/>
    </row>
    <row r="176" spans="1:5" s="1837" customFormat="1">
      <c r="A176" s="2947"/>
      <c r="C176" s="2948"/>
      <c r="E176" s="2947"/>
    </row>
    <row r="177" spans="1:5" s="1837" customFormat="1">
      <c r="A177" s="2947"/>
      <c r="C177" s="2948"/>
      <c r="E177" s="2947"/>
    </row>
    <row r="178" spans="1:5" s="1837" customFormat="1">
      <c r="A178" s="2947"/>
      <c r="C178" s="2948"/>
      <c r="E178" s="2947"/>
    </row>
    <row r="179" spans="1:5" s="1837" customFormat="1">
      <c r="A179" s="2947"/>
      <c r="C179" s="2948"/>
      <c r="E179" s="2947"/>
    </row>
    <row r="180" spans="1:5" s="1837" customFormat="1">
      <c r="A180" s="2947"/>
      <c r="C180" s="2948"/>
      <c r="E180" s="2947"/>
    </row>
    <row r="181" spans="1:5" s="1837" customFormat="1">
      <c r="A181" s="2947"/>
      <c r="C181" s="2948"/>
      <c r="E181" s="2947"/>
    </row>
    <row r="182" spans="1:5" s="1837" customFormat="1">
      <c r="A182" s="2947"/>
      <c r="C182" s="2948"/>
      <c r="E182" s="2947"/>
    </row>
    <row r="183" spans="1:5" s="1837" customFormat="1">
      <c r="A183" s="2947"/>
      <c r="C183" s="2948"/>
      <c r="E183" s="2947"/>
    </row>
    <row r="184" spans="1:5" s="1837" customFormat="1">
      <c r="A184" s="2947"/>
      <c r="C184" s="2948"/>
      <c r="E184" s="2947"/>
    </row>
    <row r="185" spans="1:5" s="1837" customFormat="1">
      <c r="A185" s="2947"/>
      <c r="C185" s="2948"/>
      <c r="E185" s="2947"/>
    </row>
    <row r="186" spans="1:5" s="1837" customFormat="1">
      <c r="A186" s="2947"/>
      <c r="C186" s="2948"/>
      <c r="E186" s="2947"/>
    </row>
    <row r="187" spans="1:5" s="1837" customFormat="1">
      <c r="A187" s="2947"/>
      <c r="C187" s="2948"/>
      <c r="E187" s="2947"/>
    </row>
    <row r="188" spans="1:5" s="1837" customFormat="1">
      <c r="A188" s="2947"/>
      <c r="C188" s="2948"/>
      <c r="E188" s="2947"/>
    </row>
    <row r="189" spans="1:5" s="1837" customFormat="1">
      <c r="A189" s="2947"/>
      <c r="C189" s="2948"/>
      <c r="E189" s="2947"/>
    </row>
    <row r="190" spans="1:5" s="1837" customFormat="1">
      <c r="A190" s="2947"/>
      <c r="C190" s="2948"/>
      <c r="E190" s="2947"/>
    </row>
    <row r="191" spans="1:5" s="1837" customFormat="1">
      <c r="A191" s="2947"/>
      <c r="C191" s="2948"/>
      <c r="E191" s="2947"/>
    </row>
    <row r="192" spans="1:5" s="1837" customFormat="1">
      <c r="A192" s="2947"/>
      <c r="C192" s="2948"/>
      <c r="E192" s="2947"/>
    </row>
    <row r="193" spans="1:5" s="1837" customFormat="1">
      <c r="A193" s="2947"/>
      <c r="C193" s="2948"/>
      <c r="E193" s="2947"/>
    </row>
    <row r="194" spans="1:5" s="1837" customFormat="1">
      <c r="A194" s="2947"/>
      <c r="C194" s="2948"/>
      <c r="E194" s="2947"/>
    </row>
    <row r="195" spans="1:5" s="1837" customFormat="1">
      <c r="A195" s="2947"/>
      <c r="C195" s="2948"/>
      <c r="E195" s="2947"/>
    </row>
    <row r="196" spans="1:5" s="1837" customFormat="1">
      <c r="A196" s="2947"/>
      <c r="C196" s="2948"/>
      <c r="E196" s="2947"/>
    </row>
    <row r="197" spans="1:5" s="1837" customFormat="1">
      <c r="A197" s="2947"/>
      <c r="C197" s="2948"/>
      <c r="E197" s="2947"/>
    </row>
    <row r="198" spans="1:5" s="1837" customFormat="1">
      <c r="A198" s="2947"/>
      <c r="C198" s="2948"/>
      <c r="E198" s="2947"/>
    </row>
    <row r="199" spans="1:5" s="1837" customFormat="1">
      <c r="A199" s="2947"/>
      <c r="C199" s="2948"/>
      <c r="E199" s="2947"/>
    </row>
    <row r="200" spans="1:5" s="1837" customFormat="1">
      <c r="A200" s="2947"/>
      <c r="C200" s="2948"/>
      <c r="E200" s="2947"/>
    </row>
    <row r="201" spans="1:5" s="1837" customFormat="1">
      <c r="A201" s="2947"/>
      <c r="C201" s="2948"/>
      <c r="E201" s="2947"/>
    </row>
    <row r="202" spans="1:5" s="1837" customFormat="1">
      <c r="A202" s="2947"/>
      <c r="C202" s="2948"/>
      <c r="E202" s="2947"/>
    </row>
    <row r="203" spans="1:5" s="1837" customFormat="1">
      <c r="A203" s="2947"/>
      <c r="C203" s="2948"/>
      <c r="E203" s="2947"/>
    </row>
    <row r="204" spans="1:5" s="1837" customFormat="1">
      <c r="A204" s="2947"/>
      <c r="C204" s="2948"/>
      <c r="E204" s="2947"/>
    </row>
    <row r="205" spans="1:5" s="1837" customFormat="1">
      <c r="A205" s="2947"/>
      <c r="C205" s="2948"/>
      <c r="E205" s="2947"/>
    </row>
    <row r="206" spans="1:5" s="1837" customFormat="1">
      <c r="A206" s="2947"/>
      <c r="C206" s="2948"/>
      <c r="E206" s="2947"/>
    </row>
    <row r="207" spans="1:5" s="1837" customFormat="1">
      <c r="A207" s="2947"/>
      <c r="C207" s="2948"/>
      <c r="E207" s="2947"/>
    </row>
    <row r="208" spans="1:5" s="1837" customFormat="1">
      <c r="A208" s="2947"/>
      <c r="C208" s="2948"/>
      <c r="E208" s="2947"/>
    </row>
    <row r="209" spans="1:5" s="1837" customFormat="1">
      <c r="A209" s="2947"/>
      <c r="C209" s="2948"/>
      <c r="E209" s="2947"/>
    </row>
    <row r="210" spans="1:5" s="1837" customFormat="1">
      <c r="A210" s="2947"/>
      <c r="C210" s="2948"/>
      <c r="E210" s="2947"/>
    </row>
    <row r="211" spans="1:5" s="1837" customFormat="1">
      <c r="A211" s="2947"/>
      <c r="C211" s="2948"/>
      <c r="E211" s="294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465</v>
      </c>
      <c r="B1" s="473"/>
      <c r="C1" s="474" t="s">
        <v>545</v>
      </c>
      <c r="D1" s="475" t="s">
        <v>467</v>
      </c>
      <c r="E1" s="705"/>
      <c r="F1" s="706"/>
      <c r="G1" s="705"/>
      <c r="H1" s="705"/>
      <c r="I1" s="705"/>
      <c r="J1" s="705"/>
      <c r="K1" s="707"/>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10" t="s">
        <v>427</v>
      </c>
      <c r="B2" s="478" t="e">
        <f>F62</f>
        <v>#DIV/0!</v>
      </c>
      <c r="C2" s="2964"/>
      <c r="D2" s="2964"/>
      <c r="E2" s="2964"/>
      <c r="F2" s="2965"/>
      <c r="G2" s="2964"/>
      <c r="H2" s="2964"/>
      <c r="I2" s="2964"/>
      <c r="J2" s="2964"/>
      <c r="K2" s="2966"/>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c r="A3" s="1237" t="s">
        <v>1218</v>
      </c>
      <c r="B3" s="480" t="e">
        <f>ROUND(B2*10000/'数据-汇总表'!E3,0)</f>
        <v>#DIV/0!</v>
      </c>
      <c r="C3" s="2963"/>
      <c r="D3" s="2963"/>
      <c r="E3" s="2963"/>
      <c r="F3" s="2963"/>
      <c r="G3" s="2964"/>
      <c r="H3" s="2964"/>
      <c r="I3" s="2964"/>
      <c r="J3" s="2964"/>
      <c r="K3" s="2966"/>
      <c r="L3" s="1853"/>
      <c r="M3" s="1854"/>
      <c r="N3" s="1854"/>
      <c r="O3" s="1854"/>
      <c r="P3" s="1854"/>
      <c r="Q3" s="1854"/>
      <c r="R3" s="1854"/>
      <c r="S3" s="1854"/>
      <c r="T3" s="1854"/>
      <c r="U3" s="1854"/>
      <c r="V3" s="1854"/>
      <c r="W3" s="1854"/>
      <c r="X3" s="1854"/>
      <c r="Y3" s="1854"/>
      <c r="Z3" s="1854"/>
      <c r="AA3" s="1854"/>
      <c r="AB3" s="1784"/>
      <c r="AC3" s="1784"/>
    </row>
    <row r="4" spans="1:29" s="1196" customFormat="1" ht="28.5" customHeight="1">
      <c r="A4" s="481" t="s">
        <v>469</v>
      </c>
      <c r="B4" s="414" t="e">
        <f>IF(B43="单位面积地价",C45,ROUND(B2*10000/'数据-汇总表'!D3,0))</f>
        <v>#DIV/0!</v>
      </c>
      <c r="C4" s="2963"/>
      <c r="D4" s="2963"/>
      <c r="E4" s="2963"/>
      <c r="F4" s="2963"/>
      <c r="G4" s="2964"/>
      <c r="H4" s="2964"/>
      <c r="I4" s="2964"/>
      <c r="J4" s="2964"/>
      <c r="K4" s="2966"/>
      <c r="L4" s="1853"/>
      <c r="M4" s="1854"/>
      <c r="N4" s="1854"/>
      <c r="O4" s="1854"/>
      <c r="P4" s="1854"/>
      <c r="Q4" s="1854"/>
      <c r="R4" s="1854"/>
      <c r="S4" s="1854"/>
      <c r="T4" s="1854"/>
      <c r="U4" s="1854"/>
      <c r="V4" s="1854"/>
      <c r="W4" s="1854"/>
      <c r="X4" s="1854"/>
      <c r="Y4" s="1854"/>
      <c r="Z4" s="1854"/>
      <c r="AA4" s="1854"/>
      <c r="AB4" s="1854"/>
      <c r="AC4" s="1784"/>
    </row>
    <row r="5" spans="1:29" s="1196" customFormat="1" ht="28.5" customHeight="1" thickBot="1">
      <c r="A5" s="416"/>
      <c r="B5" s="417" t="e">
        <f>ROUND(B2/('数据-汇总表'!D3/666.67),0)</f>
        <v>#DIV/0!</v>
      </c>
      <c r="C5" s="418" t="s">
        <v>429</v>
      </c>
      <c r="D5" s="2963"/>
      <c r="E5" s="2963"/>
      <c r="F5" s="2963"/>
      <c r="G5" s="2964"/>
      <c r="H5" s="2964"/>
      <c r="I5" s="2964"/>
      <c r="J5" s="2964"/>
      <c r="K5" s="2966"/>
      <c r="L5" s="1853"/>
      <c r="M5" s="1854"/>
      <c r="N5" s="1854"/>
      <c r="O5" s="1854"/>
      <c r="P5" s="1854"/>
      <c r="Q5" s="1854"/>
      <c r="R5" s="1854"/>
      <c r="S5" s="1854"/>
      <c r="T5" s="1854"/>
      <c r="U5" s="1854"/>
      <c r="V5" s="1854"/>
      <c r="W5" s="1854"/>
      <c r="X5" s="1854"/>
      <c r="Y5" s="1854"/>
      <c r="Z5" s="1854"/>
      <c r="AA5" s="1854"/>
      <c r="AB5" s="2955"/>
      <c r="AC5" s="1784"/>
    </row>
    <row r="6" spans="1:29" ht="15">
      <c r="A6" s="482" t="s">
        <v>470</v>
      </c>
      <c r="B6" s="483"/>
      <c r="C6" s="3849" t="s">
        <v>471</v>
      </c>
      <c r="D6" s="3850"/>
      <c r="E6" s="3889" t="s">
        <v>472</v>
      </c>
      <c r="F6" s="3890"/>
      <c r="G6" s="3849" t="s">
        <v>473</v>
      </c>
      <c r="H6" s="3850"/>
      <c r="I6" s="3849" t="s">
        <v>474</v>
      </c>
      <c r="J6" s="3850"/>
      <c r="K6" s="484" t="s">
        <v>475</v>
      </c>
      <c r="L6" s="1855"/>
      <c r="M6" s="1856"/>
      <c r="N6" s="1856"/>
      <c r="O6" s="1856"/>
      <c r="P6" s="3851" t="s">
        <v>476</v>
      </c>
      <c r="Q6" s="3852"/>
      <c r="R6" s="3857" t="s">
        <v>472</v>
      </c>
      <c r="S6" s="3858"/>
      <c r="T6" s="3857" t="s">
        <v>473</v>
      </c>
      <c r="U6" s="3858"/>
      <c r="V6" s="3844" t="s">
        <v>474</v>
      </c>
      <c r="W6" s="3844"/>
      <c r="X6" s="1379"/>
      <c r="Y6" s="3857" t="s">
        <v>476</v>
      </c>
      <c r="Z6" s="3858"/>
      <c r="AA6" s="3846" t="s">
        <v>472</v>
      </c>
      <c r="AB6" s="3847" t="s">
        <v>473</v>
      </c>
      <c r="AC6" s="3846" t="s">
        <v>474</v>
      </c>
    </row>
    <row r="7" spans="1:29" ht="15">
      <c r="A7" s="485"/>
      <c r="B7" s="486"/>
      <c r="C7" s="3867" t="s">
        <v>2183</v>
      </c>
      <c r="D7" s="3866"/>
      <c r="E7" s="3891" t="s">
        <v>2184</v>
      </c>
      <c r="F7" s="3892"/>
      <c r="G7" s="3867" t="s">
        <v>2185</v>
      </c>
      <c r="H7" s="3866"/>
      <c r="I7" s="3867" t="s">
        <v>2186</v>
      </c>
      <c r="J7" s="3866"/>
      <c r="K7" s="484"/>
      <c r="L7" s="1855"/>
      <c r="M7" s="1856"/>
      <c r="N7" s="1856"/>
      <c r="O7" s="1856"/>
      <c r="P7" s="3853"/>
      <c r="Q7" s="3854"/>
      <c r="R7" s="3859"/>
      <c r="S7" s="3860"/>
      <c r="T7" s="3859"/>
      <c r="U7" s="3860"/>
      <c r="V7" s="3844"/>
      <c r="W7" s="3844"/>
      <c r="X7" s="1379"/>
      <c r="Y7" s="3859"/>
      <c r="Z7" s="3860"/>
      <c r="AA7" s="3847"/>
      <c r="AB7" s="3847"/>
      <c r="AC7" s="3847"/>
    </row>
    <row r="8" spans="1:29" ht="15.75" thickBot="1">
      <c r="A8" s="487"/>
      <c r="B8" s="488"/>
      <c r="C8" s="3863" t="s">
        <v>2187</v>
      </c>
      <c r="D8" s="3864"/>
      <c r="E8" s="3887" t="s">
        <v>2187</v>
      </c>
      <c r="F8" s="3888"/>
      <c r="G8" s="3863" t="s">
        <v>2187</v>
      </c>
      <c r="H8" s="3864"/>
      <c r="I8" s="3863" t="s">
        <v>2187</v>
      </c>
      <c r="J8" s="3864"/>
      <c r="K8" s="484" t="s">
        <v>477</v>
      </c>
      <c r="L8" s="1855"/>
      <c r="M8" s="1856"/>
      <c r="N8" s="1856"/>
      <c r="O8" s="1856"/>
      <c r="P8" s="3855"/>
      <c r="Q8" s="3856"/>
      <c r="R8" s="3859"/>
      <c r="S8" s="3860"/>
      <c r="T8" s="3861"/>
      <c r="U8" s="3862"/>
      <c r="V8" s="3844"/>
      <c r="W8" s="3844"/>
      <c r="X8" s="1379"/>
      <c r="Y8" s="3861"/>
      <c r="Z8" s="3862"/>
      <c r="AA8" s="3848"/>
      <c r="AB8" s="3848"/>
      <c r="AC8" s="3848"/>
    </row>
    <row r="9" spans="1:29" s="1117" customFormat="1" ht="15.75" thickBot="1">
      <c r="A9" s="2391"/>
      <c r="B9" s="2398" t="s">
        <v>478</v>
      </c>
      <c r="C9" s="489">
        <f>'数据-取费表'!B2</f>
        <v>45175</v>
      </c>
      <c r="D9" s="490">
        <v>100</v>
      </c>
      <c r="E9" s="491"/>
      <c r="F9" s="492">
        <f>SUMIF(66:66,YEAR(E9)&amp;"-"&amp;INT((MONTH(E9)+2)/3),67:67)</f>
        <v>0</v>
      </c>
      <c r="G9" s="493"/>
      <c r="H9" s="490">
        <f>SUMIF(66:66,YEAR(G9)&amp;"-"&amp;INT((MONTH(G9)+2)/3),67:67)</f>
        <v>0</v>
      </c>
      <c r="I9" s="493"/>
      <c r="J9" s="490">
        <f>SUMIF(66:66,YEAR(I9)&amp;"-"&amp;INT((MONTH(I9)+2)/3),67:67)</f>
        <v>0</v>
      </c>
      <c r="K9" s="494"/>
      <c r="L9" s="1857"/>
      <c r="M9" s="1858"/>
      <c r="N9" s="1858"/>
      <c r="O9" s="1858"/>
      <c r="P9" s="3874" t="s">
        <v>479</v>
      </c>
      <c r="Q9" s="3876"/>
      <c r="R9" s="1380" t="s">
        <v>5</v>
      </c>
      <c r="S9" s="1381">
        <f t="shared" ref="S9:S17" si="0">F9</f>
        <v>0</v>
      </c>
      <c r="T9" s="1380" t="s">
        <v>5</v>
      </c>
      <c r="U9" s="1381">
        <f t="shared" ref="U9:U17" si="1">H9</f>
        <v>0</v>
      </c>
      <c r="V9" s="1380" t="s">
        <v>5</v>
      </c>
      <c r="W9" s="1381">
        <f t="shared" ref="W9:W17" si="2">J9</f>
        <v>0</v>
      </c>
      <c r="X9" s="1382"/>
      <c r="Y9" s="3874" t="s">
        <v>479</v>
      </c>
      <c r="Z9" s="3875"/>
      <c r="AA9" s="1383" t="e">
        <f>D9/F9</f>
        <v>#DIV/0!</v>
      </c>
      <c r="AB9" s="1383" t="e">
        <f>D9/H9</f>
        <v>#DIV/0!</v>
      </c>
      <c r="AC9" s="1383" t="e">
        <f>D9/J9</f>
        <v>#DIV/0!</v>
      </c>
    </row>
    <row r="10" spans="1:29" s="1117" customFormat="1" ht="15.75" thickBot="1">
      <c r="A10" s="2392"/>
      <c r="B10" s="2399"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7"/>
      <c r="M10" s="1858"/>
      <c r="N10" s="1858"/>
      <c r="O10" s="1858"/>
      <c r="P10" s="3874" t="s">
        <v>482</v>
      </c>
      <c r="Q10" s="3875"/>
      <c r="R10" s="1380" t="s">
        <v>5</v>
      </c>
      <c r="S10" s="1381">
        <f t="shared" si="0"/>
        <v>0</v>
      </c>
      <c r="T10" s="1380" t="s">
        <v>5</v>
      </c>
      <c r="U10" s="1381">
        <f t="shared" si="1"/>
        <v>0</v>
      </c>
      <c r="V10" s="1380" t="s">
        <v>5</v>
      </c>
      <c r="W10" s="1381">
        <f t="shared" si="2"/>
        <v>0</v>
      </c>
      <c r="X10" s="1382"/>
      <c r="Y10" s="3874" t="s">
        <v>482</v>
      </c>
      <c r="Z10" s="3875"/>
      <c r="AA10" s="1383" t="e">
        <f t="shared" ref="AA10:AA42" si="3">D10/F10</f>
        <v>#DIV/0!</v>
      </c>
      <c r="AB10" s="1383" t="e">
        <f t="shared" ref="AB10:AB42" si="4">D10/H10</f>
        <v>#DIV/0!</v>
      </c>
      <c r="AC10" s="1383" t="e">
        <f t="shared" ref="AC10:AC42" si="5">D10/J10</f>
        <v>#DIV/0!</v>
      </c>
    </row>
    <row r="11" spans="1:29" s="1117" customFormat="1" ht="15">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843" t="s">
        <v>484</v>
      </c>
      <c r="Q11" s="1049" t="str">
        <f t="shared" ref="Q11:Q17" si="6">B11</f>
        <v>用途</v>
      </c>
      <c r="R11" s="1380" t="s">
        <v>5</v>
      </c>
      <c r="S11" s="1381">
        <f t="shared" si="0"/>
        <v>100</v>
      </c>
      <c r="T11" s="1380" t="s">
        <v>5</v>
      </c>
      <c r="U11" s="1381">
        <f t="shared" si="1"/>
        <v>100</v>
      </c>
      <c r="V11" s="1380" t="s">
        <v>5</v>
      </c>
      <c r="W11" s="1381">
        <f t="shared" si="2"/>
        <v>100</v>
      </c>
      <c r="X11" s="1382"/>
      <c r="Y11" s="3791" t="s">
        <v>485</v>
      </c>
      <c r="Z11" s="1048" t="str">
        <f t="shared" ref="Z11:Z17" si="7">Q11</f>
        <v>用途</v>
      </c>
      <c r="AA11" s="1383">
        <f t="shared" si="3"/>
        <v>1</v>
      </c>
      <c r="AB11" s="1383">
        <f t="shared" si="4"/>
        <v>1</v>
      </c>
      <c r="AC11" s="1383">
        <f t="shared" si="5"/>
        <v>1</v>
      </c>
    </row>
    <row r="12" spans="1:29" s="1198" customFormat="1" ht="27">
      <c r="A12" s="2394"/>
      <c r="B12" s="2399" t="s">
        <v>2039</v>
      </c>
      <c r="C12" s="498"/>
      <c r="D12" s="246">
        <v>100</v>
      </c>
      <c r="E12" s="498"/>
      <c r="F12" s="246">
        <f>ROUND(100/'数据-取费表'!G16,0)</f>
        <v>100</v>
      </c>
      <c r="G12" s="498"/>
      <c r="H12" s="246">
        <f>ROUND(100/'数据-取费表'!G16,0)</f>
        <v>100</v>
      </c>
      <c r="I12" s="498"/>
      <c r="J12" s="246">
        <f>ROUND(100/'数据-取费表'!G16,0)</f>
        <v>100</v>
      </c>
      <c r="K12" s="501"/>
      <c r="L12" s="1860"/>
      <c r="M12" s="1899"/>
      <c r="N12" s="1899"/>
      <c r="O12" s="1861"/>
      <c r="P12" s="3843"/>
      <c r="Q12" s="1049" t="str">
        <f t="shared" si="6"/>
        <v>土地使用年限（年）</v>
      </c>
      <c r="R12" s="1380" t="s">
        <v>5</v>
      </c>
      <c r="S12" s="1381">
        <f t="shared" si="0"/>
        <v>100</v>
      </c>
      <c r="T12" s="1380" t="s">
        <v>5</v>
      </c>
      <c r="U12" s="1381">
        <f t="shared" si="1"/>
        <v>100</v>
      </c>
      <c r="V12" s="1380" t="s">
        <v>5</v>
      </c>
      <c r="W12" s="1381">
        <f t="shared" si="2"/>
        <v>100</v>
      </c>
      <c r="X12" s="1382"/>
      <c r="Y12" s="3791"/>
      <c r="Z12" s="1048" t="str">
        <f t="shared" si="7"/>
        <v>土地使用年限（年）</v>
      </c>
      <c r="AA12" s="1383">
        <f t="shared" si="3"/>
        <v>1</v>
      </c>
      <c r="AB12" s="1383">
        <f t="shared" si="4"/>
        <v>1</v>
      </c>
      <c r="AC12" s="1383">
        <f t="shared" si="5"/>
        <v>1</v>
      </c>
    </row>
    <row r="13" spans="1:29" ht="15">
      <c r="A13" s="2395"/>
      <c r="B13" s="2399"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2"/>
      <c r="M13" s="1856"/>
      <c r="N13" s="1856"/>
      <c r="O13" s="1863"/>
      <c r="P13" s="3843"/>
      <c r="Q13" s="1049" t="str">
        <f t="shared" si="6"/>
        <v>容积率</v>
      </c>
      <c r="R13" s="1380" t="s">
        <v>5</v>
      </c>
      <c r="S13" s="1381" t="e">
        <f t="shared" si="0"/>
        <v>#N/A</v>
      </c>
      <c r="T13" s="1380" t="s">
        <v>5</v>
      </c>
      <c r="U13" s="1381" t="e">
        <f t="shared" si="1"/>
        <v>#N/A</v>
      </c>
      <c r="V13" s="1380" t="s">
        <v>5</v>
      </c>
      <c r="W13" s="1381" t="e">
        <f t="shared" si="2"/>
        <v>#N/A</v>
      </c>
      <c r="X13" s="1382"/>
      <c r="Y13" s="3791"/>
      <c r="Z13" s="1048" t="str">
        <f t="shared" si="7"/>
        <v>容积率</v>
      </c>
      <c r="AA13" s="1383" t="e">
        <f t="shared" si="3"/>
        <v>#N/A</v>
      </c>
      <c r="AB13" s="1383" t="e">
        <f t="shared" si="4"/>
        <v>#N/A</v>
      </c>
      <c r="AC13" s="1383" t="e">
        <f t="shared" si="5"/>
        <v>#N/A</v>
      </c>
    </row>
    <row r="14" spans="1:29" s="1117"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843"/>
      <c r="Q14" s="1049">
        <f t="shared" si="6"/>
        <v>111</v>
      </c>
      <c r="R14" s="1380" t="s">
        <v>5</v>
      </c>
      <c r="S14" s="1381">
        <f t="shared" si="0"/>
        <v>100</v>
      </c>
      <c r="T14" s="1380" t="s">
        <v>5</v>
      </c>
      <c r="U14" s="1381">
        <f t="shared" si="1"/>
        <v>100</v>
      </c>
      <c r="V14" s="1380" t="s">
        <v>5</v>
      </c>
      <c r="W14" s="1381">
        <f t="shared" si="2"/>
        <v>100</v>
      </c>
      <c r="X14" s="1382"/>
      <c r="Y14" s="3791"/>
      <c r="Z14" s="1048">
        <f t="shared" si="7"/>
        <v>111</v>
      </c>
      <c r="AA14" s="1383">
        <f>D14/F14</f>
        <v>1</v>
      </c>
      <c r="AB14" s="1383">
        <f>D14/H14</f>
        <v>1</v>
      </c>
      <c r="AC14" s="1383">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843"/>
      <c r="Q15" s="1049">
        <f t="shared" si="6"/>
        <v>111</v>
      </c>
      <c r="R15" s="1380" t="s">
        <v>5</v>
      </c>
      <c r="S15" s="1381">
        <f t="shared" si="0"/>
        <v>100</v>
      </c>
      <c r="T15" s="1380" t="s">
        <v>5</v>
      </c>
      <c r="U15" s="1381">
        <f t="shared" si="1"/>
        <v>100</v>
      </c>
      <c r="V15" s="1380" t="s">
        <v>5</v>
      </c>
      <c r="W15" s="1381">
        <f t="shared" si="2"/>
        <v>100</v>
      </c>
      <c r="X15" s="1382"/>
      <c r="Y15" s="3791"/>
      <c r="Z15" s="1048">
        <f t="shared" si="7"/>
        <v>111</v>
      </c>
      <c r="AA15" s="1383">
        <f t="shared" si="3"/>
        <v>1</v>
      </c>
      <c r="AB15" s="1383">
        <f t="shared" si="4"/>
        <v>1</v>
      </c>
      <c r="AC15" s="1383">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843"/>
      <c r="Q16" s="1049">
        <f t="shared" si="6"/>
        <v>111</v>
      </c>
      <c r="R16" s="1380" t="s">
        <v>5</v>
      </c>
      <c r="S16" s="1381">
        <f t="shared" si="0"/>
        <v>100</v>
      </c>
      <c r="T16" s="1380" t="s">
        <v>5</v>
      </c>
      <c r="U16" s="1381">
        <f t="shared" si="1"/>
        <v>100</v>
      </c>
      <c r="V16" s="1380" t="s">
        <v>5</v>
      </c>
      <c r="W16" s="1381">
        <f t="shared" si="2"/>
        <v>100</v>
      </c>
      <c r="X16" s="1382"/>
      <c r="Y16" s="3791"/>
      <c r="Z16" s="1048">
        <f t="shared" si="7"/>
        <v>111</v>
      </c>
      <c r="AA16" s="1383">
        <f t="shared" si="3"/>
        <v>1</v>
      </c>
      <c r="AB16" s="1383">
        <f t="shared" si="4"/>
        <v>1</v>
      </c>
      <c r="AC16" s="1383">
        <f t="shared" si="5"/>
        <v>1</v>
      </c>
    </row>
    <row r="17" spans="1:29" ht="15">
      <c r="A17" s="2389" t="s">
        <v>2036</v>
      </c>
      <c r="B17" s="159" t="s">
        <v>546</v>
      </c>
      <c r="C17" s="883">
        <f>估价对象房地状况!G15</f>
        <v>0</v>
      </c>
      <c r="D17" s="519">
        <v>100</v>
      </c>
      <c r="E17" s="520"/>
      <c r="F17" s="519">
        <f>SUMIF(84:84,E18,85:85)-SUMIF(84:84,C18,85:85)+100</f>
        <v>100</v>
      </c>
      <c r="G17" s="520"/>
      <c r="H17" s="519">
        <f>SUMIF(84:84,G18,85:85)-SUMIF(84:84,C18,85:85)+100</f>
        <v>100</v>
      </c>
      <c r="I17" s="522"/>
      <c r="J17" s="519">
        <f>SUMIF(84:84,I18,85:85)-SUMIF(84:84,C18,85:85)+100</f>
        <v>100</v>
      </c>
      <c r="K17" s="505"/>
      <c r="L17" s="1864"/>
      <c r="M17" s="1856"/>
      <c r="N17" s="1856"/>
      <c r="O17" s="1863"/>
      <c r="P17" s="3877" t="s">
        <v>489</v>
      </c>
      <c r="Q17" s="1384" t="str">
        <f t="shared" si="6"/>
        <v>产业集聚程度</v>
      </c>
      <c r="R17" s="1385" t="s">
        <v>5</v>
      </c>
      <c r="S17" s="1386">
        <f t="shared" si="0"/>
        <v>100</v>
      </c>
      <c r="T17" s="1385" t="s">
        <v>5</v>
      </c>
      <c r="U17" s="1386">
        <f t="shared" si="1"/>
        <v>100</v>
      </c>
      <c r="V17" s="1385" t="s">
        <v>5</v>
      </c>
      <c r="W17" s="1386">
        <f t="shared" si="2"/>
        <v>100</v>
      </c>
      <c r="X17" s="1379"/>
      <c r="Y17" s="3877" t="s">
        <v>489</v>
      </c>
      <c r="Z17" s="1387" t="str">
        <f t="shared" si="7"/>
        <v>产业集聚程度</v>
      </c>
      <c r="AA17" s="1388">
        <f t="shared" si="3"/>
        <v>1</v>
      </c>
      <c r="AB17" s="1388">
        <f t="shared" si="4"/>
        <v>1</v>
      </c>
      <c r="AC17" s="1388">
        <f t="shared" si="5"/>
        <v>1</v>
      </c>
    </row>
    <row r="18" spans="1:29" ht="15">
      <c r="A18" s="502"/>
      <c r="B18" s="832"/>
      <c r="C18" s="546"/>
      <c r="D18" s="525"/>
      <c r="E18" s="524"/>
      <c r="F18" s="525"/>
      <c r="G18" s="524"/>
      <c r="H18" s="529"/>
      <c r="I18" s="524"/>
      <c r="J18" s="525"/>
      <c r="K18" s="501"/>
      <c r="L18" s="1864"/>
      <c r="M18" s="1856"/>
      <c r="N18" s="1856"/>
      <c r="O18" s="1863"/>
      <c r="P18" s="3878"/>
      <c r="Q18" s="1384"/>
      <c r="R18" s="1385"/>
      <c r="S18" s="1386"/>
      <c r="T18" s="1385"/>
      <c r="U18" s="1386"/>
      <c r="V18" s="1385"/>
      <c r="W18" s="1386"/>
      <c r="X18" s="1379"/>
      <c r="Y18" s="3878"/>
      <c r="Z18" s="1387"/>
      <c r="AA18" s="1388">
        <v>1</v>
      </c>
      <c r="AB18" s="1388">
        <v>1</v>
      </c>
      <c r="AC18" s="1388">
        <v>1</v>
      </c>
    </row>
    <row r="19" spans="1:29" ht="15">
      <c r="A19" s="502"/>
      <c r="B19" s="834" t="s">
        <v>492</v>
      </c>
      <c r="C19" s="835">
        <f>估价对象房地状况!G16</f>
        <v>0</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878"/>
      <c r="Q19" s="1384" t="str">
        <f>B19</f>
        <v>交通便捷度</v>
      </c>
      <c r="R19" s="1385" t="s">
        <v>5</v>
      </c>
      <c r="S19" s="1386">
        <f>F19</f>
        <v>100</v>
      </c>
      <c r="T19" s="1385" t="s">
        <v>5</v>
      </c>
      <c r="U19" s="1386">
        <f>H19</f>
        <v>100</v>
      </c>
      <c r="V19" s="1385" t="s">
        <v>5</v>
      </c>
      <c r="W19" s="1386">
        <f>J19</f>
        <v>100</v>
      </c>
      <c r="X19" s="1379"/>
      <c r="Y19" s="3878"/>
      <c r="Z19" s="1387" t="str">
        <f>Q19</f>
        <v>交通便捷度</v>
      </c>
      <c r="AA19" s="1388">
        <f t="shared" si="3"/>
        <v>1</v>
      </c>
      <c r="AB19" s="1388">
        <f t="shared" si="4"/>
        <v>1</v>
      </c>
      <c r="AC19" s="1388">
        <f t="shared" si="5"/>
        <v>1</v>
      </c>
    </row>
    <row r="20" spans="1:29" ht="15">
      <c r="A20" s="502"/>
      <c r="B20" s="884"/>
      <c r="C20" s="546"/>
      <c r="D20" s="525"/>
      <c r="E20" s="526"/>
      <c r="F20" s="525"/>
      <c r="G20" s="526"/>
      <c r="H20" s="525"/>
      <c r="I20" s="528"/>
      <c r="J20" s="525"/>
      <c r="K20" s="501"/>
      <c r="L20" s="1864"/>
      <c r="M20" s="1856"/>
      <c r="N20" s="1856"/>
      <c r="O20" s="1863"/>
      <c r="P20" s="3878"/>
      <c r="Q20" s="1384"/>
      <c r="R20" s="1385"/>
      <c r="S20" s="1386"/>
      <c r="T20" s="1385"/>
      <c r="U20" s="1386"/>
      <c r="V20" s="1385"/>
      <c r="W20" s="1386"/>
      <c r="X20" s="1379"/>
      <c r="Y20" s="3878"/>
      <c r="Z20" s="1387"/>
      <c r="AA20" s="1388">
        <v>1</v>
      </c>
      <c r="AB20" s="1388">
        <v>1</v>
      </c>
      <c r="AC20" s="1388">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8"/>
      <c r="L21" s="1864"/>
      <c r="M21" s="1856"/>
      <c r="N21" s="1856"/>
      <c r="O21" s="1863"/>
      <c r="P21" s="3878"/>
      <c r="Q21" s="1384" t="str">
        <f t="shared" ref="Q21:Q35" si="8">B21</f>
        <v>区域土地利用方向</v>
      </c>
      <c r="R21" s="1385" t="s">
        <v>5</v>
      </c>
      <c r="S21" s="1386">
        <f>F21</f>
        <v>100</v>
      </c>
      <c r="T21" s="1385" t="s">
        <v>5</v>
      </c>
      <c r="U21" s="1386">
        <f>H21</f>
        <v>100</v>
      </c>
      <c r="V21" s="1385" t="s">
        <v>5</v>
      </c>
      <c r="W21" s="1386">
        <f>J21</f>
        <v>100</v>
      </c>
      <c r="X21" s="1379"/>
      <c r="Y21" s="3878"/>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7"/>
      <c r="L22" s="1864"/>
      <c r="M22" s="1856"/>
      <c r="N22" s="1856"/>
      <c r="O22" s="1863"/>
      <c r="P22" s="3878"/>
      <c r="Q22" s="1384"/>
      <c r="R22" s="1385"/>
      <c r="S22" s="1386"/>
      <c r="T22" s="1385"/>
      <c r="U22" s="1386"/>
      <c r="V22" s="1385"/>
      <c r="W22" s="1386"/>
      <c r="X22" s="1379"/>
      <c r="Y22" s="3878"/>
      <c r="Z22" s="1387"/>
      <c r="AA22" s="1388"/>
      <c r="AB22" s="1388"/>
      <c r="AC22" s="1388"/>
    </row>
    <row r="23" spans="1:29" ht="15">
      <c r="A23" s="485"/>
      <c r="B23" s="884" t="s">
        <v>547</v>
      </c>
      <c r="C23" s="835">
        <f>估价对象房地状况!G18</f>
        <v>0</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878"/>
      <c r="Q23" s="1384" t="str">
        <f t="shared" si="8"/>
        <v>环境状况</v>
      </c>
      <c r="R23" s="1385" t="s">
        <v>5</v>
      </c>
      <c r="S23" s="1386">
        <f>F23</f>
        <v>100</v>
      </c>
      <c r="T23" s="1385" t="s">
        <v>5</v>
      </c>
      <c r="U23" s="1386">
        <f>H23</f>
        <v>100</v>
      </c>
      <c r="V23" s="1385" t="s">
        <v>5</v>
      </c>
      <c r="W23" s="1386">
        <f>J23</f>
        <v>100</v>
      </c>
      <c r="X23" s="1379"/>
      <c r="Y23" s="3878"/>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4"/>
      <c r="M24" s="1856"/>
      <c r="N24" s="1856"/>
      <c r="O24" s="1863"/>
      <c r="P24" s="3878"/>
      <c r="Q24" s="1384"/>
      <c r="R24" s="1385"/>
      <c r="S24" s="1386"/>
      <c r="T24" s="1385"/>
      <c r="U24" s="1386"/>
      <c r="V24" s="1385"/>
      <c r="W24" s="1386"/>
      <c r="X24" s="1379"/>
      <c r="Y24" s="3878"/>
      <c r="Z24" s="1387"/>
      <c r="AA24" s="1388">
        <v>1</v>
      </c>
      <c r="AB24" s="1388">
        <v>1</v>
      </c>
      <c r="AC24" s="1388">
        <v>1</v>
      </c>
    </row>
    <row r="25" spans="1:29" s="1117" customFormat="1" ht="15">
      <c r="A25" s="547"/>
      <c r="B25" s="2200" t="s">
        <v>1831</v>
      </c>
      <c r="C25" s="835">
        <f>估价对象房地状况!G19</f>
        <v>0</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878"/>
      <c r="Q25" s="1049" t="str">
        <f t="shared" si="8"/>
        <v>公共配套设施</v>
      </c>
      <c r="R25" s="1380" t="s">
        <v>5</v>
      </c>
      <c r="S25" s="1381">
        <f>F25</f>
        <v>100</v>
      </c>
      <c r="T25" s="1380" t="s">
        <v>5</v>
      </c>
      <c r="U25" s="1381">
        <f>H25</f>
        <v>100</v>
      </c>
      <c r="V25" s="1380" t="s">
        <v>5</v>
      </c>
      <c r="W25" s="1381">
        <f>J25</f>
        <v>100</v>
      </c>
      <c r="X25" s="1382"/>
      <c r="Y25" s="3878"/>
      <c r="Z25" s="1048" t="str">
        <f>Q25</f>
        <v>公共配套设施</v>
      </c>
      <c r="AA25" s="1388">
        <f>D25/F25</f>
        <v>1</v>
      </c>
      <c r="AB25" s="1388">
        <f>D25/H25</f>
        <v>1</v>
      </c>
      <c r="AC25" s="1388">
        <f>D25/J25</f>
        <v>1</v>
      </c>
    </row>
    <row r="26" spans="1:29" s="1117" customFormat="1" ht="15">
      <c r="A26" s="547"/>
      <c r="B26" s="565"/>
      <c r="C26" s="2199"/>
      <c r="D26" s="525"/>
      <c r="E26" s="524"/>
      <c r="F26" s="525"/>
      <c r="G26" s="524"/>
      <c r="H26" s="525"/>
      <c r="I26" s="546"/>
      <c r="J26" s="525"/>
      <c r="K26" s="501"/>
      <c r="L26" s="1857"/>
      <c r="M26" s="1858"/>
      <c r="N26" s="1858"/>
      <c r="O26" s="1859"/>
      <c r="P26" s="3878"/>
      <c r="Q26" s="1049"/>
      <c r="R26" s="1380"/>
      <c r="S26" s="1381"/>
      <c r="T26" s="1380"/>
      <c r="U26" s="1381"/>
      <c r="V26" s="1380"/>
      <c r="W26" s="1381"/>
      <c r="X26" s="1382"/>
      <c r="Y26" s="3878"/>
      <c r="Z26" s="1048"/>
      <c r="AA26" s="1383">
        <v>1</v>
      </c>
      <c r="AB26" s="1383">
        <v>1</v>
      </c>
      <c r="AC26" s="1383">
        <v>1</v>
      </c>
    </row>
    <row r="27" spans="1:29" s="1117" customFormat="1" ht="15">
      <c r="A27" s="547"/>
      <c r="B27" s="2200" t="s">
        <v>1832</v>
      </c>
      <c r="C27" s="835">
        <f>估价对象房地状况!G20</f>
        <v>0</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878"/>
      <c r="Q27" s="2191" t="str">
        <f>B27</f>
        <v>基础设施水平</v>
      </c>
      <c r="R27" s="1380" t="s">
        <v>5</v>
      </c>
      <c r="S27" s="1381">
        <f>F27</f>
        <v>100</v>
      </c>
      <c r="T27" s="1380" t="s">
        <v>5</v>
      </c>
      <c r="U27" s="1381">
        <f>H27</f>
        <v>100</v>
      </c>
      <c r="V27" s="1380" t="s">
        <v>5</v>
      </c>
      <c r="W27" s="1381">
        <f>J27</f>
        <v>100</v>
      </c>
      <c r="X27" s="1382"/>
      <c r="Y27" s="3878"/>
      <c r="Z27" s="2190" t="str">
        <f>Q27</f>
        <v>基础设施水平</v>
      </c>
      <c r="AA27" s="1388">
        <f>D27/F27</f>
        <v>1</v>
      </c>
      <c r="AB27" s="1388">
        <f>D27/H27</f>
        <v>1</v>
      </c>
      <c r="AC27" s="1388">
        <f>D27/J27</f>
        <v>1</v>
      </c>
    </row>
    <row r="28" spans="1:29" s="1117" customFormat="1" ht="15">
      <c r="A28" s="547"/>
      <c r="B28" s="565"/>
      <c r="C28" s="2199"/>
      <c r="D28" s="525"/>
      <c r="E28" s="549"/>
      <c r="F28" s="525"/>
      <c r="G28" s="549"/>
      <c r="H28" s="525"/>
      <c r="I28" s="549"/>
      <c r="J28" s="525"/>
      <c r="K28" s="501"/>
      <c r="L28" s="1857"/>
      <c r="M28" s="1858"/>
      <c r="N28" s="1858"/>
      <c r="O28" s="1859"/>
      <c r="P28" s="3878"/>
      <c r="Q28" s="2191"/>
      <c r="R28" s="1380"/>
      <c r="S28" s="1381"/>
      <c r="T28" s="1380"/>
      <c r="U28" s="1381"/>
      <c r="V28" s="1380"/>
      <c r="W28" s="1381"/>
      <c r="X28" s="1382"/>
      <c r="Y28" s="3878"/>
      <c r="Z28" s="2190"/>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878"/>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878"/>
      <c r="Z29" s="1387" t="str">
        <f t="shared" ref="Z29:Z42" si="12">Q29</f>
        <v>临街状况</v>
      </c>
      <c r="AA29" s="1388">
        <f t="shared" si="3"/>
        <v>1</v>
      </c>
      <c r="AB29" s="1388">
        <f t="shared" si="4"/>
        <v>1</v>
      </c>
      <c r="AC29" s="1388">
        <f t="shared" si="5"/>
        <v>1</v>
      </c>
    </row>
    <row r="30" spans="1:29" ht="27">
      <c r="A30" s="502"/>
      <c r="B30" s="884"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878"/>
      <c r="Q30" s="1384" t="str">
        <f t="shared" si="8"/>
        <v>毗邻道路的类型与等级</v>
      </c>
      <c r="R30" s="1385" t="s">
        <v>5</v>
      </c>
      <c r="S30" s="1386">
        <f t="shared" si="9"/>
        <v>100</v>
      </c>
      <c r="T30" s="1385" t="s">
        <v>5</v>
      </c>
      <c r="U30" s="1386">
        <f t="shared" si="10"/>
        <v>100</v>
      </c>
      <c r="V30" s="1385" t="s">
        <v>5</v>
      </c>
      <c r="W30" s="1386">
        <f t="shared" si="11"/>
        <v>100</v>
      </c>
      <c r="X30" s="1379"/>
      <c r="Y30" s="3878"/>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4"/>
      <c r="M31" s="1856"/>
      <c r="N31" s="1856"/>
      <c r="O31" s="1863"/>
      <c r="P31" s="3878"/>
      <c r="Q31" s="1384"/>
      <c r="R31" s="1385"/>
      <c r="S31" s="1386"/>
      <c r="T31" s="1385"/>
      <c r="U31" s="1386"/>
      <c r="V31" s="1385"/>
      <c r="W31" s="1386"/>
      <c r="X31" s="1379"/>
      <c r="Y31" s="3878"/>
      <c r="Z31" s="1387"/>
      <c r="AA31" s="1388">
        <v>1</v>
      </c>
      <c r="AB31" s="1388">
        <v>1</v>
      </c>
      <c r="AC31" s="1388">
        <v>1</v>
      </c>
    </row>
    <row r="32" spans="1:29" ht="15">
      <c r="A32" s="502"/>
      <c r="B32" s="497" t="s">
        <v>498</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878"/>
      <c r="Q32" s="1384" t="str">
        <f t="shared" si="8"/>
        <v>土地级别</v>
      </c>
      <c r="R32" s="1385" t="s">
        <v>5</v>
      </c>
      <c r="S32" s="1386">
        <f t="shared" si="9"/>
        <v>100</v>
      </c>
      <c r="T32" s="1385" t="s">
        <v>5</v>
      </c>
      <c r="U32" s="1386">
        <f t="shared" si="10"/>
        <v>100</v>
      </c>
      <c r="V32" s="1385" t="s">
        <v>5</v>
      </c>
      <c r="W32" s="1386">
        <f t="shared" si="11"/>
        <v>100</v>
      </c>
      <c r="X32" s="1379"/>
      <c r="Y32" s="3878"/>
      <c r="Z32" s="1387" t="str">
        <f t="shared" si="12"/>
        <v>土地级别</v>
      </c>
      <c r="AA32" s="1388">
        <f t="shared" si="3"/>
        <v>1</v>
      </c>
      <c r="AB32" s="1388">
        <f t="shared" si="4"/>
        <v>1</v>
      </c>
      <c r="AC32" s="138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878"/>
      <c r="Q33" s="1384">
        <f t="shared" si="8"/>
        <v>111</v>
      </c>
      <c r="R33" s="1385" t="s">
        <v>5</v>
      </c>
      <c r="S33" s="1386">
        <f t="shared" si="9"/>
        <v>100</v>
      </c>
      <c r="T33" s="1385" t="s">
        <v>5</v>
      </c>
      <c r="U33" s="1386">
        <f t="shared" si="10"/>
        <v>100</v>
      </c>
      <c r="V33" s="1385" t="s">
        <v>5</v>
      </c>
      <c r="W33" s="1386">
        <f t="shared" si="11"/>
        <v>100</v>
      </c>
      <c r="X33" s="1379"/>
      <c r="Y33" s="3878"/>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879" t="s">
        <v>499</v>
      </c>
      <c r="Q34" s="1384">
        <f t="shared" si="8"/>
        <v>111</v>
      </c>
      <c r="R34" s="1385" t="s">
        <v>5</v>
      </c>
      <c r="S34" s="1386">
        <f t="shared" si="9"/>
        <v>100</v>
      </c>
      <c r="T34" s="1385" t="s">
        <v>5</v>
      </c>
      <c r="U34" s="1386">
        <f t="shared" si="10"/>
        <v>100</v>
      </c>
      <c r="V34" s="1385" t="s">
        <v>5</v>
      </c>
      <c r="W34" s="1386">
        <f t="shared" si="11"/>
        <v>100</v>
      </c>
      <c r="X34" s="1379"/>
      <c r="Y34" s="3880" t="s">
        <v>499</v>
      </c>
      <c r="Z34" s="1387">
        <f t="shared" si="12"/>
        <v>111</v>
      </c>
      <c r="AA34" s="1388">
        <f t="shared" si="3"/>
        <v>1</v>
      </c>
      <c r="AB34" s="1388">
        <f t="shared" si="4"/>
        <v>1</v>
      </c>
      <c r="AC34" s="1388">
        <f t="shared" si="5"/>
        <v>1</v>
      </c>
    </row>
    <row r="35" spans="1:29" s="1199"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880"/>
      <c r="Q35" s="1384">
        <f t="shared" si="8"/>
        <v>111</v>
      </c>
      <c r="R35" s="1389" t="s">
        <v>5</v>
      </c>
      <c r="S35" s="1390">
        <f t="shared" si="9"/>
        <v>100</v>
      </c>
      <c r="T35" s="1389" t="s">
        <v>5</v>
      </c>
      <c r="U35" s="1390">
        <f t="shared" si="10"/>
        <v>100</v>
      </c>
      <c r="V35" s="1389" t="s">
        <v>5</v>
      </c>
      <c r="W35" s="1390">
        <f t="shared" si="11"/>
        <v>100</v>
      </c>
      <c r="X35" s="1391"/>
      <c r="Y35" s="3880"/>
      <c r="Z35" s="1392">
        <f t="shared" si="12"/>
        <v>111</v>
      </c>
      <c r="AA35" s="1388">
        <f t="shared" si="3"/>
        <v>1</v>
      </c>
      <c r="AB35" s="1388">
        <f t="shared" si="4"/>
        <v>1</v>
      </c>
      <c r="AC35" s="1388">
        <f t="shared" si="5"/>
        <v>1</v>
      </c>
    </row>
    <row r="36" spans="1:29" ht="15">
      <c r="A36" s="2386"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4"/>
      <c r="M36" s="1856"/>
      <c r="N36" s="1856"/>
      <c r="O36" s="1863"/>
      <c r="P36" s="3880"/>
      <c r="Q36" s="1384" t="str">
        <f>B36</f>
        <v>宗地面积</v>
      </c>
      <c r="R36" s="1385" t="s">
        <v>5</v>
      </c>
      <c r="S36" s="1386" t="e">
        <f t="shared" si="9"/>
        <v>#N/A</v>
      </c>
      <c r="T36" s="1385" t="s">
        <v>5</v>
      </c>
      <c r="U36" s="1386" t="e">
        <f t="shared" si="10"/>
        <v>#N/A</v>
      </c>
      <c r="V36" s="1385" t="s">
        <v>5</v>
      </c>
      <c r="W36" s="1386" t="e">
        <f t="shared" si="11"/>
        <v>#N/A</v>
      </c>
      <c r="X36" s="1379"/>
      <c r="Y36" s="3880"/>
      <c r="Z36" s="1387" t="str">
        <f t="shared" si="12"/>
        <v>宗地面积</v>
      </c>
      <c r="AA36" s="1388" t="e">
        <f t="shared" si="3"/>
        <v>#N/A</v>
      </c>
      <c r="AB36" s="1388" t="e">
        <f t="shared" si="4"/>
        <v>#N/A</v>
      </c>
      <c r="AC36" s="1388"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880"/>
      <c r="Q37" s="1384" t="str">
        <f t="shared" ref="Q37:Q42" si="13">B37</f>
        <v>宗地形状</v>
      </c>
      <c r="R37" s="1385" t="s">
        <v>5</v>
      </c>
      <c r="S37" s="1386">
        <f t="shared" si="9"/>
        <v>100</v>
      </c>
      <c r="T37" s="1385" t="s">
        <v>5</v>
      </c>
      <c r="U37" s="1386">
        <f t="shared" si="10"/>
        <v>100</v>
      </c>
      <c r="V37" s="1385" t="s">
        <v>5</v>
      </c>
      <c r="W37" s="1386">
        <f t="shared" si="11"/>
        <v>100</v>
      </c>
      <c r="X37" s="1379"/>
      <c r="Y37" s="3880"/>
      <c r="Z37" s="1387" t="str">
        <f t="shared" si="12"/>
        <v>宗地形状</v>
      </c>
      <c r="AA37" s="1388">
        <f t="shared" si="3"/>
        <v>1</v>
      </c>
      <c r="AB37" s="1388">
        <f t="shared" si="4"/>
        <v>1</v>
      </c>
      <c r="AC37" s="1388">
        <f t="shared" si="5"/>
        <v>1</v>
      </c>
    </row>
    <row r="38" spans="1:29" s="1117" customFormat="1" ht="15">
      <c r="A38" s="570"/>
      <c r="B38" s="1650"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880"/>
      <c r="Q38" s="1384" t="str">
        <f t="shared" si="13"/>
        <v>宗地开发程度</v>
      </c>
      <c r="R38" s="1380" t="s">
        <v>5</v>
      </c>
      <c r="S38" s="1381">
        <f t="shared" si="9"/>
        <v>100</v>
      </c>
      <c r="T38" s="1380" t="s">
        <v>5</v>
      </c>
      <c r="U38" s="1381">
        <f t="shared" si="10"/>
        <v>100</v>
      </c>
      <c r="V38" s="1380" t="s">
        <v>5</v>
      </c>
      <c r="W38" s="1381">
        <f t="shared" si="11"/>
        <v>100</v>
      </c>
      <c r="X38" s="1382"/>
      <c r="Y38" s="3880"/>
      <c r="Z38" s="1048"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880" t="s">
        <v>549</v>
      </c>
      <c r="Q39" s="1384" t="str">
        <f t="shared" si="13"/>
        <v>工程地质条件</v>
      </c>
      <c r="R39" s="1385" t="s">
        <v>5</v>
      </c>
      <c r="S39" s="1386">
        <f t="shared" si="9"/>
        <v>100</v>
      </c>
      <c r="T39" s="1385" t="s">
        <v>5</v>
      </c>
      <c r="U39" s="1386">
        <f t="shared" si="10"/>
        <v>100</v>
      </c>
      <c r="V39" s="1385" t="s">
        <v>5</v>
      </c>
      <c r="W39" s="1386">
        <f t="shared" si="11"/>
        <v>100</v>
      </c>
      <c r="X39" s="1379"/>
      <c r="Y39" s="3880"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880"/>
      <c r="Q40" s="1384">
        <f t="shared" si="13"/>
        <v>111</v>
      </c>
      <c r="R40" s="1385" t="s">
        <v>5</v>
      </c>
      <c r="S40" s="1386">
        <f t="shared" si="9"/>
        <v>100</v>
      </c>
      <c r="T40" s="1385" t="s">
        <v>5</v>
      </c>
      <c r="U40" s="1386">
        <f t="shared" si="10"/>
        <v>100</v>
      </c>
      <c r="V40" s="1385" t="s">
        <v>5</v>
      </c>
      <c r="W40" s="1386">
        <f t="shared" si="11"/>
        <v>100</v>
      </c>
      <c r="X40" s="1379"/>
      <c r="Y40" s="3880"/>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880"/>
      <c r="Q41" s="1384">
        <f t="shared" si="13"/>
        <v>111</v>
      </c>
      <c r="R41" s="1385" t="s">
        <v>5</v>
      </c>
      <c r="S41" s="1386">
        <f t="shared" si="9"/>
        <v>100</v>
      </c>
      <c r="T41" s="1385" t="s">
        <v>5</v>
      </c>
      <c r="U41" s="1386">
        <f t="shared" si="10"/>
        <v>100</v>
      </c>
      <c r="V41" s="1385" t="s">
        <v>5</v>
      </c>
      <c r="W41" s="1386">
        <f t="shared" si="11"/>
        <v>100</v>
      </c>
      <c r="X41" s="1379"/>
      <c r="Y41" s="3880"/>
      <c r="Z41" s="1387">
        <f t="shared" si="12"/>
        <v>111</v>
      </c>
      <c r="AA41" s="1388">
        <f t="shared" si="3"/>
        <v>1</v>
      </c>
      <c r="AB41" s="1388">
        <f t="shared" si="4"/>
        <v>1</v>
      </c>
      <c r="AC41" s="1388">
        <f t="shared" si="5"/>
        <v>1</v>
      </c>
    </row>
    <row r="42" spans="1:29" s="1199"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880"/>
      <c r="Q42" s="1384">
        <f t="shared" si="13"/>
        <v>111</v>
      </c>
      <c r="R42" s="1389" t="s">
        <v>5</v>
      </c>
      <c r="S42" s="1390">
        <f t="shared" si="9"/>
        <v>100</v>
      </c>
      <c r="T42" s="1389" t="s">
        <v>5</v>
      </c>
      <c r="U42" s="1390">
        <f t="shared" si="10"/>
        <v>100</v>
      </c>
      <c r="V42" s="1389" t="s">
        <v>5</v>
      </c>
      <c r="W42" s="1390">
        <f t="shared" si="11"/>
        <v>100</v>
      </c>
      <c r="X42" s="1391"/>
      <c r="Y42" s="3880"/>
      <c r="Z42" s="1392">
        <f t="shared" si="12"/>
        <v>111</v>
      </c>
      <c r="AA42" s="1388">
        <f t="shared" si="3"/>
        <v>1</v>
      </c>
      <c r="AB42" s="1388">
        <f t="shared" si="4"/>
        <v>1</v>
      </c>
      <c r="AC42" s="1388">
        <f t="shared" si="5"/>
        <v>1</v>
      </c>
    </row>
    <row r="43" spans="1:29" ht="15">
      <c r="A43" s="577" t="s">
        <v>505</v>
      </c>
      <c r="B43" s="578" t="s">
        <v>2188</v>
      </c>
      <c r="C43" s="579" t="s">
        <v>0</v>
      </c>
      <c r="D43" s="580"/>
      <c r="E43" s="581"/>
      <c r="F43" s="582"/>
      <c r="G43" s="583"/>
      <c r="H43" s="584"/>
      <c r="I43" s="581"/>
      <c r="J43" s="584"/>
      <c r="K43" s="1200"/>
      <c r="L43" s="1866"/>
      <c r="M43" s="1856"/>
      <c r="N43" s="1856"/>
      <c r="O43" s="1867"/>
      <c r="P43" s="3843" t="str">
        <f>A43</f>
        <v>成交单价</v>
      </c>
      <c r="Q43" s="3843"/>
      <c r="R43" s="3844">
        <f>E43</f>
        <v>0</v>
      </c>
      <c r="S43" s="3844"/>
      <c r="T43" s="3844">
        <f>G43</f>
        <v>0</v>
      </c>
      <c r="U43" s="3844"/>
      <c r="V43" s="3844">
        <f>I43</f>
        <v>0</v>
      </c>
      <c r="W43" s="3844"/>
      <c r="X43" s="1374"/>
      <c r="Y43" s="1393"/>
      <c r="Z43" s="1374"/>
      <c r="AA43" s="1374"/>
      <c r="AB43" s="1374"/>
      <c r="AC43" s="1374"/>
    </row>
    <row r="44" spans="1:29" ht="15.75" thickBot="1">
      <c r="A44" s="585" t="s">
        <v>1975</v>
      </c>
      <c r="B44" s="586"/>
      <c r="C44" s="587" t="e">
        <f>R45</f>
        <v>#DIV/0!</v>
      </c>
      <c r="D44" s="2756" t="s">
        <v>2252</v>
      </c>
      <c r="E44" s="587" t="e">
        <f>R44</f>
        <v>#DIV/0!</v>
      </c>
      <c r="F44" s="2757"/>
      <c r="G44" s="588" t="e">
        <f>T44</f>
        <v>#DIV/0!</v>
      </c>
      <c r="H44" s="2757"/>
      <c r="I44" s="587" t="e">
        <f>V44</f>
        <v>#DIV/0!</v>
      </c>
      <c r="J44" s="2757"/>
      <c r="K44" s="2758">
        <f>F44+H44+J44</f>
        <v>0</v>
      </c>
      <c r="L44" s="1866"/>
      <c r="M44" s="1856"/>
      <c r="N44" s="1856"/>
      <c r="O44" s="1867"/>
      <c r="P44" s="3843" t="str">
        <f>A44</f>
        <v>比较价格（元/平方米）</v>
      </c>
      <c r="Q44" s="3843"/>
      <c r="R44" s="3845" t="e">
        <f>ROUND(PRODUCT(R43,AA9:AA42),0)</f>
        <v>#DIV/0!</v>
      </c>
      <c r="S44" s="3845"/>
      <c r="T44" s="3845" t="e">
        <f>ROUND(PRODUCT(T43,AB9:AB42),0)</f>
        <v>#DIV/0!</v>
      </c>
      <c r="U44" s="3845"/>
      <c r="V44" s="3845" t="e">
        <f>ROUND(PRODUCT(V43,AC9:AC42),0)</f>
        <v>#DIV/0!</v>
      </c>
      <c r="W44" s="3845"/>
      <c r="X44" s="1374"/>
      <c r="Y44" s="1374"/>
      <c r="Z44" s="1374"/>
      <c r="AA44" s="1374"/>
      <c r="AB44" s="1374"/>
      <c r="AC44" s="1374"/>
    </row>
    <row r="45" spans="1:29" ht="15.75" thickBot="1">
      <c r="A45" s="589" t="s">
        <v>2189</v>
      </c>
      <c r="B45" s="590"/>
      <c r="C45" s="591" t="e">
        <f>R45</f>
        <v>#DIV/0!</v>
      </c>
      <c r="D45" s="591"/>
      <c r="E45" s="591"/>
      <c r="F45" s="591"/>
      <c r="G45" s="591"/>
      <c r="H45" s="591"/>
      <c r="I45" s="591"/>
      <c r="J45" s="591"/>
      <c r="K45" s="1201"/>
      <c r="L45" s="1866"/>
      <c r="M45" s="1856"/>
      <c r="N45" s="1856"/>
      <c r="O45" s="1867"/>
      <c r="P45" s="3881" t="str">
        <f>A45</f>
        <v>估价对象XX用房的比较价格（楼面单价，元/平方米）</v>
      </c>
      <c r="Q45" s="3882"/>
      <c r="R45" s="3897" t="e">
        <f>ROUND(IF(D44="简单平均",AVERAGE(R44:W44),R44*F44+T44*H44+V44*J44),0)</f>
        <v>#DIV/0!</v>
      </c>
      <c r="S45" s="3897"/>
      <c r="T45" s="3897"/>
      <c r="U45" s="3897"/>
      <c r="V45" s="3897"/>
      <c r="W45" s="3897"/>
      <c r="X45" s="1374"/>
      <c r="Y45" s="1374"/>
      <c r="Z45" s="1374"/>
      <c r="AA45" s="1374"/>
      <c r="AB45" s="1374"/>
      <c r="AC45" s="1374"/>
    </row>
    <row r="46" spans="1:29">
      <c r="A46" s="2956"/>
      <c r="B46" s="2956"/>
      <c r="C46" s="2956"/>
      <c r="D46" s="2956"/>
      <c r="E46" s="2956"/>
      <c r="F46" s="2956"/>
      <c r="G46" s="2958"/>
      <c r="H46" s="2956"/>
      <c r="I46" s="2956"/>
      <c r="J46" s="2956"/>
      <c r="K46" s="2959"/>
      <c r="L46" s="1871"/>
      <c r="M46" s="1856"/>
      <c r="N46" s="1856"/>
      <c r="O46" s="1867"/>
      <c r="P46" s="1867"/>
      <c r="Q46" s="1867"/>
      <c r="R46" s="1867"/>
      <c r="S46" s="1867"/>
      <c r="T46" s="1867"/>
      <c r="U46" s="1867"/>
      <c r="V46" s="1867"/>
      <c r="W46" s="1867"/>
      <c r="X46" s="1867"/>
      <c r="Y46" s="1867"/>
      <c r="Z46" s="1867"/>
      <c r="AA46" s="1867"/>
      <c r="AB46" s="1867"/>
      <c r="AC46" s="1867"/>
    </row>
    <row r="47" spans="1:29">
      <c r="A47" s="2956"/>
      <c r="B47" s="2956"/>
      <c r="C47" s="2956"/>
      <c r="D47" s="2956"/>
      <c r="E47" s="2956"/>
      <c r="F47" s="2956"/>
      <c r="G47" s="2956"/>
      <c r="H47" s="2956"/>
      <c r="I47" s="2956"/>
      <c r="J47" s="2956"/>
      <c r="K47" s="2959"/>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6"/>
      <c r="B48" s="2956"/>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9"/>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6"/>
      <c r="B49" s="2956"/>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9"/>
      <c r="L49" s="1871"/>
      <c r="M49" s="1867"/>
      <c r="N49" s="1867"/>
      <c r="O49" s="1867"/>
      <c r="P49" s="1867"/>
      <c r="Q49" s="1867"/>
      <c r="R49" s="1867"/>
      <c r="S49" s="1867"/>
      <c r="T49" s="1867"/>
      <c r="U49" s="1867"/>
      <c r="V49" s="1867"/>
      <c r="W49" s="1867"/>
      <c r="X49" s="1867"/>
      <c r="Y49" s="1867"/>
      <c r="Z49" s="1867"/>
      <c r="AA49" s="1867"/>
      <c r="AB49" s="1867"/>
      <c r="AC49" s="1867"/>
    </row>
    <row r="50" spans="1:29" s="1204" customFormat="1" ht="13.5" customHeight="1">
      <c r="A50" s="2957"/>
      <c r="B50" s="2957"/>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0"/>
      <c r="L50" s="1874"/>
      <c r="M50" s="1868"/>
      <c r="N50" s="1868"/>
      <c r="O50" s="1868"/>
      <c r="P50" s="1868"/>
      <c r="Q50" s="1868"/>
      <c r="R50" s="1868"/>
      <c r="S50" s="1868"/>
      <c r="T50" s="1868"/>
      <c r="U50" s="1868"/>
      <c r="V50" s="1868"/>
      <c r="W50" s="1868"/>
      <c r="X50" s="1868"/>
      <c r="Y50" s="1868"/>
      <c r="Z50" s="1868"/>
      <c r="AA50" s="1868"/>
      <c r="AB50" s="1868"/>
      <c r="AC50" s="1868"/>
    </row>
    <row r="51" spans="1:29" s="1204" customFormat="1" ht="15" thickBot="1">
      <c r="A51" s="2957"/>
      <c r="B51" s="2968"/>
      <c r="C51" s="1872"/>
      <c r="D51" s="1868"/>
      <c r="E51" s="1868"/>
      <c r="F51" s="1868"/>
      <c r="G51" s="1868"/>
      <c r="H51" s="1868"/>
      <c r="I51" s="1868"/>
      <c r="J51" s="1868"/>
      <c r="K51" s="2960"/>
      <c r="L51" s="1874"/>
      <c r="M51" s="1868"/>
      <c r="N51" s="1868"/>
      <c r="O51" s="1868"/>
      <c r="P51" s="1868"/>
      <c r="Q51" s="1868"/>
      <c r="R51" s="1868"/>
      <c r="S51" s="1868"/>
      <c r="T51" s="1868"/>
      <c r="U51" s="1868"/>
      <c r="V51" s="1868"/>
      <c r="W51" s="1868"/>
      <c r="X51" s="1868"/>
      <c r="Y51" s="1868"/>
      <c r="Z51" s="1868"/>
      <c r="AA51" s="1868"/>
      <c r="AB51" s="1868"/>
      <c r="AC51" s="1868"/>
    </row>
    <row r="52" spans="1:29" ht="27">
      <c r="A52" s="597" t="s">
        <v>509</v>
      </c>
      <c r="B52" s="598" t="s">
        <v>510</v>
      </c>
      <c r="C52" s="1375" t="s">
        <v>1253</v>
      </c>
      <c r="D52" s="1945" t="s">
        <v>1650</v>
      </c>
      <c r="E52" s="599" t="s">
        <v>511</v>
      </c>
      <c r="F52" s="1706" t="s">
        <v>512</v>
      </c>
      <c r="G52" s="3893" t="s">
        <v>1642</v>
      </c>
      <c r="H52" s="3894"/>
      <c r="I52" s="1707" t="s">
        <v>1465</v>
      </c>
      <c r="J52" s="1371">
        <f>项目基本情况!F41</f>
        <v>0</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5" customFormat="1" ht="12.75">
      <c r="A53" s="601" t="s">
        <v>513</v>
      </c>
      <c r="B53" s="602" t="e">
        <f>C45</f>
        <v>#DIV/0!</v>
      </c>
      <c r="C53" s="603">
        <v>1</v>
      </c>
      <c r="D53" s="1946">
        <v>1</v>
      </c>
      <c r="E53" s="603">
        <f>'数据-汇总表'!E8+'数据-汇总表'!E9</f>
        <v>38371.56</v>
      </c>
      <c r="F53" s="1705" t="e">
        <f t="shared" ref="F53:F61" si="14">ROUND(B53*E53/10000,0)</f>
        <v>#DIV/0!</v>
      </c>
      <c r="G53" s="3895"/>
      <c r="H53" s="3896"/>
      <c r="I53" s="1708">
        <v>1</v>
      </c>
      <c r="J53" s="1372">
        <v>1</v>
      </c>
      <c r="K53" s="2961"/>
      <c r="L53" s="1876"/>
      <c r="M53" s="1876"/>
      <c r="N53" s="1876"/>
      <c r="O53" s="1876"/>
      <c r="P53" s="1876"/>
      <c r="Q53" s="1876"/>
      <c r="R53" s="1876"/>
      <c r="S53" s="1876"/>
      <c r="T53" s="1876"/>
      <c r="U53" s="1876"/>
      <c r="V53" s="1876"/>
      <c r="W53" s="1876"/>
      <c r="X53" s="1876"/>
      <c r="Y53" s="1876"/>
      <c r="Z53" s="1876"/>
      <c r="AA53" s="1876"/>
      <c r="AB53" s="1876"/>
      <c r="AC53" s="1876"/>
    </row>
    <row r="54" spans="1:29" s="1205" customFormat="1" ht="12.75">
      <c r="A54" s="605" t="s">
        <v>514</v>
      </c>
      <c r="B54" s="606" t="e">
        <f>ROUND($C$45*C54*D54,0)</f>
        <v>#DIV/0!</v>
      </c>
      <c r="C54" s="365">
        <f t="shared" ref="C54:C61" si="15">IF($C$52="北京市系数",I54,J54)</f>
        <v>0</v>
      </c>
      <c r="D54" s="1947">
        <v>0.25</v>
      </c>
      <c r="E54" s="607"/>
      <c r="F54" s="1705" t="e">
        <f t="shared" si="14"/>
        <v>#DIV/0!</v>
      </c>
      <c r="G54" s="3278" t="s">
        <v>1643</v>
      </c>
      <c r="H54" s="1709">
        <f>项目基本情况!B43</f>
        <v>0</v>
      </c>
      <c r="I54" s="1708">
        <f>SUMIF(修正!$A$57:$A$68,H54,修正!B57:B68)</f>
        <v>0</v>
      </c>
      <c r="J54" s="1373"/>
      <c r="K54" s="2961"/>
      <c r="L54" s="1876"/>
      <c r="M54" s="1876"/>
      <c r="N54" s="1876"/>
      <c r="O54" s="1876"/>
      <c r="P54" s="1876"/>
      <c r="Q54" s="1876"/>
      <c r="R54" s="1876"/>
      <c r="S54" s="1876"/>
      <c r="T54" s="1876"/>
      <c r="U54" s="1876"/>
      <c r="V54" s="1876"/>
      <c r="W54" s="1876"/>
      <c r="X54" s="1876"/>
      <c r="Y54" s="1876"/>
      <c r="Z54" s="1876"/>
      <c r="AA54" s="1876"/>
      <c r="AB54" s="1876"/>
      <c r="AC54" s="1876"/>
    </row>
    <row r="55" spans="1:29" s="1205" customFormat="1" ht="12.75">
      <c r="A55" s="605" t="s">
        <v>515</v>
      </c>
      <c r="B55" s="606" t="e">
        <f t="shared" ref="B55:B61" si="16">ROUND($C$45*C55*D55,0)</f>
        <v>#DIV/0!</v>
      </c>
      <c r="C55" s="365">
        <f t="shared" si="15"/>
        <v>0</v>
      </c>
      <c r="D55" s="1947">
        <v>0.25</v>
      </c>
      <c r="E55" s="607"/>
      <c r="F55" s="1705" t="e">
        <f t="shared" si="14"/>
        <v>#DIV/0!</v>
      </c>
      <c r="G55" s="3279"/>
      <c r="H55" s="1710">
        <f>项目基本情况!B43</f>
        <v>0</v>
      </c>
      <c r="I55" s="1708">
        <f>SUMIF(修正!$A$57:$A$68,H55,修正!C57:C68)</f>
        <v>0</v>
      </c>
      <c r="J55" s="1373"/>
      <c r="K55" s="2961"/>
      <c r="L55" s="1876"/>
      <c r="M55" s="1876"/>
      <c r="N55" s="1876"/>
      <c r="O55" s="1876"/>
      <c r="P55" s="1876"/>
      <c r="Q55" s="1876"/>
      <c r="R55" s="1876"/>
      <c r="S55" s="1876"/>
      <c r="T55" s="1876"/>
      <c r="U55" s="1876"/>
      <c r="V55" s="1876"/>
      <c r="W55" s="1876"/>
      <c r="X55" s="1876"/>
      <c r="Y55" s="1876"/>
      <c r="Z55" s="1876"/>
      <c r="AA55" s="1876"/>
      <c r="AB55" s="1876"/>
      <c r="AC55" s="1876"/>
    </row>
    <row r="56" spans="1:29" s="1205" customFormat="1" ht="12.75">
      <c r="A56" s="605" t="s">
        <v>516</v>
      </c>
      <c r="B56" s="606" t="e">
        <f t="shared" si="16"/>
        <v>#DIV/0!</v>
      </c>
      <c r="C56" s="365">
        <f t="shared" si="15"/>
        <v>0</v>
      </c>
      <c r="D56" s="1947">
        <v>0.25</v>
      </c>
      <c r="E56" s="607"/>
      <c r="F56" s="1705" t="e">
        <f t="shared" si="14"/>
        <v>#DIV/0!</v>
      </c>
      <c r="G56" s="3279"/>
      <c r="H56" s="1710">
        <f>项目基本情况!B43</f>
        <v>0</v>
      </c>
      <c r="I56" s="1708">
        <f>SUMIF(修正!$A$57:$A$68,H56,修正!D57:D68)</f>
        <v>0</v>
      </c>
      <c r="J56" s="1373"/>
      <c r="K56" s="2961"/>
      <c r="L56" s="1876"/>
      <c r="M56" s="1876"/>
      <c r="N56" s="1876"/>
      <c r="O56" s="1876"/>
      <c r="P56" s="1876"/>
      <c r="Q56" s="1876"/>
      <c r="R56" s="1876"/>
      <c r="S56" s="1876"/>
      <c r="T56" s="1876"/>
      <c r="U56" s="1876"/>
      <c r="V56" s="1876"/>
      <c r="W56" s="1876"/>
      <c r="X56" s="1876"/>
      <c r="Y56" s="1876"/>
      <c r="Z56" s="1876"/>
      <c r="AA56" s="1876"/>
      <c r="AB56" s="1876"/>
      <c r="AC56" s="1876"/>
    </row>
    <row r="57" spans="1:29" s="1205" customFormat="1" ht="12.75">
      <c r="A57" s="2049" t="s">
        <v>1685</v>
      </c>
      <c r="B57" s="606" t="e">
        <f t="shared" si="16"/>
        <v>#DIV/0!</v>
      </c>
      <c r="C57" s="365">
        <f t="shared" si="15"/>
        <v>0</v>
      </c>
      <c r="D57" s="1947">
        <v>0.25</v>
      </c>
      <c r="E57" s="609">
        <f>'数据-汇总表'!E11</f>
        <v>0</v>
      </c>
      <c r="F57" s="1705" t="e">
        <f t="shared" si="14"/>
        <v>#DIV/0!</v>
      </c>
      <c r="G57" s="1711" t="s">
        <v>1644</v>
      </c>
      <c r="H57" s="1710">
        <f>项目基本情况!C43</f>
        <v>0</v>
      </c>
      <c r="I57" s="1708">
        <f>SUMIF(修正!$A$57:$A$68,H57,修正!E57:E68)</f>
        <v>0</v>
      </c>
      <c r="J57" s="1373"/>
      <c r="K57" s="2961"/>
      <c r="L57" s="1876"/>
      <c r="M57" s="1876"/>
      <c r="N57" s="1876"/>
      <c r="O57" s="1876"/>
      <c r="P57" s="1876"/>
      <c r="Q57" s="1876"/>
      <c r="R57" s="1876"/>
      <c r="S57" s="1876"/>
      <c r="T57" s="1876"/>
      <c r="U57" s="1876"/>
      <c r="V57" s="1876"/>
      <c r="W57" s="1876"/>
      <c r="X57" s="1876"/>
      <c r="Y57" s="1876"/>
      <c r="Z57" s="1876"/>
      <c r="AA57" s="1876"/>
      <c r="AB57" s="1876"/>
      <c r="AC57" s="1876"/>
    </row>
    <row r="58" spans="1:29" s="1205" customFormat="1" ht="12.75">
      <c r="A58" s="605" t="s">
        <v>517</v>
      </c>
      <c r="B58" s="606" t="e">
        <f t="shared" si="16"/>
        <v>#DIV/0!</v>
      </c>
      <c r="C58" s="365">
        <f t="shared" si="15"/>
        <v>0</v>
      </c>
      <c r="D58" s="1947">
        <v>0.25</v>
      </c>
      <c r="E58" s="609">
        <f>'数据-汇总表'!E12</f>
        <v>0</v>
      </c>
      <c r="F58" s="1705" t="e">
        <f t="shared" si="14"/>
        <v>#DIV/0!</v>
      </c>
      <c r="G58" s="1701" t="s">
        <v>1212</v>
      </c>
      <c r="H58" s="1709">
        <f>IF(G58="商业",项目基本情况!B43,IF(G58="办公",项目基本情况!C43,IF(G58="住宅",项目基本情况!D43,项目基本情况!E43)))</f>
        <v>0</v>
      </c>
      <c r="I58" s="1708">
        <f>SUMIF(修正!$A$57:$A$68,H58,修正!F57:F68)</f>
        <v>0</v>
      </c>
      <c r="J58" s="1373"/>
      <c r="K58" s="2961"/>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5" t="s">
        <v>518</v>
      </c>
      <c r="B59" s="606" t="e">
        <f t="shared" si="16"/>
        <v>#DIV/0!</v>
      </c>
      <c r="C59" s="365">
        <f t="shared" si="15"/>
        <v>0.15</v>
      </c>
      <c r="D59" s="1947">
        <v>0.25</v>
      </c>
      <c r="E59" s="609">
        <f>'数据-汇总表'!E13</f>
        <v>14080</v>
      </c>
      <c r="F59" s="1705" t="e">
        <f t="shared" si="14"/>
        <v>#DIV/0!</v>
      </c>
      <c r="G59" s="1701" t="s">
        <v>851</v>
      </c>
      <c r="H59" s="1709" t="str">
        <f>IF(G59="商业",项目基本情况!B43,IF(G59="办公",项目基本情况!C43,IF(G59="住宅",项目基本情况!D43,项目基本情况!E43)))</f>
        <v>六级</v>
      </c>
      <c r="I59" s="1708">
        <f>SUMIF(修正!$A$57:$A$68,H59,修正!G57:G68)</f>
        <v>0.15</v>
      </c>
      <c r="J59" s="1373"/>
      <c r="K59" s="2961"/>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5" t="s">
        <v>519</v>
      </c>
      <c r="B60" s="606" t="e">
        <f t="shared" si="16"/>
        <v>#DIV/0!</v>
      </c>
      <c r="C60" s="365">
        <f t="shared" si="15"/>
        <v>0</v>
      </c>
      <c r="D60" s="1947">
        <v>0.25</v>
      </c>
      <c r="E60" s="609">
        <f>'数据-汇总表'!E14</f>
        <v>0</v>
      </c>
      <c r="F60" s="1705" t="e">
        <f t="shared" si="14"/>
        <v>#DIV/0!</v>
      </c>
      <c r="G60" s="1711" t="s">
        <v>1643</v>
      </c>
      <c r="H60" s="1710">
        <f>项目基本情况!B43</f>
        <v>0</v>
      </c>
      <c r="I60" s="1708">
        <f>SUMIF(修正!$A$57:$A$68,H60,修正!G57:G68)</f>
        <v>0</v>
      </c>
      <c r="J60" s="1373"/>
      <c r="K60" s="2961"/>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3.5" thickBot="1">
      <c r="A61" s="605" t="s">
        <v>520</v>
      </c>
      <c r="B61" s="606" t="e">
        <f t="shared" si="16"/>
        <v>#DIV/0!</v>
      </c>
      <c r="C61" s="365">
        <f t="shared" si="15"/>
        <v>0</v>
      </c>
      <c r="D61" s="1947">
        <v>0.25</v>
      </c>
      <c r="E61" s="609">
        <f>'数据-汇总表'!E15</f>
        <v>0</v>
      </c>
      <c r="F61" s="1705" t="e">
        <f t="shared" si="14"/>
        <v>#DIV/0!</v>
      </c>
      <c r="G61" s="1712" t="s">
        <v>1644</v>
      </c>
      <c r="H61" s="1713">
        <f>项目基本情况!C43</f>
        <v>0</v>
      </c>
      <c r="I61" s="1708">
        <f>SUMIF(修正!$A$57:$A$68,H61,修正!G57:G68)</f>
        <v>0</v>
      </c>
      <c r="J61" s="1373"/>
      <c r="K61" s="2961"/>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3.5" thickBot="1">
      <c r="A62" s="610" t="s">
        <v>521</v>
      </c>
      <c r="B62" s="611" t="s">
        <v>11</v>
      </c>
      <c r="C62" s="611" t="s">
        <v>12</v>
      </c>
      <c r="D62" s="611" t="s">
        <v>1651</v>
      </c>
      <c r="E62" s="611">
        <f>IF(B43="楼面地价",SUM(E53:E61),'数据-汇总表'!D3)</f>
        <v>18265.05</v>
      </c>
      <c r="F62" s="612" t="e">
        <f>IF(B43="楼面地价",SUM(F53:F61),ROUND(C45*E62/10000,0))</f>
        <v>#DIV/0!</v>
      </c>
      <c r="G62" s="1877"/>
      <c r="H62" s="1877"/>
      <c r="I62" s="1877"/>
      <c r="J62" s="1877"/>
      <c r="K62" s="2969"/>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2023-9-1</v>
      </c>
      <c r="D64" s="2278">
        <f>EDATE(C64,-3)</f>
        <v>45078</v>
      </c>
      <c r="E64" s="2278">
        <f t="shared" ref="E64:N64" si="17">EDATE(D64,-3)</f>
        <v>44986</v>
      </c>
      <c r="F64" s="2278">
        <f t="shared" si="17"/>
        <v>44896</v>
      </c>
      <c r="G64" s="2278">
        <f t="shared" si="17"/>
        <v>44805</v>
      </c>
      <c r="H64" s="2278">
        <f t="shared" si="17"/>
        <v>44713</v>
      </c>
      <c r="I64" s="2278">
        <f t="shared" si="17"/>
        <v>44621</v>
      </c>
      <c r="J64" s="2278">
        <f t="shared" si="17"/>
        <v>44531</v>
      </c>
      <c r="K64" s="2278">
        <f t="shared" si="17"/>
        <v>44440</v>
      </c>
      <c r="L64" s="2278">
        <f t="shared" si="17"/>
        <v>44348</v>
      </c>
      <c r="M64" s="2278">
        <f t="shared" si="17"/>
        <v>44256</v>
      </c>
      <c r="N64" s="2278">
        <f t="shared" si="17"/>
        <v>44166</v>
      </c>
      <c r="O64" s="1867"/>
      <c r="P64" s="1867"/>
      <c r="Q64" s="1867"/>
      <c r="R64" s="1867"/>
      <c r="S64" s="1867"/>
      <c r="T64" s="1867"/>
      <c r="U64" s="1867"/>
      <c r="V64" s="1867"/>
      <c r="W64" s="1867"/>
      <c r="X64" s="1867"/>
      <c r="Y64" s="1867"/>
      <c r="Z64" s="1867"/>
      <c r="AA64" s="1867"/>
      <c r="AB64" s="1867"/>
      <c r="AC64" s="1867"/>
    </row>
    <row r="65" spans="1:29" ht="21.75"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6" customFormat="1" ht="15">
      <c r="A66" s="2184" t="s">
        <v>1816</v>
      </c>
      <c r="B66" s="614"/>
      <c r="C66" s="2275" t="str">
        <f>YEAR(C64)&amp;"-"&amp;ROUNDUP(MONTH(C64)/3,0)</f>
        <v>2023-3</v>
      </c>
      <c r="D66" s="2280" t="str">
        <f t="shared" ref="D66:N66" si="18">YEAR(D64)&amp;"-"&amp;ROUNDUP(MONTH(D64)/3,0)</f>
        <v>2023-2</v>
      </c>
      <c r="E66" s="2280" t="str">
        <f t="shared" si="18"/>
        <v>2023-1</v>
      </c>
      <c r="F66" s="2280" t="str">
        <f t="shared" si="18"/>
        <v>2022-4</v>
      </c>
      <c r="G66" s="2280" t="str">
        <f t="shared" si="18"/>
        <v>2022-3</v>
      </c>
      <c r="H66" s="2280" t="str">
        <f t="shared" si="18"/>
        <v>2022-2</v>
      </c>
      <c r="I66" s="2280" t="str">
        <f t="shared" si="18"/>
        <v>2022-1</v>
      </c>
      <c r="J66" s="2280" t="str">
        <f t="shared" si="18"/>
        <v>2021-4</v>
      </c>
      <c r="K66" s="2280" t="str">
        <f t="shared" si="18"/>
        <v>2021-3</v>
      </c>
      <c r="L66" s="2280" t="str">
        <f t="shared" si="18"/>
        <v>2021-2</v>
      </c>
      <c r="M66" s="2280" t="str">
        <f t="shared" si="18"/>
        <v>2021-1</v>
      </c>
      <c r="N66" s="2280" t="str">
        <f t="shared" si="18"/>
        <v>2020-4</v>
      </c>
      <c r="O66" s="1880"/>
      <c r="P66" s="1881"/>
      <c r="Q66" s="1882"/>
      <c r="R66" s="1882"/>
      <c r="S66" s="1882"/>
      <c r="T66" s="1882"/>
      <c r="U66" s="1882"/>
      <c r="V66" s="1882"/>
      <c r="W66" s="1882"/>
      <c r="X66" s="1882"/>
      <c r="Y66" s="1882"/>
      <c r="Z66" s="1882"/>
      <c r="AA66" s="1882"/>
      <c r="AB66" s="1882"/>
      <c r="AC66" s="1882"/>
    </row>
    <row r="67" spans="1:29" s="1117" customFormat="1" ht="27.75" customHeight="1">
      <c r="A67" s="2277" t="s">
        <v>1931</v>
      </c>
      <c r="B67" s="465" t="str">
        <f>"北京市平均增长率"&amp;TEXT(基准地价!P28,"0.00%")</f>
        <v>北京市平均增长率0.00%</v>
      </c>
      <c r="C67" s="856">
        <v>100</v>
      </c>
      <c r="D67" s="698"/>
      <c r="E67" s="698"/>
      <c r="F67" s="698"/>
      <c r="G67" s="698"/>
      <c r="H67" s="698"/>
      <c r="I67" s="698"/>
      <c r="J67" s="698"/>
      <c r="K67" s="698"/>
      <c r="L67" s="698"/>
      <c r="M67" s="2273"/>
      <c r="N67" s="2274"/>
      <c r="O67" s="1883"/>
      <c r="P67" s="1879"/>
      <c r="Q67" s="1745"/>
      <c r="R67" s="1745"/>
      <c r="S67" s="1745"/>
      <c r="T67" s="1745"/>
      <c r="U67" s="1745"/>
      <c r="V67" s="1745"/>
      <c r="W67" s="1745"/>
      <c r="X67" s="1745"/>
      <c r="Y67" s="1745"/>
      <c r="Z67" s="1745"/>
      <c r="AA67" s="1745"/>
      <c r="AB67" s="1745"/>
      <c r="AC67" s="1745"/>
    </row>
    <row r="68" spans="1:29" s="1117" customFormat="1" ht="15.75" thickBot="1">
      <c r="A68" s="621" t="s">
        <v>523</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7" customFormat="1" ht="15">
      <c r="A69" s="627" t="s">
        <v>480</v>
      </c>
      <c r="B69" s="616"/>
      <c r="C69" s="628" t="s">
        <v>524</v>
      </c>
      <c r="D69" s="629"/>
      <c r="E69" s="629"/>
      <c r="F69" s="629"/>
      <c r="G69" s="629"/>
      <c r="H69" s="629"/>
      <c r="I69" s="629"/>
      <c r="J69" s="629"/>
      <c r="K69" s="629"/>
      <c r="L69" s="630"/>
      <c r="M69" s="631"/>
      <c r="N69" s="2970"/>
      <c r="O69" s="1883"/>
      <c r="P69" s="1884"/>
      <c r="Q69" s="1879"/>
      <c r="R69" s="1745"/>
      <c r="S69" s="1745"/>
      <c r="T69" s="1745"/>
      <c r="U69" s="1745"/>
      <c r="V69" s="1745"/>
      <c r="W69" s="1745"/>
      <c r="X69" s="1745"/>
      <c r="Y69" s="1745"/>
      <c r="Z69" s="1745"/>
      <c r="AA69" s="1745"/>
      <c r="AB69" s="1745"/>
      <c r="AC69" s="1745"/>
    </row>
    <row r="70" spans="1:29" s="1117" customFormat="1" ht="15.75" thickBot="1">
      <c r="A70" s="627"/>
      <c r="B70" s="616"/>
      <c r="C70" s="617">
        <v>100</v>
      </c>
      <c r="D70" s="618"/>
      <c r="E70" s="618"/>
      <c r="F70" s="618"/>
      <c r="G70" s="618"/>
      <c r="H70" s="618"/>
      <c r="I70" s="618"/>
      <c r="J70" s="618"/>
      <c r="K70" s="618"/>
      <c r="L70" s="618"/>
      <c r="M70" s="620"/>
      <c r="N70" s="2970"/>
      <c r="O70" s="1883"/>
      <c r="P70" s="1879"/>
      <c r="Q70" s="1879"/>
      <c r="R70" s="1745"/>
      <c r="S70" s="1745"/>
      <c r="T70" s="1745"/>
      <c r="U70" s="1745"/>
      <c r="V70" s="1745"/>
      <c r="W70" s="1745"/>
      <c r="X70" s="1745"/>
      <c r="Y70" s="1745"/>
      <c r="Z70" s="1745"/>
      <c r="AA70" s="1745"/>
      <c r="AB70" s="1745"/>
      <c r="AC70" s="1745"/>
    </row>
    <row r="71" spans="1:29">
      <c r="A71" s="632" t="s">
        <v>525</v>
      </c>
      <c r="B71" s="633" t="s">
        <v>483</v>
      </c>
      <c r="C71" s="568"/>
      <c r="D71" s="568"/>
      <c r="E71" s="568"/>
      <c r="F71" s="568"/>
      <c r="G71" s="568"/>
      <c r="H71" s="568"/>
      <c r="I71" s="568"/>
      <c r="J71" s="568"/>
      <c r="K71" s="634"/>
      <c r="L71" s="635"/>
      <c r="M71" s="636"/>
      <c r="N71" s="2971"/>
      <c r="O71" s="1885"/>
      <c r="P71" s="1886"/>
      <c r="Q71" s="1879"/>
      <c r="R71" s="1867"/>
      <c r="S71" s="1867"/>
      <c r="T71" s="1867"/>
      <c r="U71" s="1867"/>
      <c r="V71" s="1867"/>
      <c r="W71" s="1867"/>
      <c r="X71" s="1867"/>
      <c r="Y71" s="1867"/>
      <c r="Z71" s="1867"/>
      <c r="AA71" s="1867"/>
      <c r="AB71" s="1867"/>
      <c r="AC71" s="1867"/>
    </row>
    <row r="72" spans="1:29" ht="15.75" thickBot="1">
      <c r="A72" s="637"/>
      <c r="B72" s="638"/>
      <c r="C72" s="639"/>
      <c r="D72" s="639"/>
      <c r="E72" s="639"/>
      <c r="F72" s="639"/>
      <c r="G72" s="639"/>
      <c r="H72" s="639"/>
      <c r="I72" s="639"/>
      <c r="J72" s="639"/>
      <c r="K72" s="639"/>
      <c r="L72" s="639"/>
      <c r="M72" s="640"/>
      <c r="N72" s="2972"/>
      <c r="O72" s="1887"/>
      <c r="P72" s="1886"/>
      <c r="Q72" s="1879"/>
      <c r="R72" s="1867"/>
      <c r="S72" s="1867"/>
      <c r="T72" s="1867"/>
      <c r="U72" s="1867"/>
      <c r="V72" s="1867"/>
      <c r="W72" s="1867"/>
      <c r="X72" s="1867"/>
      <c r="Y72" s="1867"/>
      <c r="Z72" s="1867"/>
      <c r="AA72" s="1867"/>
      <c r="AB72" s="1867"/>
      <c r="AC72" s="1867"/>
    </row>
    <row r="73" spans="1:29" ht="27.75" thickTop="1">
      <c r="A73" s="637"/>
      <c r="B73" s="641" t="s">
        <v>486</v>
      </c>
      <c r="C73" s="642"/>
      <c r="D73" s="642"/>
      <c r="E73" s="642"/>
      <c r="F73" s="642"/>
      <c r="G73" s="642"/>
      <c r="H73" s="642"/>
      <c r="I73" s="642"/>
      <c r="J73" s="642"/>
      <c r="K73" s="643"/>
      <c r="L73" s="644"/>
      <c r="M73" s="645"/>
      <c r="N73" s="2971"/>
      <c r="O73" s="1885"/>
      <c r="P73" s="1886"/>
      <c r="Q73" s="1879"/>
      <c r="R73" s="1867"/>
      <c r="S73" s="1867"/>
      <c r="T73" s="1867"/>
      <c r="U73" s="1867"/>
      <c r="V73" s="1867"/>
      <c r="W73" s="1867"/>
      <c r="X73" s="1867"/>
      <c r="Y73" s="1867"/>
      <c r="Z73" s="1867"/>
      <c r="AA73" s="1867"/>
      <c r="AB73" s="1867"/>
      <c r="AC73" s="1867"/>
    </row>
    <row r="74" spans="1:29" ht="15.75" thickBot="1">
      <c r="A74" s="637"/>
      <c r="B74" s="646"/>
      <c r="C74" s="647"/>
      <c r="D74" s="647"/>
      <c r="E74" s="647"/>
      <c r="F74" s="647"/>
      <c r="G74" s="647"/>
      <c r="H74" s="647"/>
      <c r="I74" s="647"/>
      <c r="J74" s="647"/>
      <c r="K74" s="647"/>
      <c r="L74" s="647"/>
      <c r="M74" s="648"/>
      <c r="N74" s="2972"/>
      <c r="O74" s="1887"/>
      <c r="P74" s="1886"/>
      <c r="Q74" s="1879"/>
      <c r="R74" s="1867"/>
      <c r="S74" s="1867"/>
      <c r="T74" s="1867"/>
      <c r="U74" s="1867"/>
      <c r="V74" s="1867"/>
      <c r="W74" s="1867"/>
      <c r="X74" s="1867"/>
      <c r="Y74" s="1867"/>
      <c r="Z74" s="1867"/>
      <c r="AA74" s="1867"/>
      <c r="AB74" s="1867"/>
      <c r="AC74" s="1867"/>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2"/>
      <c r="O75" s="1887"/>
      <c r="P75" s="1886"/>
      <c r="Q75" s="1879"/>
      <c r="R75" s="1867"/>
      <c r="S75" s="1867"/>
      <c r="T75" s="1867"/>
      <c r="U75" s="1867"/>
      <c r="V75" s="1867"/>
      <c r="W75" s="1867"/>
      <c r="X75" s="1867"/>
      <c r="Y75" s="1867"/>
      <c r="Z75" s="1867"/>
      <c r="AA75" s="1867"/>
      <c r="AB75" s="1867"/>
      <c r="AC75" s="1867"/>
    </row>
    <row r="76" spans="1:29" ht="15">
      <c r="A76" s="637"/>
      <c r="B76" s="651"/>
      <c r="C76" s="511"/>
      <c r="D76" s="511"/>
      <c r="E76" s="511"/>
      <c r="F76" s="511"/>
      <c r="G76" s="511"/>
      <c r="H76" s="511"/>
      <c r="I76" s="511"/>
      <c r="J76" s="511"/>
      <c r="K76" s="652"/>
      <c r="L76" s="653"/>
      <c r="M76" s="654"/>
      <c r="N76" s="2971"/>
      <c r="O76" s="1885"/>
      <c r="P76" s="1886"/>
      <c r="Q76" s="1879"/>
      <c r="R76" s="1867"/>
      <c r="S76" s="1867"/>
      <c r="T76" s="1867"/>
      <c r="U76" s="1867"/>
      <c r="V76" s="1867"/>
      <c r="W76" s="1867"/>
      <c r="X76" s="1867"/>
      <c r="Y76" s="1867"/>
      <c r="Z76" s="1867"/>
      <c r="AA76" s="1867"/>
      <c r="AB76" s="1867"/>
      <c r="AC76" s="1867"/>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2"/>
      <c r="O77" s="1887"/>
      <c r="P77" s="1886"/>
      <c r="Q77" s="1879"/>
      <c r="R77" s="1867"/>
      <c r="S77" s="1867"/>
      <c r="T77" s="1867"/>
      <c r="U77" s="1867"/>
      <c r="V77" s="1867"/>
      <c r="W77" s="1867"/>
      <c r="X77" s="1867"/>
      <c r="Y77" s="1867"/>
      <c r="Z77" s="1867"/>
      <c r="AA77" s="1867"/>
      <c r="AB77" s="1867"/>
      <c r="AC77" s="1867"/>
    </row>
    <row r="78" spans="1:29" s="1199" customFormat="1" ht="15.75" thickTop="1">
      <c r="A78" s="655"/>
      <c r="B78" s="641">
        <f>B14</f>
        <v>111</v>
      </c>
      <c r="C78" s="656"/>
      <c r="D78" s="656"/>
      <c r="E78" s="656"/>
      <c r="F78" s="656"/>
      <c r="G78" s="656"/>
      <c r="H78" s="657"/>
      <c r="I78" s="657"/>
      <c r="J78" s="657"/>
      <c r="K78" s="657"/>
      <c r="L78" s="658"/>
      <c r="M78" s="659"/>
      <c r="N78" s="2973"/>
      <c r="O78" s="1888"/>
      <c r="P78" s="1889"/>
      <c r="Q78" s="1890"/>
      <c r="R78" s="1891"/>
      <c r="S78" s="1891"/>
      <c r="T78" s="1891"/>
      <c r="U78" s="1891"/>
      <c r="V78" s="1891"/>
      <c r="W78" s="1891"/>
      <c r="X78" s="1891"/>
      <c r="Y78" s="1891"/>
      <c r="Z78" s="1891"/>
      <c r="AA78" s="1891"/>
      <c r="AB78" s="1891"/>
      <c r="AC78" s="1891"/>
    </row>
    <row r="79" spans="1:29" s="1199" customFormat="1" ht="15.75" thickBot="1">
      <c r="A79" s="655"/>
      <c r="B79" s="646"/>
      <c r="C79" s="660"/>
      <c r="D79" s="639"/>
      <c r="E79" s="639"/>
      <c r="F79" s="639"/>
      <c r="G79" s="639"/>
      <c r="H79" s="639"/>
      <c r="I79" s="639"/>
      <c r="J79" s="639"/>
      <c r="K79" s="639"/>
      <c r="L79" s="639"/>
      <c r="M79" s="640"/>
      <c r="N79" s="2972"/>
      <c r="O79" s="1887"/>
      <c r="P79" s="1889"/>
      <c r="Q79" s="1890"/>
      <c r="R79" s="1891"/>
      <c r="S79" s="1891"/>
      <c r="T79" s="1891"/>
      <c r="U79" s="1891"/>
      <c r="V79" s="1891"/>
      <c r="W79" s="1891"/>
      <c r="X79" s="1891"/>
      <c r="Y79" s="1891"/>
      <c r="Z79" s="1891"/>
      <c r="AA79" s="1891"/>
      <c r="AB79" s="1891"/>
      <c r="AC79" s="1891"/>
    </row>
    <row r="80" spans="1:29" s="1199" customFormat="1" ht="15.75" thickTop="1">
      <c r="A80" s="655"/>
      <c r="B80" s="641">
        <f>B15</f>
        <v>111</v>
      </c>
      <c r="C80" s="656"/>
      <c r="D80" s="656"/>
      <c r="E80" s="656"/>
      <c r="F80" s="656"/>
      <c r="G80" s="656"/>
      <c r="H80" s="657"/>
      <c r="I80" s="657"/>
      <c r="J80" s="657"/>
      <c r="K80" s="657"/>
      <c r="L80" s="658"/>
      <c r="M80" s="659"/>
      <c r="N80" s="2973"/>
      <c r="O80" s="1888"/>
      <c r="P80" s="1892"/>
      <c r="Q80" s="1893"/>
      <c r="R80" s="1891"/>
      <c r="S80" s="1891"/>
      <c r="T80" s="1891"/>
      <c r="U80" s="1891"/>
      <c r="V80" s="1891"/>
      <c r="W80" s="1891"/>
      <c r="X80" s="1891"/>
      <c r="Y80" s="1891"/>
      <c r="Z80" s="1891"/>
      <c r="AA80" s="1891"/>
      <c r="AB80" s="1891"/>
      <c r="AC80" s="1891"/>
    </row>
    <row r="81" spans="1:29" s="1199" customFormat="1" ht="15.75" thickBot="1">
      <c r="A81" s="655"/>
      <c r="B81" s="646"/>
      <c r="C81" s="660"/>
      <c r="D81" s="660"/>
      <c r="E81" s="660"/>
      <c r="F81" s="660"/>
      <c r="G81" s="660"/>
      <c r="H81" s="661"/>
      <c r="I81" s="661"/>
      <c r="J81" s="661"/>
      <c r="K81" s="661"/>
      <c r="L81" s="661"/>
      <c r="M81" s="662"/>
      <c r="N81" s="2973"/>
      <c r="O81" s="1888"/>
      <c r="P81" s="1889"/>
      <c r="Q81" s="1890"/>
      <c r="R81" s="1891"/>
      <c r="S81" s="1891"/>
      <c r="T81" s="1891"/>
      <c r="U81" s="1891"/>
      <c r="V81" s="1891"/>
      <c r="W81" s="1891"/>
      <c r="X81" s="1891"/>
      <c r="Y81" s="1891"/>
      <c r="Z81" s="1891"/>
      <c r="AA81" s="1891"/>
      <c r="AB81" s="1891"/>
      <c r="AC81" s="1891"/>
    </row>
    <row r="82" spans="1:29" s="1199" customFormat="1" ht="15.75" thickTop="1">
      <c r="A82" s="655"/>
      <c r="B82" s="649">
        <f>B16</f>
        <v>111</v>
      </c>
      <c r="C82" s="629"/>
      <c r="D82" s="629"/>
      <c r="E82" s="629"/>
      <c r="F82" s="629"/>
      <c r="G82" s="629"/>
      <c r="H82" s="663"/>
      <c r="I82" s="663"/>
      <c r="J82" s="663"/>
      <c r="K82" s="663"/>
      <c r="L82" s="664"/>
      <c r="M82" s="665"/>
      <c r="N82" s="2973"/>
      <c r="O82" s="1888"/>
      <c r="P82" s="1894"/>
      <c r="Q82" s="1890"/>
      <c r="R82" s="1891"/>
      <c r="S82" s="1891"/>
      <c r="T82" s="1891"/>
      <c r="U82" s="1891"/>
      <c r="V82" s="1891"/>
      <c r="W82" s="1891"/>
      <c r="X82" s="1891"/>
      <c r="Y82" s="1891"/>
      <c r="Z82" s="1891"/>
      <c r="AA82" s="1891"/>
      <c r="AB82" s="1891"/>
      <c r="AC82" s="1891"/>
    </row>
    <row r="83" spans="1:29" s="1199" customFormat="1" ht="15.75" thickBot="1">
      <c r="A83" s="666"/>
      <c r="B83" s="667"/>
      <c r="C83" s="668"/>
      <c r="D83" s="668"/>
      <c r="E83" s="668"/>
      <c r="F83" s="668"/>
      <c r="G83" s="668"/>
      <c r="H83" s="669"/>
      <c r="I83" s="669"/>
      <c r="J83" s="669"/>
      <c r="K83" s="669"/>
      <c r="L83" s="669"/>
      <c r="M83" s="670"/>
      <c r="N83" s="2973"/>
      <c r="O83" s="1888"/>
      <c r="P83" s="1889"/>
      <c r="Q83" s="1890"/>
      <c r="R83" s="1891"/>
      <c r="S83" s="1891"/>
      <c r="T83" s="1891"/>
      <c r="U83" s="1891"/>
      <c r="V83" s="1891"/>
      <c r="W83" s="1891"/>
      <c r="X83" s="1891"/>
      <c r="Y83" s="1891"/>
      <c r="Z83" s="1891"/>
      <c r="AA83" s="1891"/>
      <c r="AB83" s="1891"/>
      <c r="AC83" s="1891"/>
    </row>
    <row r="84" spans="1:29">
      <c r="A84" s="632" t="s">
        <v>488</v>
      </c>
      <c r="B84" s="633" t="s">
        <v>550</v>
      </c>
      <c r="C84" s="671" t="s">
        <v>527</v>
      </c>
      <c r="D84" s="671" t="s">
        <v>528</v>
      </c>
      <c r="E84" s="671" t="s">
        <v>529</v>
      </c>
      <c r="F84" s="671" t="s">
        <v>530</v>
      </c>
      <c r="G84" s="671" t="s">
        <v>531</v>
      </c>
      <c r="H84" s="672"/>
      <c r="I84" s="672"/>
      <c r="J84" s="672"/>
      <c r="K84" s="673"/>
      <c r="L84" s="674"/>
      <c r="M84" s="675"/>
      <c r="N84" s="2971"/>
      <c r="O84" s="1885"/>
      <c r="P84" s="1895"/>
      <c r="Q84" s="1879"/>
      <c r="R84" s="1867"/>
      <c r="S84" s="1867"/>
      <c r="T84" s="1867"/>
      <c r="U84" s="1867"/>
      <c r="V84" s="1867"/>
      <c r="W84" s="1867"/>
      <c r="X84" s="1867"/>
      <c r="Y84" s="1867"/>
      <c r="Z84" s="1867"/>
      <c r="AA84" s="1867"/>
      <c r="AB84" s="1867"/>
      <c r="AC84" s="1867"/>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2"/>
      <c r="O85" s="1887"/>
      <c r="P85" s="1886"/>
      <c r="Q85" s="1879"/>
      <c r="R85" s="1867"/>
      <c r="S85" s="1867"/>
      <c r="T85" s="1867"/>
      <c r="U85" s="1867"/>
      <c r="V85" s="1867"/>
      <c r="W85" s="1867"/>
      <c r="X85" s="1867"/>
      <c r="Y85" s="1867"/>
      <c r="Z85" s="1867"/>
      <c r="AA85" s="1867"/>
      <c r="AB85" s="1867"/>
      <c r="AC85" s="1867"/>
    </row>
    <row r="86" spans="1:29" ht="15.75" thickTop="1">
      <c r="A86" s="637"/>
      <c r="B86" s="641" t="s">
        <v>534</v>
      </c>
      <c r="C86" s="676" t="s">
        <v>527</v>
      </c>
      <c r="D86" s="676" t="s">
        <v>528</v>
      </c>
      <c r="E86" s="676" t="s">
        <v>529</v>
      </c>
      <c r="F86" s="676" t="s">
        <v>530</v>
      </c>
      <c r="G86" s="676" t="s">
        <v>531</v>
      </c>
      <c r="H86" s="642"/>
      <c r="I86" s="642"/>
      <c r="J86" s="642"/>
      <c r="K86" s="643"/>
      <c r="L86" s="644"/>
      <c r="M86" s="645"/>
      <c r="N86" s="2971"/>
      <c r="O86" s="1885"/>
      <c r="P86" s="1886"/>
      <c r="Q86" s="1879"/>
      <c r="R86" s="1867"/>
      <c r="S86" s="1867"/>
      <c r="T86" s="1867"/>
      <c r="U86" s="1867"/>
      <c r="V86" s="1867"/>
      <c r="W86" s="1867"/>
      <c r="X86" s="1867"/>
      <c r="Y86" s="1867"/>
      <c r="Z86" s="1867"/>
      <c r="AA86" s="1867"/>
      <c r="AB86" s="1867"/>
      <c r="AC86" s="1867"/>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2"/>
      <c r="O87" s="1887"/>
      <c r="P87" s="1886"/>
      <c r="Q87" s="1879"/>
      <c r="R87" s="1867"/>
      <c r="S87" s="1867"/>
      <c r="T87" s="1867"/>
      <c r="U87" s="1867"/>
      <c r="V87" s="1867"/>
      <c r="W87" s="1867"/>
      <c r="X87" s="1867"/>
      <c r="Y87" s="1867"/>
      <c r="Z87" s="1867"/>
      <c r="AA87" s="1867"/>
      <c r="AB87" s="1867"/>
      <c r="AC87" s="1867"/>
    </row>
    <row r="88" spans="1:29" s="1117" customFormat="1" ht="27.75" thickTop="1">
      <c r="A88" s="677"/>
      <c r="B88" s="641" t="s">
        <v>535</v>
      </c>
      <c r="C88" s="676" t="s">
        <v>527</v>
      </c>
      <c r="D88" s="676" t="s">
        <v>528</v>
      </c>
      <c r="E88" s="676" t="s">
        <v>529</v>
      </c>
      <c r="F88" s="676" t="s">
        <v>530</v>
      </c>
      <c r="G88" s="676" t="s">
        <v>531</v>
      </c>
      <c r="H88" s="676"/>
      <c r="I88" s="676"/>
      <c r="J88" s="676"/>
      <c r="K88" s="676"/>
      <c r="L88" s="678"/>
      <c r="M88" s="679"/>
      <c r="N88" s="2970"/>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80">
        <v>100</v>
      </c>
      <c r="D89" s="647">
        <f>C89-$K21</f>
        <v>100</v>
      </c>
      <c r="E89" s="647">
        <f>D89-$K21</f>
        <v>100</v>
      </c>
      <c r="F89" s="647">
        <f>E89-$K21</f>
        <v>100</v>
      </c>
      <c r="G89" s="647">
        <f>F89-$K21</f>
        <v>100</v>
      </c>
      <c r="H89" s="647"/>
      <c r="I89" s="647"/>
      <c r="J89" s="647"/>
      <c r="K89" s="647"/>
      <c r="L89" s="647"/>
      <c r="M89" s="648"/>
      <c r="N89" s="2972"/>
      <c r="O89" s="1887"/>
      <c r="P89" s="1886"/>
      <c r="Q89" s="1879"/>
      <c r="R89" s="1745"/>
      <c r="S89" s="1745"/>
      <c r="T89" s="1745"/>
      <c r="U89" s="1745"/>
      <c r="V89" s="1745"/>
      <c r="W89" s="1745"/>
      <c r="X89" s="1745"/>
      <c r="Y89" s="1745"/>
      <c r="Z89" s="1745"/>
      <c r="AA89" s="1745"/>
      <c r="AB89" s="1745"/>
      <c r="AC89" s="1745"/>
    </row>
    <row r="90" spans="1:29" s="1117" customFormat="1" ht="27.75" thickTop="1">
      <c r="A90" s="677"/>
      <c r="B90" s="641" t="s">
        <v>536</v>
      </c>
      <c r="C90" s="671" t="s">
        <v>527</v>
      </c>
      <c r="D90" s="671" t="s">
        <v>528</v>
      </c>
      <c r="E90" s="671" t="s">
        <v>529</v>
      </c>
      <c r="F90" s="671" t="s">
        <v>530</v>
      </c>
      <c r="G90" s="671" t="s">
        <v>531</v>
      </c>
      <c r="H90" s="676"/>
      <c r="I90" s="676"/>
      <c r="J90" s="676"/>
      <c r="K90" s="676"/>
      <c r="L90" s="676"/>
      <c r="M90" s="679"/>
      <c r="N90" s="2970"/>
      <c r="O90" s="1883"/>
      <c r="P90" s="1886"/>
      <c r="Q90" s="1879"/>
      <c r="R90" s="1745"/>
      <c r="S90" s="1745"/>
      <c r="T90" s="1745"/>
      <c r="U90" s="1745"/>
      <c r="V90" s="1745"/>
      <c r="W90" s="1745"/>
      <c r="X90" s="1745"/>
      <c r="Y90" s="1745"/>
      <c r="Z90" s="1745"/>
      <c r="AA90" s="1745"/>
      <c r="AB90" s="1745"/>
      <c r="AC90" s="1745"/>
    </row>
    <row r="91" spans="1:29" s="1117" customFormat="1" ht="15.75" thickBot="1">
      <c r="A91" s="677"/>
      <c r="B91" s="646"/>
      <c r="C91" s="647">
        <v>100</v>
      </c>
      <c r="D91" s="647">
        <f>C91-$K23</f>
        <v>100</v>
      </c>
      <c r="E91" s="647">
        <f>D91-$K23</f>
        <v>100</v>
      </c>
      <c r="F91" s="647">
        <f>E91-$K23</f>
        <v>100</v>
      </c>
      <c r="G91" s="647">
        <f>F91-$K23</f>
        <v>100</v>
      </c>
      <c r="H91" s="647"/>
      <c r="I91" s="647"/>
      <c r="J91" s="647"/>
      <c r="K91" s="647"/>
      <c r="L91" s="647"/>
      <c r="M91" s="648"/>
      <c r="N91" s="2972"/>
      <c r="O91" s="1887"/>
      <c r="P91" s="1886"/>
      <c r="Q91" s="1879"/>
      <c r="R91" s="1745"/>
      <c r="S91" s="1745"/>
      <c r="T91" s="1745"/>
      <c r="U91" s="1745"/>
      <c r="V91" s="1745"/>
      <c r="W91" s="1745"/>
      <c r="X91" s="1745"/>
      <c r="Y91" s="1745"/>
      <c r="Z91" s="1745"/>
      <c r="AA91" s="1745"/>
      <c r="AB91" s="1745"/>
      <c r="AC91" s="1745"/>
    </row>
    <row r="92" spans="1:29" s="1199" customFormat="1" ht="15.75" thickTop="1">
      <c r="A92" s="655"/>
      <c r="B92" s="1651" t="s">
        <v>1831</v>
      </c>
      <c r="C92" s="671" t="s">
        <v>527</v>
      </c>
      <c r="D92" s="671" t="s">
        <v>528</v>
      </c>
      <c r="E92" s="671" t="s">
        <v>529</v>
      </c>
      <c r="F92" s="671" t="s">
        <v>530</v>
      </c>
      <c r="G92" s="671" t="s">
        <v>531</v>
      </c>
      <c r="H92" s="681"/>
      <c r="I92" s="681"/>
      <c r="J92" s="681"/>
      <c r="K92" s="681"/>
      <c r="L92" s="682"/>
      <c r="M92" s="683"/>
      <c r="N92" s="2973"/>
      <c r="O92" s="1888"/>
      <c r="P92" s="1889"/>
      <c r="Q92" s="1890"/>
      <c r="R92" s="1891"/>
      <c r="S92" s="1891"/>
      <c r="T92" s="1891"/>
      <c r="U92" s="1891"/>
      <c r="V92" s="1891"/>
      <c r="W92" s="1891"/>
      <c r="X92" s="1891"/>
      <c r="Y92" s="1891"/>
      <c r="Z92" s="1891"/>
      <c r="AA92" s="1891"/>
      <c r="AB92" s="1891"/>
      <c r="AC92" s="1891"/>
    </row>
    <row r="93" spans="1:29" s="1199" customFormat="1" ht="15.75" thickBot="1">
      <c r="A93" s="655"/>
      <c r="B93" s="646"/>
      <c r="C93" s="647">
        <v>100</v>
      </c>
      <c r="D93" s="647">
        <f>C93-$K25</f>
        <v>100</v>
      </c>
      <c r="E93" s="647">
        <f>D93-$K25</f>
        <v>100</v>
      </c>
      <c r="F93" s="647">
        <f>E93-$K25</f>
        <v>100</v>
      </c>
      <c r="G93" s="647">
        <f>F93-$K25</f>
        <v>100</v>
      </c>
      <c r="H93" s="684"/>
      <c r="I93" s="684"/>
      <c r="J93" s="684"/>
      <c r="K93" s="684"/>
      <c r="L93" s="684"/>
      <c r="M93" s="685"/>
      <c r="N93" s="2973"/>
      <c r="O93" s="1888"/>
      <c r="P93" s="1889"/>
      <c r="Q93" s="1890"/>
      <c r="R93" s="1891"/>
      <c r="S93" s="1891"/>
      <c r="T93" s="1891"/>
      <c r="U93" s="1891"/>
      <c r="V93" s="1891"/>
      <c r="W93" s="1891"/>
      <c r="X93" s="1891"/>
      <c r="Y93" s="1891"/>
      <c r="Z93" s="1891"/>
      <c r="AA93" s="1891"/>
      <c r="AB93" s="1891"/>
      <c r="AC93" s="1891"/>
    </row>
    <row r="94" spans="1:29" s="1199" customFormat="1" ht="15.75" thickTop="1">
      <c r="A94" s="655"/>
      <c r="B94" s="2204" t="s">
        <v>1833</v>
      </c>
      <c r="C94" s="2205" t="s">
        <v>1834</v>
      </c>
      <c r="D94" s="2205" t="s">
        <v>1835</v>
      </c>
      <c r="E94" s="2205" t="s">
        <v>1836</v>
      </c>
      <c r="F94" s="2205" t="s">
        <v>1837</v>
      </c>
      <c r="G94" s="2205" t="s">
        <v>1838</v>
      </c>
      <c r="H94" s="681"/>
      <c r="I94" s="681"/>
      <c r="J94" s="681"/>
      <c r="K94" s="681"/>
      <c r="L94" s="681"/>
      <c r="M94" s="683"/>
      <c r="N94" s="2973"/>
      <c r="O94" s="1888"/>
      <c r="P94" s="1889"/>
      <c r="Q94" s="1890"/>
      <c r="R94" s="1891"/>
      <c r="S94" s="1891"/>
      <c r="T94" s="1891"/>
      <c r="U94" s="1891"/>
      <c r="V94" s="1891"/>
      <c r="W94" s="1891"/>
      <c r="X94" s="1891"/>
      <c r="Y94" s="1891"/>
      <c r="Z94" s="1891"/>
      <c r="AA94" s="1891"/>
      <c r="AB94" s="1891"/>
      <c r="AC94" s="1891"/>
    </row>
    <row r="95" spans="1:29" s="1199" customFormat="1" ht="15.75" thickBot="1">
      <c r="A95" s="655"/>
      <c r="B95" s="649"/>
      <c r="C95" s="647">
        <v>100</v>
      </c>
      <c r="D95" s="647">
        <f>C95-$K27</f>
        <v>100</v>
      </c>
      <c r="E95" s="647">
        <f>D95-$K27</f>
        <v>100</v>
      </c>
      <c r="F95" s="647">
        <f>E95-$K27</f>
        <v>100</v>
      </c>
      <c r="G95" s="647">
        <f>F95-$K27</f>
        <v>100</v>
      </c>
      <c r="H95" s="651"/>
      <c r="I95" s="651"/>
      <c r="J95" s="651"/>
      <c r="K95" s="651"/>
      <c r="L95" s="651"/>
      <c r="M95" s="2197"/>
      <c r="N95" s="2973"/>
      <c r="O95" s="1888"/>
      <c r="P95" s="1889"/>
      <c r="Q95" s="1890"/>
      <c r="R95" s="1891"/>
      <c r="S95" s="1891"/>
      <c r="T95" s="1891"/>
      <c r="U95" s="1891"/>
      <c r="V95" s="1891"/>
      <c r="W95" s="1891"/>
      <c r="X95" s="1891"/>
      <c r="Y95" s="1891"/>
      <c r="Z95" s="1891"/>
      <c r="AA95" s="1891"/>
      <c r="AB95" s="1891"/>
      <c r="AC95" s="1891"/>
    </row>
    <row r="96" spans="1:29" ht="15.75" thickTop="1">
      <c r="A96" s="637"/>
      <c r="B96" s="641" t="str">
        <f>B29</f>
        <v>临街状况</v>
      </c>
      <c r="C96" s="642" t="s">
        <v>537</v>
      </c>
      <c r="D96" s="642" t="s">
        <v>538</v>
      </c>
      <c r="E96" s="642" t="s">
        <v>539</v>
      </c>
      <c r="F96" s="642" t="s">
        <v>540</v>
      </c>
      <c r="G96" s="642"/>
      <c r="H96" s="642"/>
      <c r="I96" s="642"/>
      <c r="J96" s="642"/>
      <c r="K96" s="643"/>
      <c r="L96" s="644"/>
      <c r="M96" s="645"/>
      <c r="N96" s="2971"/>
      <c r="O96" s="1885"/>
      <c r="P96" s="1886"/>
      <c r="Q96" s="1879"/>
      <c r="R96" s="1867"/>
      <c r="S96" s="1867"/>
      <c r="T96" s="1867"/>
      <c r="U96" s="1867"/>
      <c r="V96" s="1867"/>
      <c r="W96" s="1867"/>
      <c r="X96" s="1867"/>
      <c r="Y96" s="1867"/>
      <c r="Z96" s="1867"/>
      <c r="AA96" s="1867"/>
      <c r="AB96" s="1867"/>
      <c r="AC96" s="1867"/>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2"/>
      <c r="O97" s="1887"/>
      <c r="P97" s="1886"/>
      <c r="Q97" s="1879"/>
      <c r="R97" s="1867"/>
      <c r="S97" s="1867"/>
      <c r="T97" s="1867"/>
      <c r="U97" s="1867"/>
      <c r="V97" s="1867"/>
      <c r="W97" s="1867"/>
      <c r="X97" s="1867"/>
      <c r="Y97" s="1867"/>
      <c r="Z97" s="1867"/>
      <c r="AA97" s="1867"/>
      <c r="AB97" s="1867"/>
      <c r="AC97" s="1867"/>
    </row>
    <row r="98" spans="1:29" ht="27.75" thickTop="1">
      <c r="A98" s="637"/>
      <c r="B98" s="641" t="s">
        <v>497</v>
      </c>
      <c r="C98" s="656"/>
      <c r="D98" s="656"/>
      <c r="E98" s="656"/>
      <c r="F98" s="656"/>
      <c r="G98" s="656"/>
      <c r="H98" s="686"/>
      <c r="I98" s="686"/>
      <c r="J98" s="686"/>
      <c r="K98" s="687"/>
      <c r="L98" s="688"/>
      <c r="M98" s="689"/>
      <c r="N98" s="2971"/>
      <c r="O98" s="1885"/>
      <c r="P98" s="1886"/>
      <c r="Q98" s="1879"/>
      <c r="R98" s="1867"/>
      <c r="S98" s="1867"/>
      <c r="T98" s="1867"/>
      <c r="U98" s="1867"/>
      <c r="V98" s="1867"/>
      <c r="W98" s="1867"/>
      <c r="X98" s="1867"/>
      <c r="Y98" s="1867"/>
      <c r="Z98" s="1867"/>
      <c r="AA98" s="1867"/>
      <c r="AB98" s="1867"/>
      <c r="AC98" s="1867"/>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2"/>
      <c r="O99" s="1887"/>
      <c r="P99" s="1886"/>
      <c r="Q99" s="1879"/>
      <c r="R99" s="1867"/>
      <c r="S99" s="1867"/>
      <c r="T99" s="1867"/>
      <c r="U99" s="1867"/>
      <c r="V99" s="1867"/>
      <c r="W99" s="1867"/>
      <c r="X99" s="1867"/>
      <c r="Y99" s="1867"/>
      <c r="Z99" s="1867"/>
      <c r="AA99" s="1867"/>
      <c r="AB99" s="1867"/>
      <c r="AC99" s="1867"/>
    </row>
    <row r="100" spans="1:29" ht="15.75" thickTop="1">
      <c r="A100" s="637"/>
      <c r="B100" s="641" t="s">
        <v>498</v>
      </c>
      <c r="C100" s="686"/>
      <c r="D100" s="686"/>
      <c r="E100" s="686"/>
      <c r="F100" s="686"/>
      <c r="G100" s="686"/>
      <c r="H100" s="686"/>
      <c r="I100" s="686"/>
      <c r="J100" s="686"/>
      <c r="K100" s="687"/>
      <c r="L100" s="688"/>
      <c r="M100" s="689"/>
      <c r="N100" s="2971"/>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2"/>
      <c r="O101" s="1887"/>
      <c r="P101" s="1886"/>
      <c r="Q101" s="1879"/>
      <c r="R101" s="1867"/>
      <c r="S101" s="1867"/>
      <c r="T101" s="1867"/>
      <c r="U101" s="1867"/>
      <c r="V101" s="1867"/>
      <c r="W101" s="1867"/>
      <c r="X101" s="1867"/>
      <c r="Y101" s="1867"/>
      <c r="Z101" s="1867"/>
      <c r="AA101" s="1867"/>
      <c r="AB101" s="1867"/>
      <c r="AC101" s="1867"/>
    </row>
    <row r="102" spans="1:29" ht="15.75" thickTop="1">
      <c r="A102" s="637"/>
      <c r="B102" s="649">
        <f>B33</f>
        <v>111</v>
      </c>
      <c r="C102" s="656"/>
      <c r="D102" s="656"/>
      <c r="E102" s="656"/>
      <c r="F102" s="656"/>
      <c r="G102" s="690"/>
      <c r="H102" s="690"/>
      <c r="I102" s="690"/>
      <c r="J102" s="690"/>
      <c r="K102" s="691"/>
      <c r="L102" s="692"/>
      <c r="M102" s="693"/>
      <c r="N102" s="2971"/>
      <c r="O102" s="1885"/>
      <c r="P102" s="1886"/>
      <c r="Q102" s="1879"/>
      <c r="R102" s="1867"/>
      <c r="S102" s="1867"/>
      <c r="T102" s="1867"/>
      <c r="U102" s="1867"/>
      <c r="V102" s="1867"/>
      <c r="W102" s="1867"/>
      <c r="X102" s="1867"/>
      <c r="Y102" s="1867"/>
      <c r="Z102" s="1867"/>
      <c r="AA102" s="1867"/>
      <c r="AB102" s="1867"/>
      <c r="AC102" s="1867"/>
    </row>
    <row r="103" spans="1:29" ht="15.75" thickBot="1">
      <c r="A103" s="637"/>
      <c r="B103" s="667"/>
      <c r="C103" s="660"/>
      <c r="D103" s="639"/>
      <c r="E103" s="639"/>
      <c r="F103" s="639"/>
      <c r="G103" s="694"/>
      <c r="H103" s="694"/>
      <c r="I103" s="694"/>
      <c r="J103" s="694"/>
      <c r="K103" s="694"/>
      <c r="L103" s="694"/>
      <c r="M103" s="695"/>
      <c r="N103" s="2972"/>
      <c r="O103" s="1887"/>
      <c r="P103" s="1886"/>
      <c r="Q103" s="1879"/>
      <c r="R103" s="1867"/>
      <c r="S103" s="1867"/>
      <c r="T103" s="1867"/>
      <c r="U103" s="1867"/>
      <c r="V103" s="1867"/>
      <c r="W103" s="1867"/>
      <c r="X103" s="1867"/>
      <c r="Y103" s="1867"/>
      <c r="Z103" s="1867"/>
      <c r="AA103" s="1867"/>
      <c r="AB103" s="1867"/>
      <c r="AC103" s="1867"/>
    </row>
    <row r="104" spans="1:29" ht="15" thickTop="1">
      <c r="A104" s="557"/>
      <c r="B104" s="641">
        <f>B34</f>
        <v>111</v>
      </c>
      <c r="C104" s="656"/>
      <c r="D104" s="656"/>
      <c r="E104" s="656"/>
      <c r="F104" s="656"/>
      <c r="G104" s="686"/>
      <c r="H104" s="686"/>
      <c r="I104" s="686"/>
      <c r="J104" s="686"/>
      <c r="K104" s="687"/>
      <c r="L104" s="688"/>
      <c r="M104" s="689"/>
      <c r="N104" s="2971"/>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60"/>
      <c r="D105" s="660"/>
      <c r="E105" s="660"/>
      <c r="F105" s="660"/>
      <c r="G105" s="639"/>
      <c r="H105" s="639"/>
      <c r="I105" s="639"/>
      <c r="J105" s="639"/>
      <c r="K105" s="639"/>
      <c r="L105" s="639"/>
      <c r="M105" s="640"/>
      <c r="N105" s="2972"/>
      <c r="O105" s="1887"/>
      <c r="P105" s="1886"/>
      <c r="Q105" s="1879"/>
      <c r="R105" s="1867"/>
      <c r="S105" s="1867"/>
      <c r="T105" s="1867"/>
      <c r="U105" s="1867"/>
      <c r="V105" s="1867"/>
      <c r="W105" s="1867"/>
      <c r="X105" s="1867"/>
      <c r="Y105" s="1867"/>
      <c r="Z105" s="1867"/>
      <c r="AA105" s="1867"/>
      <c r="AB105" s="1867"/>
      <c r="AC105" s="1867"/>
    </row>
    <row r="106" spans="1:29" s="1199" customFormat="1" ht="15" thickTop="1">
      <c r="A106" s="696"/>
      <c r="B106" s="697">
        <f>B35</f>
        <v>111</v>
      </c>
      <c r="C106" s="629"/>
      <c r="D106" s="629"/>
      <c r="E106" s="629"/>
      <c r="F106" s="629"/>
      <c r="G106" s="698"/>
      <c r="H106" s="698"/>
      <c r="I106" s="698"/>
      <c r="J106" s="699"/>
      <c r="K106" s="699"/>
      <c r="L106" s="700"/>
      <c r="M106" s="701"/>
      <c r="N106" s="2973"/>
      <c r="O106" s="1888"/>
      <c r="P106" s="1889"/>
      <c r="Q106" s="1890"/>
      <c r="R106" s="1891"/>
      <c r="S106" s="1891"/>
      <c r="T106" s="1891"/>
      <c r="U106" s="1891"/>
      <c r="V106" s="1891"/>
      <c r="W106" s="1891"/>
      <c r="X106" s="1891"/>
      <c r="Y106" s="1891"/>
      <c r="Z106" s="1891"/>
      <c r="AA106" s="1891"/>
      <c r="AB106" s="1891"/>
      <c r="AC106" s="1891"/>
    </row>
    <row r="107" spans="1:29" s="1199" customFormat="1" ht="15.75" thickBot="1">
      <c r="A107" s="655"/>
      <c r="B107" s="649"/>
      <c r="C107" s="668"/>
      <c r="D107" s="668"/>
      <c r="E107" s="668"/>
      <c r="F107" s="668"/>
      <c r="G107" s="562"/>
      <c r="H107" s="562"/>
      <c r="I107" s="562"/>
      <c r="J107" s="562"/>
      <c r="K107" s="562"/>
      <c r="L107" s="562"/>
      <c r="M107" s="702"/>
      <c r="N107" s="2972"/>
      <c r="O107" s="1887"/>
      <c r="P107" s="1889"/>
      <c r="Q107" s="1890"/>
      <c r="R107" s="1891"/>
      <c r="S107" s="1891"/>
      <c r="T107" s="1891"/>
      <c r="U107" s="1891"/>
      <c r="V107" s="1891"/>
      <c r="W107" s="1891"/>
      <c r="X107" s="1891"/>
      <c r="Y107" s="1891"/>
      <c r="Z107" s="1891"/>
      <c r="AA107" s="1891"/>
      <c r="AB107" s="1891"/>
      <c r="AC107" s="1891"/>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6" t="str">
        <f t="shared" si="24"/>
        <v>(含)-</v>
      </c>
      <c r="L108" s="2537" t="str">
        <f t="shared" si="24"/>
        <v>(含)-</v>
      </c>
      <c r="M108" s="2538" t="str">
        <f>M109&amp;"(含)"&amp;"-"&amp;P109</f>
        <v>(含)-</v>
      </c>
      <c r="N108" s="2971"/>
      <c r="O108" s="1885"/>
      <c r="P108" s="1886"/>
      <c r="Q108" s="1879"/>
      <c r="R108" s="1867"/>
      <c r="S108" s="1867"/>
      <c r="T108" s="1867"/>
      <c r="U108" s="1867"/>
      <c r="V108" s="1867"/>
      <c r="W108" s="1867"/>
      <c r="X108" s="1867"/>
      <c r="Y108" s="1867"/>
      <c r="Z108" s="1867"/>
      <c r="AA108" s="1867"/>
      <c r="AB108" s="1867"/>
      <c r="AC108" s="1867"/>
    </row>
    <row r="109" spans="1:29" ht="15">
      <c r="A109" s="637"/>
      <c r="B109" s="649"/>
      <c r="C109" s="698"/>
      <c r="D109" s="698"/>
      <c r="E109" s="698"/>
      <c r="F109" s="698"/>
      <c r="G109" s="698"/>
      <c r="H109" s="698"/>
      <c r="I109" s="698"/>
      <c r="J109" s="699"/>
      <c r="K109" s="699"/>
      <c r="L109" s="700"/>
      <c r="M109" s="701"/>
      <c r="N109" s="2971"/>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68"/>
      <c r="D110" s="694"/>
      <c r="E110" s="694"/>
      <c r="F110" s="694"/>
      <c r="G110" s="694"/>
      <c r="H110" s="694"/>
      <c r="I110" s="694"/>
      <c r="J110" s="694"/>
      <c r="K110" s="694"/>
      <c r="L110" s="694"/>
      <c r="M110" s="695"/>
      <c r="N110" s="2972"/>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686"/>
      <c r="D111" s="686"/>
      <c r="E111" s="686"/>
      <c r="F111" s="686"/>
      <c r="G111" s="686"/>
      <c r="H111" s="686"/>
      <c r="I111" s="686"/>
      <c r="J111" s="686"/>
      <c r="K111" s="687"/>
      <c r="L111" s="688"/>
      <c r="M111" s="689"/>
      <c r="N111" s="2971"/>
      <c r="O111" s="1885"/>
      <c r="P111" s="1886"/>
      <c r="Q111" s="1879"/>
      <c r="R111" s="1867"/>
      <c r="S111" s="1867"/>
      <c r="T111" s="1867"/>
      <c r="U111" s="1867"/>
      <c r="V111" s="1867"/>
      <c r="W111" s="1867"/>
      <c r="X111" s="1867"/>
      <c r="Y111" s="1867"/>
      <c r="Z111" s="1867"/>
      <c r="AA111" s="1867"/>
      <c r="AB111" s="1867"/>
      <c r="AC111" s="1867"/>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2"/>
      <c r="O112" s="1887"/>
      <c r="P112" s="1886"/>
      <c r="Q112" s="1879"/>
      <c r="R112" s="1867"/>
      <c r="S112" s="1867"/>
      <c r="T112" s="1867"/>
      <c r="U112" s="1867"/>
      <c r="V112" s="1867"/>
      <c r="W112" s="1867"/>
      <c r="X112" s="1867"/>
      <c r="Y112" s="1867"/>
      <c r="Z112" s="1867"/>
      <c r="AA112" s="1867"/>
      <c r="AB112" s="1867"/>
      <c r="AC112" s="1867"/>
    </row>
    <row r="113" spans="1:29" s="1199" customFormat="1" ht="15" thickTop="1">
      <c r="A113" s="696"/>
      <c r="B113" s="1651" t="s">
        <v>1777</v>
      </c>
      <c r="C113" s="1232"/>
      <c r="D113" s="1232"/>
      <c r="E113" s="1232"/>
      <c r="F113" s="1232"/>
      <c r="G113" s="1232"/>
      <c r="H113" s="686"/>
      <c r="I113" s="686"/>
      <c r="J113" s="686"/>
      <c r="K113" s="687"/>
      <c r="L113" s="688"/>
      <c r="M113" s="689"/>
      <c r="N113" s="2973"/>
      <c r="O113" s="1888"/>
      <c r="P113" s="1889"/>
      <c r="Q113" s="1890"/>
      <c r="R113" s="1891"/>
      <c r="S113" s="1891"/>
      <c r="T113" s="1891"/>
      <c r="U113" s="1891"/>
      <c r="V113" s="1891"/>
      <c r="W113" s="1891"/>
      <c r="X113" s="1891"/>
      <c r="Y113" s="1891"/>
      <c r="Z113" s="1891"/>
      <c r="AA113" s="1891"/>
      <c r="AB113" s="1891"/>
      <c r="AC113" s="1891"/>
    </row>
    <row r="114" spans="1:29" s="1199"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3"/>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1"/>
      <c r="O115" s="1885"/>
      <c r="P115" s="1886"/>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2"/>
      <c r="O116" s="1887"/>
      <c r="P116" s="1886"/>
      <c r="Q116" s="1879"/>
      <c r="R116" s="1867"/>
      <c r="S116" s="1867"/>
      <c r="T116" s="1867"/>
      <c r="U116" s="1867"/>
      <c r="V116" s="1867"/>
      <c r="W116" s="1867"/>
      <c r="X116" s="1867"/>
      <c r="Y116" s="1867"/>
      <c r="Z116" s="1867"/>
      <c r="AA116" s="1867"/>
      <c r="AB116" s="1867"/>
      <c r="AC116" s="1867"/>
    </row>
    <row r="117" spans="1:29" ht="15" thickTop="1">
      <c r="A117" s="703"/>
      <c r="B117" s="641">
        <f>B40</f>
        <v>111</v>
      </c>
      <c r="C117" s="656"/>
      <c r="D117" s="656"/>
      <c r="E117" s="656"/>
      <c r="F117" s="656"/>
      <c r="G117" s="656"/>
      <c r="H117" s="686"/>
      <c r="I117" s="686"/>
      <c r="J117" s="686"/>
      <c r="K117" s="687"/>
      <c r="L117" s="688"/>
      <c r="M117" s="689"/>
      <c r="N117" s="2971"/>
      <c r="O117" s="1885"/>
      <c r="P117" s="1886"/>
      <c r="Q117" s="1879"/>
      <c r="R117" s="1867"/>
      <c r="S117" s="1867"/>
      <c r="T117" s="1867"/>
      <c r="U117" s="1867"/>
      <c r="V117" s="1867"/>
      <c r="W117" s="1867"/>
      <c r="X117" s="1867"/>
      <c r="Y117" s="1867"/>
      <c r="Z117" s="1867"/>
      <c r="AA117" s="1867"/>
      <c r="AB117" s="1867"/>
      <c r="AC117" s="1867"/>
    </row>
    <row r="118" spans="1:29" ht="15.75" thickBot="1">
      <c r="A118" s="637"/>
      <c r="B118" s="646"/>
      <c r="C118" s="660"/>
      <c r="D118" s="639"/>
      <c r="E118" s="639"/>
      <c r="F118" s="639"/>
      <c r="G118" s="639"/>
      <c r="H118" s="639"/>
      <c r="I118" s="639"/>
      <c r="J118" s="639"/>
      <c r="K118" s="639"/>
      <c r="L118" s="639"/>
      <c r="M118" s="640"/>
      <c r="N118" s="2972"/>
      <c r="O118" s="1887"/>
      <c r="P118" s="1886"/>
      <c r="Q118" s="1879"/>
      <c r="R118" s="1867"/>
      <c r="S118" s="1867"/>
      <c r="T118" s="1867"/>
      <c r="U118" s="1867"/>
      <c r="V118" s="1867"/>
      <c r="W118" s="1867"/>
      <c r="X118" s="1867"/>
      <c r="Y118" s="1867"/>
      <c r="Z118" s="1867"/>
      <c r="AA118" s="1867"/>
      <c r="AB118" s="1867"/>
      <c r="AC118" s="1867"/>
    </row>
    <row r="119" spans="1:29" ht="15" thickTop="1">
      <c r="A119" s="703"/>
      <c r="B119" s="641">
        <f>B41</f>
        <v>111</v>
      </c>
      <c r="C119" s="656"/>
      <c r="D119" s="656"/>
      <c r="E119" s="656"/>
      <c r="F119" s="656"/>
      <c r="G119" s="686"/>
      <c r="H119" s="686"/>
      <c r="I119" s="686"/>
      <c r="J119" s="686"/>
      <c r="K119" s="687"/>
      <c r="L119" s="688"/>
      <c r="M119" s="689"/>
      <c r="N119" s="2971"/>
      <c r="O119" s="1885"/>
      <c r="P119" s="1886"/>
      <c r="Q119" s="1879"/>
      <c r="R119" s="1867"/>
      <c r="S119" s="1867"/>
      <c r="T119" s="1867"/>
      <c r="U119" s="1867"/>
      <c r="V119" s="1867"/>
      <c r="W119" s="1867"/>
      <c r="X119" s="1867"/>
      <c r="Y119" s="1867"/>
      <c r="Z119" s="1867"/>
      <c r="AA119" s="1867"/>
      <c r="AB119" s="1867"/>
      <c r="AC119" s="1867"/>
    </row>
    <row r="120" spans="1:29" ht="15.75" thickBot="1">
      <c r="A120" s="637"/>
      <c r="B120" s="646"/>
      <c r="C120" s="660"/>
      <c r="D120" s="660"/>
      <c r="E120" s="660"/>
      <c r="F120" s="660"/>
      <c r="G120" s="639"/>
      <c r="H120" s="639"/>
      <c r="I120" s="639"/>
      <c r="J120" s="639"/>
      <c r="K120" s="639"/>
      <c r="L120" s="639"/>
      <c r="M120" s="640"/>
      <c r="N120" s="2972"/>
      <c r="O120" s="1887"/>
      <c r="P120" s="1886"/>
      <c r="Q120" s="1879"/>
      <c r="R120" s="1867"/>
      <c r="S120" s="1867"/>
      <c r="T120" s="1867"/>
      <c r="U120" s="1867"/>
      <c r="V120" s="1867"/>
      <c r="W120" s="1867"/>
      <c r="X120" s="1867"/>
      <c r="Y120" s="1867"/>
      <c r="Z120" s="1867"/>
      <c r="AA120" s="1867"/>
      <c r="AB120" s="1867"/>
      <c r="AC120" s="1867"/>
    </row>
    <row r="121" spans="1:29" s="1199" customFormat="1" ht="15" thickTop="1">
      <c r="A121" s="696"/>
      <c r="B121" s="641">
        <f>B42</f>
        <v>111</v>
      </c>
      <c r="C121" s="629"/>
      <c r="D121" s="629"/>
      <c r="E121" s="629"/>
      <c r="F121" s="629"/>
      <c r="G121" s="657"/>
      <c r="H121" s="657"/>
      <c r="I121" s="657"/>
      <c r="J121" s="657"/>
      <c r="K121" s="657"/>
      <c r="L121" s="658"/>
      <c r="M121" s="659"/>
      <c r="N121" s="2973"/>
      <c r="O121" s="1888"/>
      <c r="P121" s="1889"/>
      <c r="Q121" s="1890"/>
      <c r="R121" s="1891"/>
      <c r="S121" s="1891"/>
      <c r="T121" s="1891"/>
      <c r="U121" s="1891"/>
      <c r="V121" s="1891"/>
      <c r="W121" s="1891"/>
      <c r="X121" s="1891"/>
      <c r="Y121" s="1891"/>
      <c r="Z121" s="1891"/>
      <c r="AA121" s="1891"/>
      <c r="AB121" s="1891"/>
      <c r="AC121" s="1891"/>
    </row>
    <row r="122" spans="1:29" s="1199" customFormat="1" ht="15.75" thickBot="1">
      <c r="A122" s="666"/>
      <c r="B122" s="704"/>
      <c r="C122" s="668"/>
      <c r="D122" s="668"/>
      <c r="E122" s="668"/>
      <c r="F122" s="668"/>
      <c r="G122" s="694"/>
      <c r="H122" s="694"/>
      <c r="I122" s="694"/>
      <c r="J122" s="694"/>
      <c r="K122" s="694"/>
      <c r="L122" s="694"/>
      <c r="M122" s="695"/>
      <c r="N122" s="2973"/>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3" priority="18" stopIfTrue="1" operator="containsText" text="超过">
      <formula>NOT(ISERROR(SEARCH("超过",F48)))</formula>
    </cfRule>
  </conditionalFormatting>
  <conditionalFormatting sqref="J50">
    <cfRule type="containsText" dxfId="152" priority="17" stopIfTrue="1" operator="containsText" text="超过">
      <formula>NOT(ISERROR(SEARCH("超过",J50)))</formula>
    </cfRule>
  </conditionalFormatting>
  <conditionalFormatting sqref="H50">
    <cfRule type="containsText" dxfId="151" priority="16" stopIfTrue="1" operator="containsText" text="超过">
      <formula>NOT(ISERROR(SEARCH("超过",H50)))</formula>
    </cfRule>
  </conditionalFormatting>
  <conditionalFormatting sqref="F50">
    <cfRule type="containsText" dxfId="150" priority="15" stopIfTrue="1" operator="containsText" text="超过">
      <formula>NOT(ISERROR(SEARCH("超过",F50)))</formula>
    </cfRule>
  </conditionalFormatting>
  <conditionalFormatting sqref="F49 H49 J49">
    <cfRule type="containsText" dxfId="149" priority="14" stopIfTrue="1" operator="containsText" text="超过">
      <formula>NOT(ISERROR(SEARCH("超过",F49)))</formula>
    </cfRule>
  </conditionalFormatting>
  <conditionalFormatting sqref="E48">
    <cfRule type="expression" dxfId="148" priority="13" stopIfTrue="1">
      <formula>$F$48="超过30%"</formula>
    </cfRule>
  </conditionalFormatting>
  <conditionalFormatting sqref="G50">
    <cfRule type="expression" dxfId="147" priority="12" stopIfTrue="1">
      <formula>$H$50="超过30%"</formula>
    </cfRule>
  </conditionalFormatting>
  <conditionalFormatting sqref="E50">
    <cfRule type="expression" dxfId="146" priority="10" stopIfTrue="1">
      <formula>$F$50="超过30%"</formula>
    </cfRule>
  </conditionalFormatting>
  <conditionalFormatting sqref="G48">
    <cfRule type="expression" dxfId="145" priority="9" stopIfTrue="1">
      <formula>$H$48="超过30%"</formula>
    </cfRule>
  </conditionalFormatting>
  <conditionalFormatting sqref="G49">
    <cfRule type="expression" dxfId="144" priority="8" stopIfTrue="1">
      <formula>$H$49="超过20%"</formula>
    </cfRule>
  </conditionalFormatting>
  <conditionalFormatting sqref="I48">
    <cfRule type="expression" dxfId="143" priority="7" stopIfTrue="1">
      <formula>$J$48="超过30%"</formula>
    </cfRule>
  </conditionalFormatting>
  <conditionalFormatting sqref="I49">
    <cfRule type="expression" dxfId="142" priority="6" stopIfTrue="1">
      <formula>$J$49="超过20%"</formula>
    </cfRule>
  </conditionalFormatting>
  <conditionalFormatting sqref="I50">
    <cfRule type="expression" dxfId="141" priority="5" stopIfTrue="1">
      <formula>$J$50="超过30%"</formula>
    </cfRule>
  </conditionalFormatting>
  <conditionalFormatting sqref="E49">
    <cfRule type="expression" dxfId="140" priority="51" stopIfTrue="1">
      <formula>#REF!+$F$49="超过20%"</formula>
    </cfRule>
  </conditionalFormatting>
  <conditionalFormatting sqref="F44">
    <cfRule type="expression" dxfId="139" priority="4">
      <formula>$D$44="简单平均"</formula>
    </cfRule>
  </conditionalFormatting>
  <conditionalFormatting sqref="H44">
    <cfRule type="expression" dxfId="138" priority="3">
      <formula>$D$44="简单平均"</formula>
    </cfRule>
  </conditionalFormatting>
  <conditionalFormatting sqref="J44">
    <cfRule type="expression" dxfId="137" priority="2">
      <formula>$D$44="简单平均"</formula>
    </cfRule>
  </conditionalFormatting>
  <conditionalFormatting sqref="F9:F42 H9:H42 J9:J42">
    <cfRule type="cellIs" dxfId="13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1227</v>
      </c>
      <c r="B1" s="1254"/>
      <c r="C1" s="1260" t="s">
        <v>1778</v>
      </c>
      <c r="D1" s="1340">
        <f>SUM(D33:D34,D37:D42)</f>
        <v>0</v>
      </c>
      <c r="E1" s="1260" t="s">
        <v>1779</v>
      </c>
      <c r="F1" s="2104"/>
      <c r="G1" s="1255"/>
      <c r="H1" s="1255"/>
      <c r="I1" s="1255"/>
      <c r="J1" s="1255"/>
      <c r="K1" s="1910"/>
      <c r="L1" s="1637" t="s">
        <v>1597</v>
      </c>
      <c r="M1" s="1638">
        <f>SUMPRODUCT((区片价!B5:B9=I2)*(区片价!C3:G3=E2)*(区片价!C5:G9))</f>
        <v>0</v>
      </c>
      <c r="N1" s="1639">
        <f>SUMPRODUCT((因素修正幅度!B5:B9=I2)*(因素修正幅度!C3:G3=E2)*(因素修正幅度!C5:G9))</f>
        <v>0</v>
      </c>
      <c r="O1" s="1910"/>
      <c r="P1" s="1910"/>
      <c r="Q1" s="1910"/>
      <c r="R1" s="2414" t="s">
        <v>2043</v>
      </c>
      <c r="S1" s="2414" t="s">
        <v>2044</v>
      </c>
      <c r="T1" s="2414" t="s">
        <v>2061</v>
      </c>
      <c r="U1" s="2414" t="s">
        <v>2062</v>
      </c>
      <c r="V1" s="2414" t="s">
        <v>2063</v>
      </c>
      <c r="W1" s="1910"/>
      <c r="X1" s="1910"/>
      <c r="Y1" s="1910"/>
      <c r="Z1" s="1910"/>
      <c r="AA1" s="1910"/>
      <c r="AB1" s="1910"/>
      <c r="AC1" s="1911"/>
    </row>
    <row r="2" spans="1:39" ht="15.75">
      <c r="A2" s="1260" t="s">
        <v>848</v>
      </c>
      <c r="B2" s="990" t="e">
        <f>C30</f>
        <v>#DIV/0!</v>
      </c>
      <c r="C2" s="1261" t="s">
        <v>849</v>
      </c>
      <c r="D2" s="1262" t="s">
        <v>850</v>
      </c>
      <c r="E2" s="1263"/>
      <c r="F2" s="1262" t="s">
        <v>852</v>
      </c>
      <c r="G2" s="1456">
        <f>IF(E2="商业",项目基本情况!B43,IF(E2="办公",项目基本情况!C43,IF(E2="住宅",项目基本情况!D43,IF(E2="工业",项目基本情况!E43,项目基本情况!F43))))</f>
        <v>0</v>
      </c>
      <c r="H2" s="1262" t="s">
        <v>854</v>
      </c>
      <c r="I2" s="1457">
        <f>IF(E2="商业",项目基本情况!B44,IF(E2="办公",项目基本情况!C44,IF(E2="住宅",项目基本情况!D44,IF(E2="工业",项目基本情况!E44,项目基本情况!F44))))</f>
        <v>0</v>
      </c>
      <c r="J2" s="1264"/>
      <c r="K2" s="2974"/>
      <c r="L2" s="1640" t="s">
        <v>1598</v>
      </c>
      <c r="M2" s="1641">
        <f>SUMPRODUCT((区片价!B10:B29=I2)*(区片价!C3:G3=E2)*(区片价!C10:G29))</f>
        <v>0</v>
      </c>
      <c r="N2" s="1642">
        <f>SUMPRODUCT((因素修正幅度!B10:B29=I2)*(因素修正幅度!C3:G3=E2)*(因素修正幅度!C10:G29))</f>
        <v>0</v>
      </c>
      <c r="O2" s="2974"/>
      <c r="P2" s="1910"/>
      <c r="Q2" s="1910"/>
      <c r="R2" s="2415">
        <v>1</v>
      </c>
      <c r="S2" s="2415">
        <f>ROUND(SUMPRODUCT((B107:B111=R2)*(C106:N106=G2)*(C107:N111)),4)</f>
        <v>0</v>
      </c>
      <c r="T2" s="2415" t="e">
        <f>ROUND($C$5*$C$22*$C$23*$C$24*S2*$C$28,0)</f>
        <v>#DIV/0!</v>
      </c>
      <c r="U2" s="2405"/>
      <c r="V2" s="2415" t="e">
        <f>ROUND(T2*U2/10000,0)</f>
        <v>#DIV/0!</v>
      </c>
      <c r="W2" s="1910"/>
      <c r="X2" s="1910"/>
      <c r="Y2" s="1910"/>
      <c r="Z2" s="1910"/>
      <c r="AA2" s="1910"/>
      <c r="AB2" s="1910"/>
      <c r="AC2" s="1911"/>
    </row>
    <row r="3" spans="1:39" ht="15.75">
      <c r="A3" s="1265" t="s">
        <v>1220</v>
      </c>
      <c r="B3" s="990" t="e">
        <f>ROUND(B2*10000/D1,0)</f>
        <v>#DIV/0!</v>
      </c>
      <c r="C3" s="1261" t="s">
        <v>855</v>
      </c>
      <c r="D3" s="1262" t="s">
        <v>856</v>
      </c>
      <c r="E3" s="1266"/>
      <c r="F3" s="1267"/>
      <c r="G3" s="991">
        <f>IF(F3="宗地容积率",'数据-汇总表'!I4,IF(F3="估价对象容积率",'数据-汇总表'!I6,'数据-汇总表'!I7))</f>
        <v>2</v>
      </c>
      <c r="H3" s="1268" t="s">
        <v>857</v>
      </c>
      <c r="I3" s="992"/>
      <c r="J3" s="1264" t="s">
        <v>858</v>
      </c>
      <c r="K3" s="2974"/>
      <c r="L3" s="1640" t="s">
        <v>1599</v>
      </c>
      <c r="M3" s="1641">
        <f>SUMPRODUCT((区片价!B30:B54=I2)*(区片价!C3:G3=E2)*(区片价!C30:G54))</f>
        <v>0</v>
      </c>
      <c r="N3" s="1642">
        <f>SUMPRODUCT((因素修正幅度!B30:B54=I2)*(因素修正幅度!C3:G3=E2)*(因素修正幅度!C30:G54))</f>
        <v>0</v>
      </c>
      <c r="O3" s="2974"/>
      <c r="P3" s="1910"/>
      <c r="Q3" s="1910"/>
      <c r="R3" s="2415">
        <v>2</v>
      </c>
      <c r="S3" s="2415">
        <f>ROUND(SUMPRODUCT((B107:B111=R3)*(C106:N106=G2)*(C107:N111)),4)</f>
        <v>0</v>
      </c>
      <c r="T3" s="2415" t="e">
        <f t="shared" ref="T3:T16" si="0">ROUND($C$5*$C$22*$C$23*$C$24*S3*$C$28,0)</f>
        <v>#DIV/0!</v>
      </c>
      <c r="U3" s="2405"/>
      <c r="V3" s="2415" t="e">
        <f t="shared" ref="V3:V16" si="1">ROUND(T3*U3/10000,0)</f>
        <v>#DIV/0!</v>
      </c>
      <c r="W3" s="1910"/>
      <c r="X3" s="1910"/>
      <c r="Y3" s="1910"/>
      <c r="Z3" s="1910"/>
      <c r="AA3" s="1910"/>
      <c r="AB3" s="1910"/>
      <c r="AC3" s="1911"/>
    </row>
    <row r="4" spans="1:39" ht="28.5">
      <c r="A4" s="1646" t="s">
        <v>1638</v>
      </c>
      <c r="B4" s="2105" t="e">
        <f>ROUND(B2*10000/F1,0)</f>
        <v>#DIV/0!</v>
      </c>
      <c r="C4" s="1649" t="s">
        <v>1613</v>
      </c>
      <c r="D4" s="1649" t="e">
        <f>ROUND(B2/(F1/666.67),0)</f>
        <v>#DIV/0!</v>
      </c>
      <c r="E4" s="1649" t="s">
        <v>1614</v>
      </c>
      <c r="F4" s="1647"/>
      <c r="G4" s="1647"/>
      <c r="H4" s="1647"/>
      <c r="I4" s="1647"/>
      <c r="J4" s="1648"/>
      <c r="K4" s="2975"/>
      <c r="L4" s="1640" t="s">
        <v>1600</v>
      </c>
      <c r="M4" s="1641">
        <f>SUMPRODUCT((区片价!B55:B86=I2)*(区片价!C3:G3=E2)*(区片价!C55:G86))</f>
        <v>0</v>
      </c>
      <c r="N4" s="1642">
        <f>SUMPRODUCT((因素修正幅度!B55:B86=I2)*(因素修正幅度!C3:G3=E2)*(因素修正幅度!C55:G86))</f>
        <v>0</v>
      </c>
      <c r="O4" s="2975"/>
      <c r="P4" s="1910"/>
      <c r="Q4" s="1910"/>
      <c r="R4" s="2415">
        <v>3</v>
      </c>
      <c r="S4" s="2415">
        <f>ROUND(SUMPRODUCT((B107:B111=R4)*(C106:N106=G2)*(C107:N111)),4)</f>
        <v>0</v>
      </c>
      <c r="T4" s="2415" t="e">
        <f t="shared" si="0"/>
        <v>#DIV/0!</v>
      </c>
      <c r="U4" s="2405"/>
      <c r="V4" s="2415" t="e">
        <f t="shared" si="1"/>
        <v>#DIV/0!</v>
      </c>
      <c r="W4" s="1910"/>
      <c r="X4" s="1910"/>
      <c r="Y4" s="1910"/>
      <c r="Z4" s="1910"/>
      <c r="AA4" s="1910"/>
      <c r="AB4" s="1910"/>
      <c r="AC4" s="1911"/>
    </row>
    <row r="5" spans="1:39" s="1275" customFormat="1" ht="15.75" thickBot="1">
      <c r="A5" s="1443" t="s">
        <v>1352</v>
      </c>
      <c r="B5" s="1269" t="s">
        <v>859</v>
      </c>
      <c r="C5" s="993" t="e">
        <f>ROUND(IF(E2="商业",C6*C7*C17+C20,(IF(E2="住宅",C6*C13*C17+C20,IF(E2="办公",C6*C12*C17+C20,C6+C20)))),0)</f>
        <v>#DIV/0!</v>
      </c>
      <c r="D5" s="2547" t="e">
        <f>ROUND(C6*C17+C20,0)</f>
        <v>#DIV/0!</v>
      </c>
      <c r="E5" s="2547"/>
      <c r="F5" s="1270"/>
      <c r="G5" s="1271"/>
      <c r="H5" s="1271"/>
      <c r="I5" s="1271"/>
      <c r="J5" s="1272"/>
      <c r="K5" s="2976"/>
      <c r="L5" s="1640" t="s">
        <v>1601</v>
      </c>
      <c r="M5" s="1641">
        <f>SUMPRODUCT((区片价!B87:B126=I2)*(区片价!C3:G3=E2)*(区片价!C87:G126))</f>
        <v>0</v>
      </c>
      <c r="N5" s="1642">
        <f>SUMPRODUCT((因素修正幅度!B87:B126=I2)*(因素修正幅度!C3:G3=E2)*(因素修正幅度!C87:G126))</f>
        <v>0</v>
      </c>
      <c r="O5" s="2976"/>
      <c r="P5" s="2979"/>
      <c r="Q5" s="1910"/>
      <c r="R5" s="2415">
        <v>4</v>
      </c>
      <c r="S5" s="2415">
        <f>ROUND(SUMPRODUCT((B107:B111=R5)*(C106:N106=G2)*(C107:N111)),4)</f>
        <v>0</v>
      </c>
      <c r="T5" s="2415" t="e">
        <f t="shared" si="0"/>
        <v>#DIV/0!</v>
      </c>
      <c r="U5" s="2405"/>
      <c r="V5" s="2415" t="e">
        <f t="shared" si="1"/>
        <v>#DIV/0!</v>
      </c>
      <c r="W5" s="1910"/>
      <c r="X5" s="1910"/>
      <c r="Y5" s="1910"/>
      <c r="Z5" s="1910"/>
      <c r="AA5" s="1910"/>
      <c r="AB5" s="1910"/>
      <c r="AC5" s="1912"/>
      <c r="AD5" s="1273"/>
      <c r="AE5" s="1273"/>
      <c r="AF5" s="1273"/>
      <c r="AG5" s="1273"/>
      <c r="AH5" s="1273"/>
      <c r="AI5" s="1273"/>
      <c r="AJ5" s="1274"/>
      <c r="AK5" s="1274"/>
      <c r="AL5" s="1274"/>
      <c r="AM5" s="1274"/>
    </row>
    <row r="6" spans="1:39" ht="15.75" thickBot="1">
      <c r="A6" s="3520" t="s">
        <v>1395</v>
      </c>
      <c r="B6" s="1276" t="s">
        <v>859</v>
      </c>
      <c r="C6" s="3521">
        <f>SUMIF(L1:L12,G2,M1:M12)</f>
        <v>0</v>
      </c>
      <c r="D6" s="3522" t="s">
        <v>1228</v>
      </c>
      <c r="E6" s="1276"/>
      <c r="F6" s="1276"/>
      <c r="G6" s="3523"/>
      <c r="H6" s="3523"/>
      <c r="I6" s="3523"/>
      <c r="J6" s="3524"/>
      <c r="K6" s="2977"/>
      <c r="L6" s="1640" t="s">
        <v>1602</v>
      </c>
      <c r="M6" s="1641">
        <f>SUMPRODUCT((区片价!B127:B189=I2)*(区片价!C3:G3=E2)*(区片价!C127:G189))</f>
        <v>0</v>
      </c>
      <c r="N6" s="1642">
        <f>SUMPRODUCT((因素修正幅度!B127:B189=I2)*(因素修正幅度!C3:G3=E2)*(因素修正幅度!C127:G189))</f>
        <v>0</v>
      </c>
      <c r="O6" s="2977"/>
      <c r="P6" s="2980"/>
      <c r="Q6" s="1910"/>
      <c r="R6" s="2415">
        <v>5</v>
      </c>
      <c r="S6" s="2415">
        <f>ROUND(SUMPRODUCT((B107:B111=R6)*(C106:N106=G2)*(C107:N111)),4)</f>
        <v>0</v>
      </c>
      <c r="T6" s="2415" t="e">
        <f t="shared" si="0"/>
        <v>#DIV/0!</v>
      </c>
      <c r="U6" s="2405"/>
      <c r="V6" s="2415" t="e">
        <f t="shared" si="1"/>
        <v>#DIV/0!</v>
      </c>
      <c r="W6" s="1910"/>
      <c r="X6" s="1910"/>
      <c r="Y6" s="1910"/>
      <c r="Z6" s="1910"/>
      <c r="AA6" s="1910"/>
      <c r="AB6" s="1910"/>
      <c r="AC6" s="1912"/>
      <c r="AD6" s="1273"/>
      <c r="AE6" s="1273"/>
      <c r="AF6" s="1273"/>
      <c r="AG6" s="1273"/>
      <c r="AH6" s="1273"/>
      <c r="AI6" s="1273"/>
      <c r="AJ6" s="1274"/>
    </row>
    <row r="7" spans="1:39" ht="24.75" thickBot="1">
      <c r="A7" s="3525" t="s">
        <v>3188</v>
      </c>
      <c r="B7" s="1277" t="s">
        <v>860</v>
      </c>
      <c r="C7" s="3526" t="e">
        <f>IF(C8="不临65条商业街",1,ROUND(1+(1.6*E8+1.2*E9+0.8*E10+0.4*E11)*C9,4))</f>
        <v>#DIV/0!</v>
      </c>
      <c r="D7" s="3527" t="s">
        <v>861</v>
      </c>
      <c r="E7" s="3528"/>
      <c r="F7" s="3529"/>
      <c r="G7" s="3529"/>
      <c r="H7" s="3529"/>
      <c r="I7" s="3529"/>
      <c r="J7" s="3530"/>
      <c r="K7" s="2977"/>
      <c r="L7" s="1640" t="s">
        <v>1603</v>
      </c>
      <c r="M7" s="1641">
        <f>SUMPRODUCT((区片价!B190:B233=I2)*(区片价!C3:G3=E2)*(区片价!C190:G233))</f>
        <v>0</v>
      </c>
      <c r="N7" s="1642">
        <f>SUMPRODUCT((因素修正幅度!B190:B233=I2)*(因素修正幅度!C3:G3=E2)*(因素修正幅度!C190:G233))</f>
        <v>0</v>
      </c>
      <c r="O7" s="2977"/>
      <c r="P7" s="2980"/>
      <c r="Q7" s="1910"/>
      <c r="R7" s="2415">
        <v>6</v>
      </c>
      <c r="S7" s="2405"/>
      <c r="T7" s="2415" t="e">
        <f t="shared" si="0"/>
        <v>#DIV/0!</v>
      </c>
      <c r="U7" s="2405"/>
      <c r="V7" s="2415" t="e">
        <f t="shared" si="1"/>
        <v>#DIV/0!</v>
      </c>
      <c r="W7" s="2413" t="s">
        <v>2046</v>
      </c>
      <c r="X7" s="2406">
        <f>G2</f>
        <v>0</v>
      </c>
      <c r="Y7" s="2406" t="s">
        <v>2047</v>
      </c>
      <c r="Z7" s="2407">
        <f>G3</f>
        <v>2</v>
      </c>
      <c r="AA7" s="1913"/>
      <c r="AB7" s="1913"/>
      <c r="AC7" s="1914"/>
      <c r="AD7" s="2408"/>
      <c r="AE7" s="2408"/>
      <c r="AF7" s="2408"/>
      <c r="AG7" s="2408"/>
      <c r="AH7" s="2408"/>
      <c r="AI7" s="2408"/>
      <c r="AJ7" s="2409"/>
    </row>
    <row r="8" spans="1:39" ht="15">
      <c r="A8" s="3531"/>
      <c r="B8" s="1268" t="s">
        <v>862</v>
      </c>
      <c r="C8" s="3532"/>
      <c r="D8" s="3533" t="s">
        <v>863</v>
      </c>
      <c r="E8" s="3534" t="e">
        <f>ROUND(C11/E7,4)</f>
        <v>#DIV/0!</v>
      </c>
      <c r="F8" s="3535" t="s">
        <v>864</v>
      </c>
      <c r="G8" s="3536"/>
      <c r="H8" s="3536"/>
      <c r="I8" s="3536"/>
      <c r="J8" s="3537"/>
      <c r="K8" s="2977"/>
      <c r="L8" s="1640" t="s">
        <v>1604</v>
      </c>
      <c r="M8" s="1641">
        <f>SUMPRODUCT((区片价!B234:B276=I2)*(区片价!C3:G3=E2)*(区片价!C234:G276))</f>
        <v>0</v>
      </c>
      <c r="N8" s="1642">
        <f>SUMPRODUCT((因素修正幅度!B234:B276=I2)*(因素修正幅度!C3:G3=E2)*(因素修正幅度!C234:G276))</f>
        <v>0</v>
      </c>
      <c r="O8" s="2977"/>
      <c r="P8" s="1910"/>
      <c r="Q8" s="1910"/>
      <c r="R8" s="2415">
        <v>7</v>
      </c>
      <c r="S8" s="2405"/>
      <c r="T8" s="2415" t="e">
        <f t="shared" si="0"/>
        <v>#DIV/0!</v>
      </c>
      <c r="U8" s="2405"/>
      <c r="V8" s="2415" t="e">
        <f t="shared" si="1"/>
        <v>#DIV/0!</v>
      </c>
      <c r="W8" s="3899" t="s">
        <v>2060</v>
      </c>
      <c r="X8" s="3900"/>
      <c r="Y8" s="1634" t="s">
        <v>2048</v>
      </c>
      <c r="Z8" s="1634" t="s">
        <v>2049</v>
      </c>
      <c r="AA8" s="1634" t="s">
        <v>2050</v>
      </c>
      <c r="AB8" s="1634" t="s">
        <v>2051</v>
      </c>
      <c r="AC8" s="1634" t="s">
        <v>2052</v>
      </c>
      <c r="AD8" s="1634" t="s">
        <v>2053</v>
      </c>
      <c r="AE8" s="1634" t="s">
        <v>2054</v>
      </c>
      <c r="AF8" s="1634" t="s">
        <v>2055</v>
      </c>
      <c r="AG8" s="1634" t="s">
        <v>2056</v>
      </c>
      <c r="AH8" s="1634" t="s">
        <v>2057</v>
      </c>
      <c r="AI8" s="1634" t="s">
        <v>2058</v>
      </c>
      <c r="AJ8" s="1634" t="s">
        <v>2059</v>
      </c>
    </row>
    <row r="9" spans="1:39" ht="15">
      <c r="A9" s="3531"/>
      <c r="B9" s="1268" t="s">
        <v>865</v>
      </c>
      <c r="C9" s="3538">
        <f>SUMIF(修正!C71:C139,C8,修正!E71:E139)</f>
        <v>0</v>
      </c>
      <c r="D9" s="3539" t="s">
        <v>866</v>
      </c>
      <c r="E9" s="3539" t="e">
        <f>ROUND(C11/E7,4)</f>
        <v>#DIV/0!</v>
      </c>
      <c r="F9" s="3535" t="s">
        <v>867</v>
      </c>
      <c r="G9" s="3536"/>
      <c r="H9" s="3536"/>
      <c r="I9" s="3536"/>
      <c r="J9" s="3537"/>
      <c r="K9" s="2977"/>
      <c r="L9" s="1640" t="s">
        <v>1605</v>
      </c>
      <c r="M9" s="1641">
        <f>SUMPRODUCT((区片价!B277:B326=I2)*(区片价!C3:G3=E2)*(区片价!C277:G326))</f>
        <v>0</v>
      </c>
      <c r="N9" s="1642">
        <f>SUMPRODUCT((因素修正幅度!B277:B326=I2)*(因素修正幅度!C3:G3=E2)*(因素修正幅度!C277:G326))</f>
        <v>0</v>
      </c>
      <c r="O9" s="2977"/>
      <c r="P9" s="1910"/>
      <c r="Q9" s="1910"/>
      <c r="R9" s="2415">
        <v>8</v>
      </c>
      <c r="S9" s="2405"/>
      <c r="T9" s="2415" t="e">
        <f t="shared" si="0"/>
        <v>#DIV/0!</v>
      </c>
      <c r="U9" s="2405"/>
      <c r="V9" s="2415" t="e">
        <f t="shared" si="1"/>
        <v>#DIV/0!</v>
      </c>
      <c r="W9" s="3898"/>
      <c r="X9" s="2410" t="s">
        <v>3212</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1"/>
      <c r="B10" s="1268" t="s">
        <v>868</v>
      </c>
      <c r="C10" s="3539">
        <f>SUMIF(修正!C71:C139,C8,修正!F71:F139)</f>
        <v>0</v>
      </c>
      <c r="D10" s="3539" t="s">
        <v>869</v>
      </c>
      <c r="E10" s="3539" t="e">
        <f>ROUND(C11/E7,4)</f>
        <v>#DIV/0!</v>
      </c>
      <c r="F10" s="3535" t="s">
        <v>870</v>
      </c>
      <c r="G10" s="3536"/>
      <c r="H10" s="3536"/>
      <c r="I10" s="3536"/>
      <c r="J10" s="3537"/>
      <c r="K10" s="2977"/>
      <c r="L10" s="1640" t="s">
        <v>1606</v>
      </c>
      <c r="M10" s="1641">
        <f>SUMPRODUCT((区片价!B327:B357=I2)*(区片价!C3:G3=E2)*(区片价!C327:G357))</f>
        <v>0</v>
      </c>
      <c r="N10" s="1642">
        <f>SUMPRODUCT((因素修正幅度!B327:B357=I2)*(因素修正幅度!C3:G3=E2)*(因素修正幅度!C327:G357))</f>
        <v>0</v>
      </c>
      <c r="O10" s="2977"/>
      <c r="P10" s="1910"/>
      <c r="Q10" s="1910"/>
      <c r="R10" s="2415">
        <v>9</v>
      </c>
      <c r="S10" s="2405"/>
      <c r="T10" s="2415" t="e">
        <f t="shared" si="0"/>
        <v>#DIV/0!</v>
      </c>
      <c r="U10" s="2405"/>
      <c r="V10" s="2415" t="e">
        <f t="shared" si="1"/>
        <v>#DIV/0!</v>
      </c>
      <c r="W10" s="3898"/>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1"/>
      <c r="B11" s="1281" t="s">
        <v>871</v>
      </c>
      <c r="C11" s="3540">
        <f>C10/4</f>
        <v>0</v>
      </c>
      <c r="D11" s="3540" t="s">
        <v>872</v>
      </c>
      <c r="E11" s="3540" t="e">
        <f>ROUND(C11/E7,4)</f>
        <v>#DIV/0!</v>
      </c>
      <c r="F11" s="3541" t="s">
        <v>873</v>
      </c>
      <c r="G11" s="3542"/>
      <c r="H11" s="3542"/>
      <c r="I11" s="3542"/>
      <c r="J11" s="3543"/>
      <c r="K11" s="2977"/>
      <c r="L11" s="1640" t="s">
        <v>1607</v>
      </c>
      <c r="M11" s="1641">
        <f>SUMPRODUCT((区片价!B358:B377=I2)*(区片价!C3:G3=E2)*(区片价!C358:G377))</f>
        <v>0</v>
      </c>
      <c r="N11" s="1642">
        <f>SUMPRODUCT((因素修正幅度!B358:B377=I2)*(因素修正幅度!C3:G3=E2)*(因素修正幅度!C358:G377))</f>
        <v>0</v>
      </c>
      <c r="O11" s="2977"/>
      <c r="P11" s="1910"/>
      <c r="Q11" s="1910"/>
      <c r="R11" s="2415">
        <v>10</v>
      </c>
      <c r="S11" s="2405"/>
      <c r="T11" s="2415" t="e">
        <f t="shared" si="0"/>
        <v>#DIV/0!</v>
      </c>
      <c r="U11" s="2405"/>
      <c r="V11" s="2415" t="e">
        <f t="shared" si="1"/>
        <v>#DIV/0!</v>
      </c>
      <c r="W11" s="1910"/>
      <c r="X11" s="1910"/>
      <c r="Y11" s="1910"/>
      <c r="Z11" s="1910"/>
      <c r="AA11" s="1910"/>
      <c r="AB11" s="1910"/>
      <c r="AC11" s="1911"/>
    </row>
    <row r="12" spans="1:39" ht="25.5" thickBot="1">
      <c r="A12" s="3525" t="s">
        <v>3189</v>
      </c>
      <c r="B12" s="3506" t="s">
        <v>3190</v>
      </c>
      <c r="C12" s="3512">
        <v>1.02</v>
      </c>
      <c r="D12" s="3507" t="s">
        <v>3191</v>
      </c>
      <c r="E12" s="3508" t="s">
        <v>3192</v>
      </c>
      <c r="F12" s="3509"/>
      <c r="G12" s="3510"/>
      <c r="H12" s="3510"/>
      <c r="I12" s="3510"/>
      <c r="J12" s="3511"/>
      <c r="K12" s="2977"/>
      <c r="L12" s="1643" t="s">
        <v>1608</v>
      </c>
      <c r="M12" s="1644">
        <f>SUMPRODUCT((区片价!B378:B384=I2)*(区片价!C3:G3=E2)*(区片价!C378:G384))</f>
        <v>0</v>
      </c>
      <c r="N12" s="1645">
        <f>SUMPRODUCT((因素修正幅度!B378:B384=I2)*(因素修正幅度!C3:G3=E2)*(因素修正幅度!C378:G384))</f>
        <v>0</v>
      </c>
      <c r="O12" s="2977"/>
      <c r="P12" s="1910"/>
      <c r="Q12" s="1910"/>
      <c r="R12" s="2415">
        <v>11</v>
      </c>
      <c r="S12" s="2405"/>
      <c r="T12" s="2415" t="e">
        <f t="shared" si="0"/>
        <v>#DIV/0!</v>
      </c>
      <c r="U12" s="2405"/>
      <c r="V12" s="2415" t="e">
        <f t="shared" si="1"/>
        <v>#DIV/0!</v>
      </c>
      <c r="W12" s="1910"/>
      <c r="X12" s="1910"/>
      <c r="Y12" s="1910"/>
      <c r="Z12" s="1910"/>
      <c r="AA12" s="1910"/>
      <c r="AB12" s="1910"/>
      <c r="AC12" s="1911"/>
    </row>
    <row r="13" spans="1:39" ht="15.75" thickBot="1">
      <c r="A13" s="3525" t="s">
        <v>3193</v>
      </c>
      <c r="B13" s="1282" t="s">
        <v>874</v>
      </c>
      <c r="C13" s="3526">
        <f>ROUND(C16*D16*E16*F16*G16*H16*I16*J16,4)</f>
        <v>0</v>
      </c>
      <c r="D13" s="3544" t="s">
        <v>3194</v>
      </c>
      <c r="E13" s="3545"/>
      <c r="F13" s="3545"/>
      <c r="G13" s="3545"/>
      <c r="H13" s="3545"/>
      <c r="I13" s="3545"/>
      <c r="J13" s="3546"/>
      <c r="K13" s="2595"/>
      <c r="L13" s="2595"/>
      <c r="M13" s="2595"/>
      <c r="N13" s="2595"/>
      <c r="O13" s="2595"/>
      <c r="P13" s="1910"/>
      <c r="Q13" s="1910"/>
      <c r="R13" s="2415">
        <v>12</v>
      </c>
      <c r="S13" s="2405"/>
      <c r="T13" s="2415" t="e">
        <f t="shared" si="0"/>
        <v>#DIV/0!</v>
      </c>
      <c r="U13" s="2405"/>
      <c r="V13" s="2415" t="e">
        <f t="shared" si="1"/>
        <v>#DIV/0!</v>
      </c>
      <c r="W13" s="1910"/>
      <c r="X13" s="1910"/>
      <c r="Y13" s="1910"/>
      <c r="Z13" s="1910"/>
      <c r="AA13" s="1910"/>
      <c r="AB13" s="1910"/>
      <c r="AC13" s="1911"/>
    </row>
    <row r="14" spans="1:39" ht="12.75" customHeight="1">
      <c r="A14" s="3547"/>
      <c r="B14" s="1286" t="s">
        <v>1229</v>
      </c>
      <c r="C14" s="3460" t="s">
        <v>1230</v>
      </c>
      <c r="D14" s="1288" t="s">
        <v>1231</v>
      </c>
      <c r="E14" s="781" t="s">
        <v>3195</v>
      </c>
      <c r="F14" s="3548" t="s">
        <v>1178</v>
      </c>
      <c r="G14" s="3548" t="s">
        <v>1178</v>
      </c>
      <c r="H14" s="3549" t="s">
        <v>1178</v>
      </c>
      <c r="I14" s="3550" t="s">
        <v>1178</v>
      </c>
      <c r="J14" s="3550" t="s">
        <v>1178</v>
      </c>
      <c r="K14" s="2978"/>
      <c r="L14" s="2978"/>
      <c r="M14" s="2978"/>
      <c r="N14" s="2978"/>
      <c r="O14" s="2978"/>
      <c r="P14" s="1910"/>
      <c r="Q14" s="1910"/>
      <c r="R14" s="2415">
        <v>13</v>
      </c>
      <c r="S14" s="2405"/>
      <c r="T14" s="2415" t="e">
        <f t="shared" si="0"/>
        <v>#DIV/0!</v>
      </c>
      <c r="U14" s="2405"/>
      <c r="V14" s="2415" t="e">
        <f t="shared" si="1"/>
        <v>#DIV/0!</v>
      </c>
      <c r="W14" s="1910"/>
      <c r="X14" s="1910"/>
      <c r="Y14" s="1910"/>
      <c r="Z14" s="1910"/>
      <c r="AA14" s="1910"/>
      <c r="AB14" s="1910"/>
      <c r="AC14" s="1911"/>
    </row>
    <row r="15" spans="1:39" ht="13.5" customHeight="1">
      <c r="A15" s="3547"/>
      <c r="B15" s="1288"/>
      <c r="C15" s="3551"/>
      <c r="D15" s="3552"/>
      <c r="E15" s="3553"/>
      <c r="F15" s="3553"/>
      <c r="G15" s="3515" t="s">
        <v>3196</v>
      </c>
      <c r="H15" s="3516"/>
      <c r="I15" s="3517"/>
      <c r="J15" s="3518"/>
      <c r="K15" s="3519"/>
      <c r="L15" s="2596"/>
      <c r="M15" s="2596"/>
      <c r="N15" s="2596"/>
      <c r="O15" s="2596"/>
      <c r="P15" s="1910"/>
      <c r="Q15" s="1910"/>
      <c r="R15" s="2415">
        <v>14</v>
      </c>
      <c r="S15" s="2405"/>
      <c r="T15" s="2415" t="e">
        <f t="shared" si="0"/>
        <v>#DIV/0!</v>
      </c>
      <c r="U15" s="2405"/>
      <c r="V15" s="2415" t="e">
        <f t="shared" si="1"/>
        <v>#DIV/0!</v>
      </c>
      <c r="W15" s="1910"/>
      <c r="X15" s="1910"/>
      <c r="Y15" s="1910"/>
      <c r="Z15" s="1910"/>
      <c r="AA15" s="1910"/>
      <c r="AB15" s="1910"/>
      <c r="AC15" s="1911"/>
    </row>
    <row r="16" spans="1:39" ht="24.6" customHeight="1" thickBot="1">
      <c r="A16" s="3547"/>
      <c r="B16" s="2600" t="s">
        <v>1232</v>
      </c>
      <c r="C16" s="3513"/>
      <c r="D16" s="3513"/>
      <c r="E16" s="3513"/>
      <c r="F16" s="3513"/>
      <c r="G16" s="3513">
        <v>1</v>
      </c>
      <c r="H16" s="3513">
        <v>1</v>
      </c>
      <c r="I16" s="3513">
        <v>1</v>
      </c>
      <c r="J16" s="3514">
        <v>1</v>
      </c>
      <c r="K16" s="2596"/>
      <c r="L16" s="2596"/>
      <c r="M16" s="2596"/>
      <c r="N16" s="2596"/>
      <c r="O16" s="2596"/>
      <c r="P16" s="1910"/>
      <c r="Q16" s="1910"/>
      <c r="R16" s="2415">
        <v>15</v>
      </c>
      <c r="S16" s="2405"/>
      <c r="T16" s="2415" t="e">
        <f t="shared" si="0"/>
        <v>#DIV/0!</v>
      </c>
      <c r="U16" s="2405"/>
      <c r="V16" s="2415" t="e">
        <f t="shared" si="1"/>
        <v>#DIV/0!</v>
      </c>
      <c r="W16" s="1913"/>
      <c r="X16" s="1913"/>
      <c r="Y16" s="1913"/>
      <c r="Z16" s="1913"/>
      <c r="AA16" s="1913"/>
      <c r="AB16" s="1913"/>
      <c r="AC16" s="1914"/>
    </row>
    <row r="17" spans="1:40" ht="24">
      <c r="A17" s="3555" t="s">
        <v>3197</v>
      </c>
      <c r="B17" s="3556" t="s">
        <v>3198</v>
      </c>
      <c r="C17" s="3564">
        <f>ROUND(IF(OR(E2="工业",E2="公共服务"),1,IF(AND(E18=0,E19=0),1,IF(AND(E18=J24,E19=G19),0.8,IF(E19=0,1+E17*(-0.2),1+E17*G17*(-0.2))))),4)</f>
        <v>1</v>
      </c>
      <c r="D17" s="3557" t="s">
        <v>3199</v>
      </c>
      <c r="E17" s="3564" t="e">
        <f>ROUND(G18/I18,2)</f>
        <v>#DIV/0!</v>
      </c>
      <c r="F17" s="3557" t="s">
        <v>3202</v>
      </c>
      <c r="G17" s="3564" t="e">
        <f>ROUND(E19/G19,2)</f>
        <v>#DIV/0!</v>
      </c>
      <c r="H17" s="3564"/>
      <c r="I17" s="3564"/>
      <c r="J17" s="3645"/>
      <c r="K17" s="2596"/>
      <c r="L17" s="2596"/>
      <c r="M17" s="2596"/>
      <c r="N17" s="2596"/>
      <c r="O17" s="2596"/>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25">
      <c r="A18" s="3547"/>
      <c r="B18" s="3423"/>
      <c r="C18" s="3562"/>
      <c r="D18" s="3558" t="s">
        <v>3200</v>
      </c>
      <c r="E18" s="3563"/>
      <c r="F18" s="3560" t="s">
        <v>3203</v>
      </c>
      <c r="G18" s="3562">
        <f>ROUND(1-(1/(POWER(1+G24,E18))),4)</f>
        <v>0</v>
      </c>
      <c r="H18" s="3560" t="s">
        <v>3205</v>
      </c>
      <c r="I18" s="3562">
        <f>ROUND(1-(1/(POWER(1+G24,J24))),4)</f>
        <v>0</v>
      </c>
      <c r="J18" s="3646"/>
      <c r="K18" s="2596"/>
      <c r="L18" s="2596"/>
      <c r="M18" s="2596"/>
      <c r="N18" s="2596"/>
      <c r="O18" s="2596"/>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4"/>
      <c r="B19" s="3426"/>
      <c r="C19" s="3559"/>
      <c r="D19" s="3559" t="s">
        <v>3201</v>
      </c>
      <c r="E19" s="3565"/>
      <c r="F19" s="3561" t="s">
        <v>3204</v>
      </c>
      <c r="G19" s="3565"/>
      <c r="H19" s="3559"/>
      <c r="I19" s="3559"/>
      <c r="J19" s="3647"/>
      <c r="K19" s="2596"/>
      <c r="L19" s="2596"/>
      <c r="M19" s="2596"/>
      <c r="N19" s="2596"/>
      <c r="O19" s="2596"/>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25">
      <c r="A20" s="3909" t="s">
        <v>1370</v>
      </c>
      <c r="B20" s="1277" t="s">
        <v>875</v>
      </c>
      <c r="C20" s="997" t="e">
        <f>ROUND(IF(F21="与级别开发程度一致",0,(G21-E21)/C21),0)</f>
        <v>#DIV/0!</v>
      </c>
      <c r="D20" s="3904" t="s">
        <v>879</v>
      </c>
      <c r="E20" s="3905"/>
      <c r="F20" s="3904" t="s">
        <v>876</v>
      </c>
      <c r="G20" s="3905"/>
      <c r="H20" s="1290"/>
      <c r="I20" s="1290"/>
      <c r="J20" s="1290"/>
      <c r="K20" s="1290"/>
      <c r="L20" s="1290"/>
      <c r="M20" s="1290"/>
      <c r="N20" s="1290"/>
      <c r="O20" s="2605"/>
      <c r="P20" s="1910"/>
      <c r="Q20" s="1913"/>
      <c r="R20" s="1916"/>
      <c r="S20" s="1916"/>
      <c r="T20" s="1916"/>
      <c r="U20" s="1916"/>
      <c r="V20" s="1916"/>
      <c r="W20" s="1916"/>
      <c r="X20" s="1916"/>
      <c r="Y20" s="1294"/>
      <c r="Z20" s="1294"/>
      <c r="AA20" s="1294"/>
      <c r="AB20" s="1294"/>
      <c r="AC20" s="1294"/>
      <c r="AD20" s="1294"/>
    </row>
    <row r="21" spans="1:40" s="1275" customFormat="1" ht="15" thickBot="1">
      <c r="A21" s="3910"/>
      <c r="B21" s="2606" t="s">
        <v>878</v>
      </c>
      <c r="C21" s="2607">
        <f>IF(E3="M4科研用地",SUMPRODUCT((修正!A2:A7=E3)*(修正!B1:M1=G2)*(修正!B2:M7)),SUMPRODUCT((修正!A2:A7=E2)*(修正!B1:M1=G2)*(修正!B2:M7)))</f>
        <v>0</v>
      </c>
      <c r="D21" s="2608" t="str">
        <f>IF(OR(G2="八级",G2="九级",G2="十级",G2="十一级",G2="十二级"),"五通一平","七通一平")</f>
        <v>七通一平</v>
      </c>
      <c r="E21" s="2598">
        <f>SUMPRODUCT((修正!B1:M1=G2)*(修正!B17:M17))</f>
        <v>0</v>
      </c>
      <c r="F21" s="2599"/>
      <c r="G21" s="2598">
        <f>SUM(H21:O21)</f>
        <v>0</v>
      </c>
      <c r="H21" s="996">
        <f>SUMPRODUCT((七通一平=H20)*(修正!B1:M1=G2)*(修正!B8:M16))</f>
        <v>0</v>
      </c>
      <c r="I21" s="996">
        <f>SUMPRODUCT((七通一平=I20)*(修正!B1:M1=G2)*(修正!B8:M16))</f>
        <v>0</v>
      </c>
      <c r="J21" s="996">
        <f>SUMPRODUCT((七通一平=J20)*(修正!B1:M1=G2)*(修正!B8:M16))</f>
        <v>0</v>
      </c>
      <c r="K21" s="996">
        <f>SUMPRODUCT((七通一平=K20)*(修正!B1:M1=G2)*(修正!B8:M16))</f>
        <v>0</v>
      </c>
      <c r="L21" s="996">
        <f>SUMPRODUCT((七通一平=L20)*(修正!B1:M1=G2)*(修正!B8:M16))</f>
        <v>0</v>
      </c>
      <c r="M21" s="996">
        <f>SUMPRODUCT((七通一平=M20)*(修正!B1:M1=G2)*(修正!B8:M16))</f>
        <v>0</v>
      </c>
      <c r="N21" s="996">
        <f>SUMPRODUCT((七通一平=N20)*(修正!B1:M1=G2)*(修正!B8:M16))</f>
        <v>0</v>
      </c>
      <c r="O21" s="2609">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75" thickBot="1">
      <c r="A22" s="2259" t="s">
        <v>1358</v>
      </c>
      <c r="B22" s="2601" t="s">
        <v>880</v>
      </c>
      <c r="C22" s="2602">
        <f>SUMIF(修正!C20:C51,E3,修正!E20:E51)</f>
        <v>0</v>
      </c>
      <c r="D22" s="2603"/>
      <c r="E22" s="2604"/>
      <c r="F22" s="2589"/>
      <c r="G22" s="2588"/>
      <c r="H22" s="2588"/>
      <c r="I22" s="2588"/>
      <c r="J22" s="2594"/>
      <c r="K22" s="2976"/>
      <c r="L22" s="2588"/>
      <c r="M22" s="2588"/>
      <c r="N22" s="2588"/>
      <c r="O22" s="2588"/>
      <c r="P22" s="2981"/>
      <c r="Q22" s="1915"/>
      <c r="R22" s="1916"/>
      <c r="S22" s="1916"/>
      <c r="T22" s="1916"/>
      <c r="U22" s="1916"/>
      <c r="V22" s="1916"/>
      <c r="W22" s="1916"/>
      <c r="X22" s="1916"/>
      <c r="Y22" s="1294"/>
      <c r="Z22" s="1294"/>
      <c r="AA22" s="1294"/>
      <c r="AB22" s="1294"/>
      <c r="AC22" s="1294"/>
      <c r="AD22" s="1294"/>
    </row>
    <row r="23" spans="1:40" ht="27.75" thickBot="1">
      <c r="A23" s="1444" t="s">
        <v>1364</v>
      </c>
      <c r="B23" s="1293" t="s">
        <v>881</v>
      </c>
      <c r="C23" s="99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6" t="s">
        <v>882</v>
      </c>
      <c r="E23" s="999">
        <v>44197</v>
      </c>
      <c r="F23" s="1296" t="s">
        <v>883</v>
      </c>
      <c r="G23" s="1000">
        <f>'数据-取费表'!B2</f>
        <v>45175</v>
      </c>
      <c r="H23" s="1297" t="s">
        <v>2238</v>
      </c>
      <c r="I23" s="2265" t="str">
        <f>IF(H23="季度增幅（自定义）",SUMIF(N25:N28,E2,O25:O28),"")</f>
        <v/>
      </c>
      <c r="J23" s="3566"/>
      <c r="K23" s="2976"/>
      <c r="L23" s="2510" t="s">
        <v>2116</v>
      </c>
      <c r="M23" s="2511">
        <f>ROUND(SUMIF(地价!B2:F2,E2,地价!B41:F41),0)</f>
        <v>0</v>
      </c>
      <c r="N23" s="2267" t="s">
        <v>1211</v>
      </c>
      <c r="O23" s="2266">
        <f>ROUNDDOWN(DATEDIF(E23,G23,"M")/3,0)</f>
        <v>10</v>
      </c>
      <c r="P23" s="1914"/>
      <c r="Q23" s="2404"/>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7.75" thickBot="1">
      <c r="A24" s="2259" t="s">
        <v>1365</v>
      </c>
      <c r="B24" s="2260" t="s">
        <v>896</v>
      </c>
      <c r="C24" s="2261" t="e">
        <f>ROUND(POWER(1+G24,J24-I24)*(POWER(1+G24,I24)-1)/(POWER(1+G24,J24)-1),4)</f>
        <v>#DIV/0!</v>
      </c>
      <c r="D24" s="2262" t="s">
        <v>897</v>
      </c>
      <c r="E24" s="2539">
        <f>存贷款利率!E24/100</f>
        <v>4.3499999999999997E-2</v>
      </c>
      <c r="F24" s="2262" t="s">
        <v>898</v>
      </c>
      <c r="G24" s="2263">
        <f>SUMIF(M30:Q30,E2,M33:Q33)</f>
        <v>0</v>
      </c>
      <c r="H24" s="2262" t="s">
        <v>899</v>
      </c>
      <c r="I24" s="2258" t="e">
        <f>SUMIF('数据-取费表'!C6:C15,E2,'数据-取费表'!F6:F15)/COUNTIF('数据-取费表'!C6:C15,E2)</f>
        <v>#DIV/0!</v>
      </c>
      <c r="J24" s="2264">
        <f>IF(E2="住宅",70,IF(E2="商业",40,50))</f>
        <v>50</v>
      </c>
      <c r="K24" s="2596"/>
      <c r="L24" s="2512" t="s">
        <v>2117</v>
      </c>
      <c r="M24" s="2591">
        <f>ROUND(SUMPRODUCT((地价!A4:A41=YEAR(G23)&amp;"-"&amp;ROUNDUP(MONTH(G23)/3,0))*(地价!B2:F2=E2)*(地价!B4:F41)),0)</f>
        <v>0</v>
      </c>
      <c r="N24" s="2270" t="s">
        <v>1927</v>
      </c>
      <c r="O24" s="2268" t="s">
        <v>1926</v>
      </c>
      <c r="P24" s="2269" t="s">
        <v>1932</v>
      </c>
      <c r="Q24" s="2404"/>
      <c r="R24" s="1916"/>
      <c r="S24" s="1916"/>
      <c r="T24" s="1916"/>
      <c r="U24" s="1916"/>
      <c r="V24" s="1916"/>
      <c r="W24" s="1916"/>
      <c r="X24" s="1916"/>
      <c r="Y24" s="1294"/>
      <c r="Z24" s="1294"/>
      <c r="AA24" s="1294"/>
      <c r="AB24" s="1294"/>
      <c r="AC24" s="1294"/>
      <c r="AD24" s="1294"/>
    </row>
    <row r="25" spans="1:40" ht="14.25">
      <c r="A25" s="1446" t="s">
        <v>1366</v>
      </c>
      <c r="B25" s="1302" t="s">
        <v>2270</v>
      </c>
      <c r="C25" s="1056">
        <f>IF(B25="容积率修正",IF(G3&lt;10,D26,J26),C27)</f>
        <v>0</v>
      </c>
      <c r="D25" s="1303"/>
      <c r="E25" s="1303"/>
      <c r="F25" s="1303"/>
      <c r="G25" s="1303"/>
      <c r="H25" s="1303"/>
      <c r="I25" s="1303"/>
      <c r="J25" s="1304"/>
      <c r="K25" s="2976"/>
      <c r="L25" s="1303"/>
      <c r="M25" s="1303"/>
      <c r="N25" s="1300" t="s">
        <v>900</v>
      </c>
      <c r="O25" s="1360"/>
      <c r="P25" s="2257">
        <f>SUMPRODUCT((地价!A3:A41=YEAR(G23)&amp;"-"&amp;ROUNDUP(MONTH(G23)/3,0))*(地价!AD2:AH2=N25)*(地价!AD3:AH41))</f>
        <v>0</v>
      </c>
      <c r="Q25" s="2404"/>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25">
      <c r="A26" s="1447" t="s">
        <v>1395</v>
      </c>
      <c r="B26" s="1305" t="s">
        <v>901</v>
      </c>
      <c r="C26" s="3567" t="s">
        <v>3206</v>
      </c>
      <c r="D26" s="1001">
        <f>IF(E26=G26,F26,IF(G3&lt;10,ROUND(F26+(H26-F26)*(G3-E26)/(G26-E26),4),"——"))</f>
        <v>0</v>
      </c>
      <c r="E26" s="991">
        <f>ROUNDDOWN(G3,1)</f>
        <v>2</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1">
        <f>ROUNDUP(G3,1)</f>
        <v>2</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7" t="s">
        <v>3207</v>
      </c>
      <c r="J26" s="1001" t="str">
        <f>IF(G3&gt;=10,D116,"——")</f>
        <v>——</v>
      </c>
      <c r="K26" s="2982"/>
      <c r="L26" s="1303"/>
      <c r="M26" s="1303"/>
      <c r="N26" s="1300" t="s">
        <v>902</v>
      </c>
      <c r="O26" s="1360"/>
      <c r="P26" s="2257">
        <f>SUMPRODUCT((地价!A3:A41=YEAR(G23)&amp;"-"&amp;ROUNDUP(MONTH(G23)/3,0))*(地价!AD2:AH2=N26)*(地价!AD3:AH41))</f>
        <v>0</v>
      </c>
      <c r="Q26" s="2404"/>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75" thickBot="1">
      <c r="A27" s="1447" t="s">
        <v>1396</v>
      </c>
      <c r="B27" s="1305" t="s">
        <v>903</v>
      </c>
      <c r="C27" s="1002">
        <f>ROUND(IF(I3&lt;6,SUMPRODUCT((B107:B111=I3)*(C106:N106=G2)*(C107:N111)),SUMIF(C106:N106,G2,C113:N113)),4)</f>
        <v>0</v>
      </c>
      <c r="D27" s="1348"/>
      <c r="E27" s="1348"/>
      <c r="F27" s="1349"/>
      <c r="G27" s="1350"/>
      <c r="H27" s="1351"/>
      <c r="I27" s="1352"/>
      <c r="J27" s="1352"/>
      <c r="K27" s="2983"/>
      <c r="L27" s="1255"/>
      <c r="M27" s="1255"/>
      <c r="N27" s="1300" t="s">
        <v>851</v>
      </c>
      <c r="O27" s="1360"/>
      <c r="P27" s="2257">
        <f>SUMPRODUCT((地价!A3:A41=YEAR(G23)&amp;"-"&amp;ROUNDUP(MONTH(G23)/3,0))*(地价!AD2:AH2=N27)*(地价!AD3:AH41))</f>
        <v>0</v>
      </c>
      <c r="Q27" s="2404"/>
      <c r="R27" s="2404"/>
      <c r="S27" s="2404"/>
      <c r="T27" s="2404"/>
      <c r="U27" s="2404"/>
      <c r="V27" s="2404"/>
      <c r="W27" s="1916"/>
      <c r="X27" s="1916"/>
      <c r="Y27" s="1916"/>
      <c r="Z27" s="1916"/>
      <c r="AA27" s="1916"/>
      <c r="AB27" s="1916"/>
      <c r="AC27" s="1916"/>
    </row>
    <row r="28" spans="1:40" ht="15.75" thickBot="1">
      <c r="A28" s="1445" t="s">
        <v>1397</v>
      </c>
      <c r="B28" s="1269" t="s">
        <v>904</v>
      </c>
      <c r="C28" s="1003">
        <f>SUMIF(A47:A101,E2,B47:B101)</f>
        <v>0</v>
      </c>
      <c r="D28" s="1353"/>
      <c r="E28" s="1354"/>
      <c r="F28" s="1354"/>
      <c r="G28" s="1354"/>
      <c r="H28" s="1354"/>
      <c r="I28" s="1354"/>
      <c r="J28" s="1354"/>
      <c r="K28" s="2983"/>
      <c r="L28" s="1303"/>
      <c r="M28" s="1303"/>
      <c r="N28" s="1300" t="s">
        <v>905</v>
      </c>
      <c r="O28" s="2590"/>
      <c r="P28" s="2257">
        <f>SUMPRODUCT((地价!A3:A41=YEAR(G23)&amp;"-"&amp;ROUNDUP(MONTH(G23)/3,0))*(地价!AD2:AH2=N28)*(地价!AD3:AH41))</f>
        <v>0</v>
      </c>
      <c r="Q28" s="2404"/>
      <c r="R28" s="2404"/>
      <c r="S28" s="2404"/>
      <c r="T28" s="2404"/>
      <c r="U28" s="2404"/>
      <c r="V28" s="2404"/>
      <c r="W28" s="1916"/>
      <c r="X28" s="1916"/>
      <c r="Y28" s="1916"/>
      <c r="Z28" s="1916"/>
      <c r="AA28" s="1916"/>
      <c r="AB28" s="1916"/>
      <c r="AC28" s="1916"/>
      <c r="AD28" s="1294"/>
      <c r="AE28" s="1294"/>
      <c r="AF28" s="1294"/>
      <c r="AG28" s="1294"/>
    </row>
    <row r="29" spans="1:40" ht="15" thickBot="1">
      <c r="A29" s="1445" t="s">
        <v>1398</v>
      </c>
      <c r="B29" s="1307" t="s">
        <v>906</v>
      </c>
      <c r="C29" s="1308"/>
      <c r="D29" s="1279"/>
      <c r="E29" s="1279"/>
      <c r="F29" s="1309"/>
      <c r="G29" s="1279"/>
      <c r="H29" s="1279"/>
      <c r="I29" s="1279"/>
      <c r="J29" s="1280"/>
      <c r="K29" s="2977"/>
      <c r="L29" s="1916"/>
      <c r="M29" s="1916"/>
      <c r="N29" s="2592" t="s">
        <v>1930</v>
      </c>
      <c r="O29" s="2593"/>
      <c r="P29" s="2099">
        <f>SUMPRODUCT((地价!A3:A41=YEAR(G23)&amp;"-"&amp;ROUNDUP(MONTH(G23)/3,0))*(地价!AD2:AH2=N29)*(地价!AD3:AH41))</f>
        <v>0</v>
      </c>
      <c r="Q29" s="2404"/>
      <c r="R29" s="1916"/>
      <c r="S29" s="1916"/>
      <c r="T29" s="1916"/>
      <c r="U29" s="1916"/>
      <c r="V29" s="1916"/>
      <c r="W29" s="2404"/>
      <c r="X29" s="2404"/>
      <c r="Y29" s="2404"/>
      <c r="Z29" s="2404"/>
      <c r="AA29" s="2404"/>
      <c r="AB29" s="1916"/>
      <c r="AC29" s="1916"/>
      <c r="AD29" s="1916"/>
      <c r="AE29" s="1916"/>
      <c r="AF29" s="1916"/>
      <c r="AG29" s="1916"/>
      <c r="AH29" s="1916"/>
      <c r="AJ29" s="1257"/>
      <c r="AK29" s="1257"/>
      <c r="AL29" s="1257"/>
      <c r="AM29" s="1256"/>
      <c r="AN29" s="1256"/>
    </row>
    <row r="30" spans="1:40" ht="13.5">
      <c r="A30" s="1310"/>
      <c r="B30" s="1305" t="s">
        <v>910</v>
      </c>
      <c r="C30" s="2759" t="e">
        <f>IF(B25="容积率修正",E33+SUM(E37:E42),SUM(V2:V16)+SUM(E37:E42))</f>
        <v>#DIV/0!</v>
      </c>
      <c r="D30" s="1311"/>
      <c r="E30" s="1289"/>
      <c r="F30" s="1312"/>
      <c r="G30" s="1289"/>
      <c r="H30" s="1289"/>
      <c r="I30" s="1289"/>
      <c r="J30" s="1313"/>
      <c r="K30" s="2977"/>
      <c r="L30" s="1406" t="s">
        <v>833</v>
      </c>
      <c r="M30" s="1278" t="s">
        <v>907</v>
      </c>
      <c r="N30" s="1278" t="s">
        <v>908</v>
      </c>
      <c r="O30" s="1278" t="s">
        <v>835</v>
      </c>
      <c r="P30" s="1298" t="s">
        <v>909</v>
      </c>
      <c r="Q30" s="1298" t="s">
        <v>3234</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4.25" thickBot="1">
      <c r="A31" s="1310"/>
      <c r="B31" s="1314" t="s">
        <v>912</v>
      </c>
      <c r="C31" s="1005" t="e">
        <f>E34+SUM(I37:I42)</f>
        <v>#DIV/0!</v>
      </c>
      <c r="D31" s="1315"/>
      <c r="E31" s="1316"/>
      <c r="F31" s="1317"/>
      <c r="G31" s="1316"/>
      <c r="H31" s="1316"/>
      <c r="I31" s="1316"/>
      <c r="J31" s="1318"/>
      <c r="K31" s="2977"/>
      <c r="L31" s="1291" t="s">
        <v>911</v>
      </c>
      <c r="M31" s="994">
        <v>0.25</v>
      </c>
      <c r="N31" s="994">
        <v>0.2</v>
      </c>
      <c r="O31" s="994">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7"/>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2.75">
      <c r="A33" s="1323"/>
      <c r="B33" s="1324" t="s">
        <v>917</v>
      </c>
      <c r="C33" s="1004" t="e">
        <f>ROUND(C5*C22*C23*C24*C25*C28,0)</f>
        <v>#DIV/0!</v>
      </c>
      <c r="D33" s="1325"/>
      <c r="E33" s="1634" t="e">
        <f>ROUND(C33*D33/10000,0)</f>
        <v>#DIV/0!</v>
      </c>
      <c r="F33" s="3568" t="s">
        <v>3209</v>
      </c>
      <c r="G33" s="1326"/>
      <c r="H33" s="1326"/>
      <c r="I33" s="1326"/>
      <c r="J33" s="1327"/>
      <c r="K33" s="2984"/>
      <c r="L33" s="3638" t="s">
        <v>3235</v>
      </c>
      <c r="M33" s="3639">
        <v>5.5E-2</v>
      </c>
      <c r="N33" s="3639">
        <v>5.5E-2</v>
      </c>
      <c r="O33" s="3639">
        <v>0.05</v>
      </c>
      <c r="P33" s="3639">
        <v>0.05</v>
      </c>
      <c r="Q33" s="3639">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75" thickBot="1">
      <c r="A34" s="1328"/>
      <c r="B34" s="1329" t="s">
        <v>918</v>
      </c>
      <c r="C34" s="996" t="e">
        <f>ROUND(IF(E2="工业",C33*M42,IF(B25="楼层修正",SUM(V2:V16)*M41*10000/D34,C33*M41)),0)</f>
        <v>#DIV/0!</v>
      </c>
      <c r="D34" s="1330"/>
      <c r="E34" s="1634" t="e">
        <f>ROUND(IF(B25="楼层修正",SUM(V2:V16)*#REF!,C34*D34/10000),0)</f>
        <v>#DIV/0!</v>
      </c>
      <c r="F34" s="3569" t="s">
        <v>3210</v>
      </c>
      <c r="G34" s="1331"/>
      <c r="H34" s="1331"/>
      <c r="I34" s="1331"/>
      <c r="J34" s="1332"/>
      <c r="K34" s="2977"/>
      <c r="L34" s="3638" t="s">
        <v>3236</v>
      </c>
      <c r="M34" s="3639">
        <v>6.5000000000000002E-2</v>
      </c>
      <c r="N34" s="3639">
        <v>6.5000000000000002E-2</v>
      </c>
      <c r="O34" s="3639">
        <v>0.06</v>
      </c>
      <c r="P34" s="3639">
        <v>0.06</v>
      </c>
      <c r="Q34" s="3639">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7"/>
      <c r="L35" s="2977"/>
      <c r="M35" s="2977"/>
      <c r="N35" s="2977"/>
      <c r="O35" s="2977"/>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40" t="s">
        <v>3237</v>
      </c>
      <c r="L36" s="3642">
        <f ca="1">'数据-取费表'!B40</f>
        <v>3.4500000000000003E-2</v>
      </c>
      <c r="M36" s="3643">
        <f ca="1">ROUND($L$36*(1+M31),3)</f>
        <v>4.2999999999999997E-2</v>
      </c>
      <c r="N36" s="3643">
        <f ca="1">ROUND($L$36*(1+N31),3)</f>
        <v>4.1000000000000002E-2</v>
      </c>
      <c r="O36" s="3643">
        <f ca="1">ROUND($L$36*(1+O31),3)</f>
        <v>0.04</v>
      </c>
      <c r="P36" s="3643">
        <f ca="1">ROUND($L$36*(1+P31),3)</f>
        <v>3.7999999999999999E-2</v>
      </c>
      <c r="Q36" s="3643">
        <f ca="1">ROUND($L$36*(1+Q31),3)</f>
        <v>0.04</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13.5" thickBot="1">
      <c r="A37" s="3906"/>
      <c r="B37" s="1343" t="s">
        <v>923</v>
      </c>
      <c r="C37" s="1004" t="e">
        <f>ROUND(D5*C22*C23*C24*C28*F37,0)</f>
        <v>#DIV/0!</v>
      </c>
      <c r="D37" s="1355"/>
      <c r="E37" s="995" t="e">
        <f>ROUND(C37*D37/10000,0)</f>
        <v>#DIV/0!</v>
      </c>
      <c r="F37" s="995">
        <f>SUMIF(修正!A57:A68,G2,修正!B57:B68)</f>
        <v>0</v>
      </c>
      <c r="G37" s="995" t="e">
        <f>ROUND(IF(E2="工业",C37*$M$42,C37*$M$41),0)</f>
        <v>#DIV/0!</v>
      </c>
      <c r="H37" s="995">
        <f>D37</f>
        <v>0</v>
      </c>
      <c r="I37" s="995" t="e">
        <f>ROUND(G37*H37/10000,0)</f>
        <v>#DIV/0!</v>
      </c>
      <c r="J37" s="3906"/>
      <c r="K37" s="3641" t="s">
        <v>3238</v>
      </c>
      <c r="L37" s="3642">
        <f ca="1">L36+K38</f>
        <v>3.95E-2</v>
      </c>
      <c r="M37" s="3643">
        <f ca="1">ROUND($L$37*(1+M31),3)</f>
        <v>4.9000000000000002E-2</v>
      </c>
      <c r="N37" s="3643">
        <f t="shared" ref="N37:Q37" ca="1" si="3">ROUND($L$37*(1+N31),3)</f>
        <v>4.7E-2</v>
      </c>
      <c r="O37" s="3643">
        <f t="shared" ca="1" si="3"/>
        <v>4.4999999999999998E-2</v>
      </c>
      <c r="P37" s="3643">
        <f t="shared" ca="1" si="3"/>
        <v>4.2999999999999997E-2</v>
      </c>
      <c r="Q37" s="3643">
        <f t="shared" ca="1" si="3"/>
        <v>4.4999999999999998E-2</v>
      </c>
      <c r="R37" s="1911"/>
      <c r="S37" s="1911"/>
      <c r="T37" s="1911"/>
      <c r="U37" s="1911"/>
      <c r="V37" s="1911"/>
      <c r="W37" s="1910"/>
      <c r="X37" s="1910"/>
      <c r="Y37" s="1910"/>
      <c r="Z37" s="1910"/>
      <c r="AA37" s="1910"/>
      <c r="AB37" s="1910"/>
      <c r="AC37" s="1911"/>
    </row>
    <row r="38" spans="1:44" ht="12.75">
      <c r="A38" s="3907"/>
      <c r="B38" s="1287" t="s">
        <v>924</v>
      </c>
      <c r="C38" s="1004" t="e">
        <f>ROUND(D5*C22*C23*C24*C28*F38,0)</f>
        <v>#DIV/0!</v>
      </c>
      <c r="D38" s="1355"/>
      <c r="E38" s="995" t="e">
        <f t="shared" ref="E38:E42" si="4">ROUND(C38*D38/10000,0)</f>
        <v>#DIV/0!</v>
      </c>
      <c r="F38" s="995">
        <f>SUMIF(修正!A57:A68,G2,修正!C57:C68)</f>
        <v>0</v>
      </c>
      <c r="G38" s="995" t="e">
        <f>ROUND(IF(E2="工业",C38*$M$42,C38*$M$41),0)</f>
        <v>#DIV/0!</v>
      </c>
      <c r="H38" s="995">
        <f t="shared" ref="H38:H42" si="5">D38</f>
        <v>0</v>
      </c>
      <c r="I38" s="995" t="e">
        <f t="shared" ref="I38:I42" si="6">ROUND(G38*H38/10000,0)</f>
        <v>#DIV/0!</v>
      </c>
      <c r="J38" s="3907"/>
      <c r="K38" s="3640">
        <v>5.0000000000000001E-3</v>
      </c>
      <c r="L38" s="3640"/>
      <c r="M38" s="3640"/>
      <c r="N38" s="3640"/>
      <c r="O38" s="3640"/>
      <c r="P38" s="3640"/>
      <c r="Q38" s="3640"/>
      <c r="R38" s="1911"/>
      <c r="S38" s="1911"/>
      <c r="T38" s="1911"/>
      <c r="U38" s="1911"/>
      <c r="V38" s="1911"/>
      <c r="W38" s="1910"/>
      <c r="X38" s="1910"/>
      <c r="Y38" s="1910"/>
      <c r="Z38" s="1910"/>
      <c r="AA38" s="1910"/>
      <c r="AB38" s="1910"/>
      <c r="AC38" s="1911"/>
    </row>
    <row r="39" spans="1:44" ht="13.5" thickBot="1">
      <c r="A39" s="3907"/>
      <c r="B39" s="3570" t="s">
        <v>3211</v>
      </c>
      <c r="C39" s="1004" t="e">
        <f>ROUND(D5*C22*C23*C24*C28*F39,0)</f>
        <v>#DIV/0!</v>
      </c>
      <c r="D39" s="1355"/>
      <c r="E39" s="995" t="e">
        <f t="shared" si="4"/>
        <v>#DIV/0!</v>
      </c>
      <c r="F39" s="995">
        <f>SUMIF(修正!A57:A68,G2,修正!D57:D68)</f>
        <v>0</v>
      </c>
      <c r="G39" s="995" t="e">
        <f>ROUND(IF(E2="工业",C39*$M$42,C39*$M$41),0)</f>
        <v>#DIV/0!</v>
      </c>
      <c r="H39" s="995">
        <f t="shared" si="5"/>
        <v>0</v>
      </c>
      <c r="I39" s="995" t="e">
        <f t="shared" si="6"/>
        <v>#DIV/0!</v>
      </c>
      <c r="J39" s="3907"/>
      <c r="K39" s="2595"/>
      <c r="L39" s="2595"/>
      <c r="M39" s="2595"/>
      <c r="N39" s="2595"/>
      <c r="O39" s="2595"/>
      <c r="P39" s="1910"/>
      <c r="Q39" s="1910"/>
      <c r="R39" s="1911"/>
      <c r="S39" s="1911"/>
      <c r="T39" s="1911"/>
      <c r="U39" s="1911"/>
      <c r="V39" s="1911"/>
      <c r="W39" s="1910"/>
      <c r="X39" s="1910"/>
      <c r="Y39" s="1910"/>
      <c r="Z39" s="1910"/>
      <c r="AA39" s="1910"/>
      <c r="AB39" s="1910"/>
      <c r="AC39" s="1911"/>
    </row>
    <row r="40" spans="1:44" s="1256" customFormat="1" ht="12.75">
      <c r="A40" s="1342"/>
      <c r="B40" s="1287" t="s">
        <v>925</v>
      </c>
      <c r="C40" s="995" t="e">
        <f>ROUND(D5*C22*C23*C24*C28*F40,0)</f>
        <v>#DIV/0!</v>
      </c>
      <c r="D40" s="1355"/>
      <c r="E40" s="995" t="e">
        <f t="shared" si="4"/>
        <v>#DIV/0!</v>
      </c>
      <c r="F40" s="1004">
        <f>SUMIF(修正!A57:A68,G2,修正!E57:E68)</f>
        <v>0</v>
      </c>
      <c r="G40" s="995" t="e">
        <f>ROUND(IF(E2="工业",C40*$M$42,C40*$M$41),0)</f>
        <v>#DIV/0!</v>
      </c>
      <c r="H40" s="995">
        <f t="shared" si="5"/>
        <v>0</v>
      </c>
      <c r="I40" s="995" t="e">
        <f t="shared" si="6"/>
        <v>#DIV/0!</v>
      </c>
      <c r="J40" s="1344"/>
      <c r="K40" s="1910"/>
      <c r="L40" s="1361" t="s">
        <v>1233</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2.75">
      <c r="A41" s="1342"/>
      <c r="B41" s="1287" t="s">
        <v>926</v>
      </c>
      <c r="C41" s="995" t="e">
        <f>ROUND(D5*C22*C23*C44*C28*F41,0)</f>
        <v>#DIV/0!</v>
      </c>
      <c r="D41" s="1355"/>
      <c r="E41" s="995" t="e">
        <f t="shared" si="4"/>
        <v>#DIV/0!</v>
      </c>
      <c r="F41" s="1004">
        <f>SUMIF(修正!A57:A68,G2,修正!F57:F68)</f>
        <v>0</v>
      </c>
      <c r="G41" s="995" t="e">
        <f>ROUND(IF(E2="工业",C41*$M$42,C41*$M$41),0)</f>
        <v>#DIV/0!</v>
      </c>
      <c r="H41" s="995">
        <f t="shared" si="5"/>
        <v>0</v>
      </c>
      <c r="I41" s="995" t="e">
        <f t="shared" si="6"/>
        <v>#DIV/0!</v>
      </c>
      <c r="J41" s="1344"/>
      <c r="K41" s="1910"/>
      <c r="L41" s="3644" t="s">
        <v>3239</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5" thickBot="1">
      <c r="A42" s="1328"/>
      <c r="B42" s="1345" t="s">
        <v>927</v>
      </c>
      <c r="C42" s="996" t="e">
        <f>ROUND(D5*C22*C23*C44*C28*F42,0)</f>
        <v>#DIV/0!</v>
      </c>
      <c r="D42" s="1356"/>
      <c r="E42" s="996" t="e">
        <f t="shared" si="4"/>
        <v>#DIV/0!</v>
      </c>
      <c r="F42" s="1006">
        <f>SUMIF(修正!A57:A68,G2,修正!G57:G68)</f>
        <v>0</v>
      </c>
      <c r="G42" s="996" t="e">
        <f>ROUND(IF(E2="工业",C42*$M$42,C42*$M$41),0)</f>
        <v>#DIV/0!</v>
      </c>
      <c r="H42" s="996">
        <f t="shared" si="5"/>
        <v>0</v>
      </c>
      <c r="I42" s="996" t="e">
        <f t="shared" si="6"/>
        <v>#DIV/0!</v>
      </c>
      <c r="J42" s="1346"/>
      <c r="K42" s="1910"/>
      <c r="L42" s="1364" t="s">
        <v>1234</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12.75">
      <c r="A44" s="1257"/>
      <c r="B44" s="2587" t="s">
        <v>2234</v>
      </c>
      <c r="C44" s="804" t="e">
        <f>ROUND(POWER(1+E44,H44-G44)*(POWER(1+E44,G44)-1)/(POWER(1+E44,H44)-1),4)</f>
        <v>#DIV/0!</v>
      </c>
      <c r="D44" s="365" t="s">
        <v>2232</v>
      </c>
      <c r="E44" s="2586">
        <f>G24</f>
        <v>0</v>
      </c>
      <c r="F44" s="365" t="s">
        <v>2233</v>
      </c>
      <c r="G44" s="383"/>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3" customFormat="1" ht="15" thickBot="1">
      <c r="A47" s="3579" t="s">
        <v>928</v>
      </c>
      <c r="B47" s="3580"/>
      <c r="C47" s="3581"/>
      <c r="D47" s="3582"/>
      <c r="E47" s="3582"/>
      <c r="F47" s="3582"/>
      <c r="G47" s="3433"/>
      <c r="H47" s="3582"/>
      <c r="I47" s="3433"/>
      <c r="J47" s="3433"/>
      <c r="K47" s="3433"/>
      <c r="L47" s="3433"/>
      <c r="M47" s="3433"/>
      <c r="O47" s="1919"/>
      <c r="P47" s="1919"/>
      <c r="Q47" s="1919"/>
      <c r="R47" s="1919"/>
      <c r="S47" s="1919"/>
      <c r="T47" s="1919"/>
      <c r="U47" s="1919"/>
      <c r="V47" s="1919"/>
      <c r="W47" s="1919"/>
      <c r="X47" s="1919"/>
      <c r="Y47" s="1919"/>
      <c r="Z47" s="1919"/>
      <c r="AA47" s="1919"/>
      <c r="AB47" s="1919"/>
      <c r="AC47" s="1919"/>
      <c r="AD47" s="1919"/>
    </row>
    <row r="48" spans="1:44" s="3583" customFormat="1" ht="15">
      <c r="A48" s="3584" t="s">
        <v>929</v>
      </c>
      <c r="B48" s="3648">
        <f>1+E50</f>
        <v>1</v>
      </c>
      <c r="C48" s="3585"/>
      <c r="D48" s="3586"/>
      <c r="E48" s="3587"/>
      <c r="F48" s="3588"/>
      <c r="G48" s="3582"/>
      <c r="H48" s="3582"/>
      <c r="I48" s="3433"/>
      <c r="J48" s="3433"/>
      <c r="K48" s="3433"/>
      <c r="L48" s="3433"/>
      <c r="M48" s="3433"/>
      <c r="O48" s="1919"/>
      <c r="P48" s="1919"/>
      <c r="Q48" s="1919"/>
      <c r="R48" s="1919"/>
      <c r="S48" s="1919"/>
      <c r="T48" s="1919"/>
      <c r="U48" s="1919"/>
      <c r="V48" s="1919"/>
      <c r="W48" s="1919"/>
      <c r="X48" s="1919"/>
      <c r="Y48" s="1919"/>
      <c r="Z48" s="1919"/>
      <c r="AA48" s="1919"/>
      <c r="AB48" s="1919"/>
      <c r="AC48" s="1919"/>
      <c r="AD48" s="1919"/>
    </row>
    <row r="49" spans="1:30" s="3583" customFormat="1" ht="24">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19"/>
      <c r="Q49" s="1919"/>
      <c r="R49" s="1919"/>
      <c r="S49" s="1919"/>
      <c r="T49" s="1919"/>
      <c r="U49" s="1919"/>
      <c r="V49" s="1919"/>
      <c r="W49" s="1919"/>
      <c r="X49" s="1919"/>
      <c r="Y49" s="1919"/>
      <c r="Z49" s="1919"/>
      <c r="AA49" s="1919"/>
      <c r="AB49" s="1919"/>
      <c r="AC49" s="1919"/>
      <c r="AD49" s="1919"/>
    </row>
    <row r="50" spans="1:30" s="3583" customFormat="1" ht="24">
      <c r="A50" s="3589" t="s">
        <v>942</v>
      </c>
      <c r="B50" s="3596">
        <f>估价对象房地状况!C16</f>
        <v>0</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19"/>
      <c r="Q50" s="1919"/>
      <c r="R50" s="1919"/>
      <c r="S50" s="1919"/>
      <c r="T50" s="1919"/>
      <c r="U50" s="1919"/>
      <c r="V50" s="1919"/>
      <c r="W50" s="1919"/>
      <c r="X50" s="1919"/>
      <c r="Y50" s="1919"/>
      <c r="Z50" s="1919"/>
      <c r="AA50" s="1919"/>
      <c r="AB50" s="1919"/>
      <c r="AC50" s="1919"/>
      <c r="AD50" s="1919"/>
    </row>
    <row r="51" spans="1:30" s="3583" customFormat="1" ht="14.25">
      <c r="A51" s="3589" t="s">
        <v>943</v>
      </c>
      <c r="B51" s="3590">
        <f>估价对象房地状况!C18</f>
        <v>0</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19"/>
      <c r="Q51" s="1919"/>
      <c r="R51" s="1919"/>
      <c r="S51" s="1919"/>
      <c r="T51" s="1919"/>
      <c r="U51" s="1919"/>
      <c r="V51" s="1919"/>
      <c r="W51" s="1919"/>
      <c r="X51" s="1919"/>
      <c r="Y51" s="1919"/>
      <c r="Z51" s="1919"/>
      <c r="AA51" s="1919"/>
      <c r="AB51" s="1919"/>
      <c r="AC51" s="1919"/>
      <c r="AD51" s="1919"/>
    </row>
    <row r="52" spans="1:30" s="3583" customFormat="1" ht="36">
      <c r="A52" s="3571" t="s">
        <v>3213</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19"/>
      <c r="Q52" s="1919"/>
      <c r="R52" s="1919"/>
      <c r="S52" s="1919"/>
      <c r="T52" s="1919"/>
      <c r="U52" s="1919"/>
      <c r="V52" s="1919"/>
      <c r="W52" s="1919"/>
      <c r="X52" s="1919"/>
      <c r="Y52" s="1919"/>
      <c r="Z52" s="1919"/>
      <c r="AA52" s="1919"/>
      <c r="AB52" s="1919"/>
      <c r="AC52" s="1919"/>
      <c r="AD52" s="1919"/>
    </row>
    <row r="53" spans="1:30" s="3583" customFormat="1" ht="36">
      <c r="A53" s="3589" t="s">
        <v>945</v>
      </c>
      <c r="B53" s="3605" t="s">
        <v>2191</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19"/>
      <c r="Q53" s="1919"/>
      <c r="R53" s="1919"/>
      <c r="S53" s="1919"/>
      <c r="T53" s="1919"/>
      <c r="U53" s="1919"/>
      <c r="V53" s="1919"/>
      <c r="W53" s="1919"/>
      <c r="X53" s="1919"/>
      <c r="Y53" s="1919"/>
      <c r="Z53" s="1919"/>
      <c r="AA53" s="1919"/>
      <c r="AB53" s="1919"/>
      <c r="AC53" s="1919"/>
      <c r="AD53" s="1919"/>
    </row>
    <row r="54" spans="1:30" s="3583" customFormat="1" ht="24">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19"/>
      <c r="Q54" s="1919"/>
      <c r="R54" s="1919"/>
      <c r="S54" s="1919"/>
      <c r="T54" s="1919"/>
      <c r="U54" s="1919"/>
      <c r="V54" s="1919"/>
      <c r="W54" s="1919"/>
      <c r="X54" s="1919"/>
      <c r="Y54" s="1919"/>
      <c r="Z54" s="1919"/>
      <c r="AA54" s="1919"/>
      <c r="AB54" s="1919"/>
      <c r="AC54" s="1919"/>
      <c r="AD54" s="1919"/>
    </row>
    <row r="55" spans="1:30" s="3583" customFormat="1" ht="24">
      <c r="A55" s="3589" t="s">
        <v>947</v>
      </c>
      <c r="B55" s="3606" t="s">
        <v>2190</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19"/>
      <c r="Q55" s="1919"/>
      <c r="R55" s="1919"/>
      <c r="S55" s="1919"/>
      <c r="T55" s="1919"/>
      <c r="U55" s="1919"/>
      <c r="V55" s="1919"/>
      <c r="W55" s="1919"/>
      <c r="X55" s="1919"/>
      <c r="Y55" s="1919"/>
      <c r="Z55" s="1919"/>
      <c r="AA55" s="1919"/>
      <c r="AB55" s="1919"/>
      <c r="AC55" s="1919"/>
      <c r="AD55" s="1919"/>
    </row>
    <row r="56" spans="1:30" s="3583" customFormat="1" ht="24">
      <c r="A56" s="3607" t="s">
        <v>948</v>
      </c>
      <c r="B56" s="3608">
        <f>估价对象房地状况!C21</f>
        <v>0</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19"/>
      <c r="Q56" s="1919"/>
      <c r="R56" s="1919"/>
      <c r="S56" s="1919"/>
      <c r="T56" s="1919"/>
      <c r="U56" s="1919"/>
      <c r="V56" s="1919"/>
      <c r="W56" s="1919"/>
      <c r="X56" s="1919"/>
      <c r="Y56" s="1919"/>
      <c r="Z56" s="1919"/>
      <c r="AA56" s="1919"/>
      <c r="AB56" s="1919"/>
      <c r="AC56" s="1919"/>
      <c r="AD56" s="1919"/>
    </row>
    <row r="57" spans="1:30" s="3583" customFormat="1" ht="24">
      <c r="A57" s="3607" t="s">
        <v>949</v>
      </c>
      <c r="B57" s="3590">
        <f>估价对象房地状况!C22</f>
        <v>0</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19"/>
      <c r="Q57" s="1919"/>
      <c r="R57" s="1919"/>
      <c r="S57" s="1919"/>
      <c r="T57" s="1919"/>
      <c r="U57" s="1919"/>
      <c r="V57" s="1919"/>
      <c r="W57" s="1919"/>
      <c r="X57" s="1919"/>
      <c r="Y57" s="1919"/>
      <c r="Z57" s="1919"/>
      <c r="AA57" s="1919"/>
      <c r="AB57" s="1919"/>
      <c r="AC57" s="1919"/>
      <c r="AD57" s="1919"/>
    </row>
    <row r="58" spans="1:30" s="3583" customFormat="1" ht="24.75" thickBot="1">
      <c r="A58" s="3609" t="s">
        <v>950</v>
      </c>
      <c r="B58" s="3610">
        <f>估价对象房地状况!C20</f>
        <v>0</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19"/>
      <c r="Q58" s="1919"/>
      <c r="R58" s="1919"/>
      <c r="S58" s="1919"/>
      <c r="T58" s="1919"/>
      <c r="U58" s="1919"/>
      <c r="V58" s="1919"/>
      <c r="W58" s="1919"/>
      <c r="X58" s="1919"/>
      <c r="Y58" s="1919"/>
      <c r="Z58" s="1919"/>
      <c r="AA58" s="1919"/>
      <c r="AB58" s="1919"/>
      <c r="AC58" s="1919"/>
      <c r="AD58" s="1919"/>
    </row>
    <row r="59" spans="1:30" s="3583" customFormat="1" ht="15">
      <c r="A59" s="3584" t="s">
        <v>951</v>
      </c>
      <c r="B59" s="3648">
        <f>1+E61</f>
        <v>1</v>
      </c>
      <c r="C59" s="3612"/>
      <c r="D59" s="3586"/>
      <c r="E59" s="3587"/>
      <c r="F59" s="3588"/>
      <c r="G59" s="3582"/>
      <c r="H59" s="3582"/>
      <c r="I59" s="3582"/>
      <c r="J59" s="3433"/>
      <c r="K59" s="3433"/>
      <c r="L59" s="3433"/>
      <c r="M59" s="3433"/>
      <c r="N59" s="3433"/>
      <c r="P59" s="1919"/>
      <c r="Q59" s="1919"/>
      <c r="R59" s="1919"/>
      <c r="S59" s="1919"/>
      <c r="T59" s="1919"/>
      <c r="U59" s="1919"/>
      <c r="V59" s="1919"/>
      <c r="W59" s="1919"/>
      <c r="X59" s="1919"/>
      <c r="Y59" s="1919"/>
      <c r="Z59" s="1919"/>
      <c r="AA59" s="1919"/>
      <c r="AB59" s="1919"/>
      <c r="AC59" s="1919"/>
      <c r="AD59" s="1919"/>
    </row>
    <row r="60" spans="1:30" s="3583" customFormat="1" ht="24">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19"/>
      <c r="Q60" s="1919"/>
      <c r="R60" s="1919"/>
      <c r="S60" s="1919"/>
      <c r="T60" s="1919"/>
      <c r="U60" s="1919"/>
      <c r="V60" s="1919"/>
      <c r="W60" s="1919"/>
      <c r="X60" s="1919"/>
      <c r="Y60" s="1919"/>
      <c r="Z60" s="1919"/>
      <c r="AA60" s="1919"/>
      <c r="AB60" s="1919"/>
      <c r="AC60" s="1919"/>
      <c r="AD60" s="1919"/>
    </row>
    <row r="61" spans="1:30" s="3583" customFormat="1" ht="24">
      <c r="A61" s="3589" t="s">
        <v>952</v>
      </c>
      <c r="B61" s="3596">
        <f>估价对象房地状况!C17</f>
        <v>0</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19"/>
      <c r="Q61" s="1919"/>
      <c r="R61" s="1919"/>
      <c r="S61" s="1919"/>
      <c r="T61" s="1919"/>
      <c r="U61" s="1919"/>
      <c r="V61" s="1919"/>
      <c r="W61" s="1919"/>
      <c r="X61" s="1919"/>
      <c r="Y61" s="1919"/>
      <c r="Z61" s="1919"/>
      <c r="AA61" s="1919"/>
      <c r="AB61" s="1919"/>
      <c r="AC61" s="1919"/>
      <c r="AD61" s="1919"/>
    </row>
    <row r="62" spans="1:30" s="3583" customFormat="1" ht="14.25">
      <c r="A62" s="3589" t="s">
        <v>943</v>
      </c>
      <c r="B62" s="3590">
        <f>估价对象房地状况!C18</f>
        <v>0</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19"/>
      <c r="Q62" s="1919"/>
      <c r="R62" s="1919"/>
      <c r="S62" s="1919"/>
      <c r="T62" s="1919"/>
      <c r="U62" s="1919"/>
      <c r="V62" s="1919"/>
      <c r="W62" s="1919"/>
      <c r="X62" s="1919"/>
      <c r="Y62" s="1919"/>
      <c r="Z62" s="1919"/>
      <c r="AA62" s="1919"/>
      <c r="AB62" s="1919"/>
      <c r="AC62" s="1919"/>
      <c r="AD62" s="1919"/>
    </row>
    <row r="63" spans="1:30" s="3583" customFormat="1" ht="36">
      <c r="A63" s="3571" t="s">
        <v>3213</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19"/>
      <c r="Q63" s="1919"/>
      <c r="R63" s="1919"/>
      <c r="S63" s="1919"/>
      <c r="T63" s="1919"/>
      <c r="U63" s="1919"/>
      <c r="V63" s="1919"/>
      <c r="W63" s="1919"/>
      <c r="X63" s="1919"/>
      <c r="Y63" s="1919"/>
      <c r="Z63" s="1919"/>
      <c r="AA63" s="1919"/>
      <c r="AB63" s="1919"/>
      <c r="AC63" s="1919"/>
      <c r="AD63" s="1919"/>
    </row>
    <row r="64" spans="1:30" s="3583" customFormat="1" ht="36">
      <c r="A64" s="3589" t="s">
        <v>945</v>
      </c>
      <c r="B64" s="3605" t="s">
        <v>2192</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19"/>
      <c r="Q64" s="1919"/>
      <c r="R64" s="1919"/>
      <c r="S64" s="1919"/>
      <c r="T64" s="1919"/>
      <c r="U64" s="1919"/>
      <c r="V64" s="1919"/>
      <c r="W64" s="1919"/>
      <c r="X64" s="1919"/>
      <c r="Y64" s="1919"/>
      <c r="Z64" s="1919"/>
      <c r="AA64" s="1919"/>
      <c r="AB64" s="1919"/>
      <c r="AC64" s="1919"/>
      <c r="AD64" s="1919"/>
    </row>
    <row r="65" spans="1:36" s="3583" customFormat="1" ht="24">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19"/>
      <c r="Q65" s="1919"/>
      <c r="R65" s="1919"/>
      <c r="S65" s="1919"/>
      <c r="T65" s="1919"/>
      <c r="U65" s="1919"/>
      <c r="V65" s="1919"/>
      <c r="W65" s="1919"/>
      <c r="X65" s="1919"/>
      <c r="Y65" s="1919"/>
      <c r="Z65" s="1919"/>
      <c r="AA65" s="1919"/>
      <c r="AB65" s="1919"/>
      <c r="AC65" s="1919"/>
      <c r="AD65" s="1919"/>
    </row>
    <row r="66" spans="1:36" s="3583" customFormat="1" ht="24">
      <c r="A66" s="3589" t="s">
        <v>947</v>
      </c>
      <c r="B66" s="3606" t="s">
        <v>2190</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19"/>
      <c r="Q66" s="1919"/>
      <c r="R66" s="1919"/>
      <c r="S66" s="1919"/>
      <c r="T66" s="1919"/>
      <c r="U66" s="1919"/>
      <c r="V66" s="1919"/>
      <c r="W66" s="1919"/>
      <c r="X66" s="1919"/>
      <c r="Y66" s="1919"/>
      <c r="Z66" s="1919"/>
      <c r="AA66" s="1919"/>
      <c r="AB66" s="1919"/>
      <c r="AC66" s="1919"/>
      <c r="AD66" s="1919"/>
    </row>
    <row r="67" spans="1:36" s="3583" customFormat="1" ht="24">
      <c r="A67" s="3589" t="s">
        <v>948</v>
      </c>
      <c r="B67" s="3608">
        <f>估价对象房地状况!C21</f>
        <v>0</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19"/>
      <c r="Q67" s="1919"/>
      <c r="R67" s="1919"/>
      <c r="S67" s="1919"/>
      <c r="T67" s="1919"/>
      <c r="U67" s="1919"/>
      <c r="V67" s="1919"/>
      <c r="W67" s="1919"/>
      <c r="X67" s="1919"/>
      <c r="Y67" s="1919"/>
      <c r="Z67" s="1919"/>
      <c r="AA67" s="1919"/>
      <c r="AB67" s="1919"/>
      <c r="AC67" s="1919"/>
      <c r="AD67" s="1919"/>
    </row>
    <row r="68" spans="1:36" s="3583" customFormat="1" ht="24">
      <c r="A68" s="3589" t="s">
        <v>949</v>
      </c>
      <c r="B68" s="3608">
        <f>估价对象房地状况!C22</f>
        <v>0</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19"/>
      <c r="Q68" s="1919"/>
      <c r="R68" s="1919"/>
      <c r="S68" s="1919"/>
      <c r="T68" s="1919"/>
      <c r="U68" s="1919"/>
      <c r="V68" s="1919"/>
      <c r="W68" s="1919"/>
      <c r="X68" s="1919"/>
      <c r="Y68" s="1919"/>
      <c r="Z68" s="1919"/>
      <c r="AA68" s="1919"/>
      <c r="AB68" s="1919"/>
      <c r="AC68" s="1919"/>
      <c r="AD68" s="1919"/>
    </row>
    <row r="69" spans="1:36" s="3583" customFormat="1" ht="24.75" thickBot="1">
      <c r="A69" s="3609" t="s">
        <v>950</v>
      </c>
      <c r="B69" s="3613">
        <f>估价对象房地状况!C20</f>
        <v>0</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19"/>
      <c r="Q69" s="1919"/>
      <c r="R69" s="1919"/>
      <c r="S69" s="1919"/>
      <c r="T69" s="1919"/>
      <c r="U69" s="1919"/>
      <c r="V69" s="1919"/>
      <c r="W69" s="1919"/>
      <c r="X69" s="1919"/>
      <c r="Y69" s="1919"/>
      <c r="Z69" s="1919"/>
      <c r="AA69" s="1919"/>
      <c r="AB69" s="1919"/>
      <c r="AC69" s="1919"/>
      <c r="AD69" s="1919"/>
    </row>
    <row r="70" spans="1:36" s="3583" customFormat="1" ht="15">
      <c r="A70" s="3584" t="s">
        <v>953</v>
      </c>
      <c r="B70" s="3648">
        <f>1+E72</f>
        <v>1</v>
      </c>
      <c r="C70" s="3612"/>
      <c r="D70" s="3586"/>
      <c r="E70" s="3587"/>
      <c r="F70" s="3588"/>
      <c r="G70" s="3582"/>
      <c r="H70" s="3582"/>
      <c r="I70" s="3582"/>
      <c r="J70" s="3433"/>
      <c r="K70" s="3433"/>
      <c r="L70" s="3433"/>
      <c r="M70" s="3433"/>
      <c r="N70" s="3433"/>
      <c r="P70" s="1919"/>
      <c r="Q70" s="1919"/>
      <c r="R70" s="1919"/>
      <c r="S70" s="1919"/>
      <c r="T70" s="1919"/>
      <c r="U70" s="1919"/>
      <c r="V70" s="1919"/>
      <c r="W70" s="1919"/>
      <c r="X70" s="1919"/>
      <c r="Y70" s="1919"/>
      <c r="Z70" s="1919"/>
      <c r="AA70" s="1919"/>
      <c r="AB70" s="1919"/>
      <c r="AC70" s="1919"/>
      <c r="AD70" s="1919"/>
    </row>
    <row r="71" spans="1:36" s="3583" customFormat="1" ht="24">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19"/>
      <c r="Q71" s="1919"/>
      <c r="R71" s="1919"/>
      <c r="S71" s="1919"/>
      <c r="T71" s="1919"/>
      <c r="U71" s="1919"/>
      <c r="V71" s="1919"/>
      <c r="W71" s="1919"/>
      <c r="X71" s="1919"/>
      <c r="Y71" s="1919"/>
      <c r="Z71" s="1919"/>
      <c r="AA71" s="1919"/>
      <c r="AB71" s="1919"/>
      <c r="AC71" s="1919"/>
      <c r="AD71" s="1919"/>
    </row>
    <row r="72" spans="1:36" s="3583" customFormat="1" ht="24">
      <c r="A72" s="3589" t="s">
        <v>954</v>
      </c>
      <c r="B72" s="3590">
        <f>估价对象房地状况!C15</f>
        <v>0</v>
      </c>
      <c r="C72" s="3614"/>
      <c r="D72" s="3598">
        <f t="shared" ref="D72:D80" si="17">SUMIF($J$71:$N$71,C72,J72:N72)</f>
        <v>0</v>
      </c>
      <c r="E72" s="3599">
        <f>ROUND(SUM(D72:D80),4)</f>
        <v>0</v>
      </c>
      <c r="F72" s="3600" t="str">
        <f>IF(E2="住宅",SUMIF(L1:L12,G2,N1:N12),"——")</f>
        <v>——</v>
      </c>
      <c r="G72" s="3615"/>
      <c r="H72" s="3616" t="str">
        <f t="shared" ref="H72:H80" si="18">IFERROR(ROUNDDOWN($F$72*I72/2,4),"——")</f>
        <v>——</v>
      </c>
      <c r="I72" s="3576">
        <v>0.2</v>
      </c>
      <c r="J72" s="3603">
        <f t="shared" ref="J72:J80" si="19">K72+$G72</f>
        <v>0</v>
      </c>
      <c r="K72" s="3603">
        <f t="shared" ref="K72:K80" si="20">$L72+$G72</f>
        <v>0</v>
      </c>
      <c r="L72" s="3603">
        <v>0</v>
      </c>
      <c r="M72" s="3603">
        <f t="shared" ref="M72:N80" si="21">L72-$G72</f>
        <v>0</v>
      </c>
      <c r="N72" s="3603">
        <f t="shared" si="21"/>
        <v>0</v>
      </c>
      <c r="P72" s="1919"/>
      <c r="Q72" s="1919"/>
      <c r="R72" s="1919"/>
      <c r="S72" s="1919"/>
      <c r="T72" s="1919"/>
      <c r="U72" s="1919"/>
      <c r="V72" s="1919"/>
      <c r="W72" s="1919"/>
      <c r="X72" s="1919"/>
      <c r="Y72" s="1919"/>
      <c r="Z72" s="1919"/>
      <c r="AA72" s="1919"/>
      <c r="AB72" s="1919"/>
      <c r="AC72" s="1919"/>
      <c r="AD72" s="1919"/>
    </row>
    <row r="73" spans="1:36" s="3583" customFormat="1" ht="14.25">
      <c r="A73" s="3589" t="s">
        <v>955</v>
      </c>
      <c r="B73" s="3590">
        <f>估价对象房地状况!C18</f>
        <v>0</v>
      </c>
      <c r="C73" s="3614"/>
      <c r="D73" s="3598">
        <f t="shared" si="17"/>
        <v>0</v>
      </c>
      <c r="E73" s="3604"/>
      <c r="F73" s="3600"/>
      <c r="G73" s="3615"/>
      <c r="H73" s="3616" t="str">
        <f t="shared" si="18"/>
        <v>——</v>
      </c>
      <c r="I73" s="3576">
        <v>0.26</v>
      </c>
      <c r="J73" s="3603">
        <f t="shared" si="19"/>
        <v>0</v>
      </c>
      <c r="K73" s="3603">
        <f t="shared" si="20"/>
        <v>0</v>
      </c>
      <c r="L73" s="3603">
        <v>0</v>
      </c>
      <c r="M73" s="3603">
        <f t="shared" si="21"/>
        <v>0</v>
      </c>
      <c r="N73" s="3603">
        <f t="shared" si="21"/>
        <v>0</v>
      </c>
      <c r="P73" s="1919"/>
      <c r="Q73" s="1919"/>
      <c r="R73" s="1919"/>
      <c r="S73" s="1919"/>
      <c r="T73" s="1919"/>
      <c r="U73" s="1919"/>
      <c r="V73" s="1919"/>
      <c r="W73" s="1919"/>
      <c r="X73" s="1919"/>
      <c r="Y73" s="1919"/>
      <c r="Z73" s="1919"/>
      <c r="AA73" s="1919"/>
      <c r="AB73" s="1919"/>
      <c r="AC73" s="1919"/>
      <c r="AD73" s="1919"/>
    </row>
    <row r="74" spans="1:36" s="3583" customFormat="1" ht="36">
      <c r="A74" s="3571" t="s">
        <v>3213</v>
      </c>
      <c r="B74" s="3590">
        <f>估价对象房地状况!C19</f>
        <v>0</v>
      </c>
      <c r="C74" s="3614"/>
      <c r="D74" s="3598">
        <f t="shared" si="17"/>
        <v>0</v>
      </c>
      <c r="E74" s="3604"/>
      <c r="F74" s="3600"/>
      <c r="G74" s="3615"/>
      <c r="H74" s="3616" t="str">
        <f t="shared" si="18"/>
        <v>——</v>
      </c>
      <c r="I74" s="3576">
        <v>0.1</v>
      </c>
      <c r="J74" s="3603">
        <f t="shared" si="19"/>
        <v>0</v>
      </c>
      <c r="K74" s="3603">
        <f t="shared" si="20"/>
        <v>0</v>
      </c>
      <c r="L74" s="3603">
        <v>0</v>
      </c>
      <c r="M74" s="3603">
        <f t="shared" si="21"/>
        <v>0</v>
      </c>
      <c r="N74" s="3603">
        <f t="shared" si="21"/>
        <v>0</v>
      </c>
      <c r="P74" s="1919"/>
      <c r="Q74" s="1919"/>
      <c r="R74" s="1919"/>
      <c r="S74" s="1919"/>
      <c r="T74" s="1919"/>
      <c r="U74" s="1919"/>
      <c r="V74" s="1919"/>
      <c r="W74" s="1919"/>
      <c r="X74" s="1919"/>
      <c r="Y74" s="1919"/>
      <c r="Z74" s="1919"/>
      <c r="AA74" s="1919"/>
      <c r="AB74" s="1919"/>
      <c r="AC74" s="1919"/>
      <c r="AD74" s="1919"/>
    </row>
    <row r="75" spans="1:36" s="1347" customFormat="1" ht="14.25">
      <c r="A75" s="3589" t="s">
        <v>956</v>
      </c>
      <c r="B75" s="3590">
        <f>估价对象房地状况!C24</f>
        <v>0</v>
      </c>
      <c r="C75" s="3614"/>
      <c r="D75" s="3598">
        <f t="shared" si="17"/>
        <v>0</v>
      </c>
      <c r="E75" s="3604"/>
      <c r="F75" s="3600"/>
      <c r="G75" s="3615"/>
      <c r="H75" s="3616" t="str">
        <f t="shared" si="18"/>
        <v>——</v>
      </c>
      <c r="I75" s="3576">
        <v>0.05</v>
      </c>
      <c r="J75" s="3603">
        <f t="shared" si="19"/>
        <v>0</v>
      </c>
      <c r="K75" s="3603">
        <f t="shared" si="20"/>
        <v>0</v>
      </c>
      <c r="L75" s="3603">
        <v>0</v>
      </c>
      <c r="M75" s="3603">
        <f t="shared" si="21"/>
        <v>0</v>
      </c>
      <c r="N75" s="3603">
        <f t="shared" si="21"/>
        <v>0</v>
      </c>
      <c r="O75" s="3583"/>
      <c r="P75" s="1919"/>
      <c r="Q75" s="1919"/>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7" customFormat="1" ht="24">
      <c r="A76" s="3589" t="s">
        <v>948</v>
      </c>
      <c r="B76" s="3608">
        <f>估价对象房地状况!C21</f>
        <v>0</v>
      </c>
      <c r="C76" s="3614"/>
      <c r="D76" s="3598">
        <f t="shared" si="17"/>
        <v>0</v>
      </c>
      <c r="E76" s="3604"/>
      <c r="F76" s="3600"/>
      <c r="G76" s="3615"/>
      <c r="H76" s="3616" t="str">
        <f t="shared" si="18"/>
        <v>——</v>
      </c>
      <c r="I76" s="3576">
        <v>0.08</v>
      </c>
      <c r="J76" s="3603">
        <f t="shared" si="19"/>
        <v>0</v>
      </c>
      <c r="K76" s="3603">
        <f t="shared" si="20"/>
        <v>0</v>
      </c>
      <c r="L76" s="3603">
        <v>0</v>
      </c>
      <c r="M76" s="3603">
        <f t="shared" si="21"/>
        <v>0</v>
      </c>
      <c r="N76" s="3603">
        <f t="shared" si="21"/>
        <v>0</v>
      </c>
      <c r="O76" s="3583"/>
      <c r="P76" s="1919"/>
      <c r="Q76" s="1919"/>
      <c r="AE76" s="3583"/>
      <c r="AF76" s="3583"/>
      <c r="AG76" s="3583"/>
      <c r="AH76" s="3583"/>
      <c r="AI76" s="3583"/>
      <c r="AJ76" s="3583"/>
    </row>
    <row r="77" spans="1:36" s="1347" customFormat="1" ht="24">
      <c r="A77" s="3589" t="s">
        <v>949</v>
      </c>
      <c r="B77" s="3608">
        <f>估价对象房地状况!C22</f>
        <v>0</v>
      </c>
      <c r="C77" s="3614"/>
      <c r="D77" s="3598">
        <f t="shared" si="17"/>
        <v>0</v>
      </c>
      <c r="E77" s="3604"/>
      <c r="F77" s="3600"/>
      <c r="G77" s="3615"/>
      <c r="H77" s="3616" t="str">
        <f t="shared" si="18"/>
        <v>——</v>
      </c>
      <c r="I77" s="3576">
        <v>0.09</v>
      </c>
      <c r="J77" s="3603">
        <f t="shared" si="19"/>
        <v>0</v>
      </c>
      <c r="K77" s="3603">
        <f t="shared" si="20"/>
        <v>0</v>
      </c>
      <c r="L77" s="3603">
        <v>0</v>
      </c>
      <c r="M77" s="3603">
        <f t="shared" si="21"/>
        <v>0</v>
      </c>
      <c r="N77" s="3603">
        <f t="shared" si="21"/>
        <v>0</v>
      </c>
      <c r="O77" s="3583"/>
      <c r="P77" s="1919"/>
      <c r="Q77" s="1919"/>
      <c r="AE77" s="3583"/>
      <c r="AF77" s="3583"/>
      <c r="AG77" s="3583"/>
      <c r="AH77" s="3583"/>
      <c r="AI77" s="3583"/>
      <c r="AJ77" s="3583"/>
    </row>
    <row r="78" spans="1:36" s="1347" customFormat="1" ht="24">
      <c r="A78" s="3589" t="s">
        <v>947</v>
      </c>
      <c r="B78" s="3606" t="s">
        <v>2190</v>
      </c>
      <c r="C78" s="3614"/>
      <c r="D78" s="3598">
        <f t="shared" si="17"/>
        <v>0</v>
      </c>
      <c r="E78" s="3604"/>
      <c r="F78" s="3600"/>
      <c r="G78" s="3615"/>
      <c r="H78" s="3616" t="str">
        <f t="shared" si="18"/>
        <v>——</v>
      </c>
      <c r="I78" s="3576">
        <v>0.05</v>
      </c>
      <c r="J78" s="3603">
        <f t="shared" si="19"/>
        <v>0</v>
      </c>
      <c r="K78" s="3603">
        <f t="shared" si="20"/>
        <v>0</v>
      </c>
      <c r="L78" s="3603">
        <v>0</v>
      </c>
      <c r="M78" s="3603">
        <f t="shared" si="21"/>
        <v>0</v>
      </c>
      <c r="N78" s="3603">
        <f t="shared" si="21"/>
        <v>0</v>
      </c>
      <c r="O78" s="3583"/>
      <c r="P78" s="1919"/>
      <c r="Q78" s="1919"/>
      <c r="AE78" s="3583"/>
      <c r="AF78" s="3583"/>
      <c r="AG78" s="3583"/>
      <c r="AH78" s="3583"/>
      <c r="AI78" s="3583"/>
      <c r="AJ78" s="3583"/>
    </row>
    <row r="79" spans="1:36" s="1347" customFormat="1" ht="24">
      <c r="A79" s="3589" t="s">
        <v>950</v>
      </c>
      <c r="B79" s="3596">
        <f>估价对象房地状况!C20</f>
        <v>0</v>
      </c>
      <c r="C79" s="3614"/>
      <c r="D79" s="3598">
        <f t="shared" si="17"/>
        <v>0</v>
      </c>
      <c r="E79" s="3604"/>
      <c r="F79" s="3600"/>
      <c r="G79" s="3615"/>
      <c r="H79" s="3616" t="str">
        <f t="shared" si="18"/>
        <v>——</v>
      </c>
      <c r="I79" s="3576">
        <v>0.12</v>
      </c>
      <c r="J79" s="3603">
        <f t="shared" si="19"/>
        <v>0</v>
      </c>
      <c r="K79" s="3603">
        <f t="shared" si="20"/>
        <v>0</v>
      </c>
      <c r="L79" s="3603">
        <v>0</v>
      </c>
      <c r="M79" s="3603">
        <f t="shared" si="21"/>
        <v>0</v>
      </c>
      <c r="N79" s="3603">
        <f t="shared" si="21"/>
        <v>0</v>
      </c>
      <c r="P79" s="3617"/>
      <c r="Q79" s="3617"/>
      <c r="AE79" s="3583"/>
      <c r="AF79" s="3583"/>
      <c r="AG79" s="3583"/>
      <c r="AH79" s="3583"/>
      <c r="AI79" s="3583"/>
      <c r="AJ79" s="3583"/>
    </row>
    <row r="80" spans="1:36" s="1347" customFormat="1" ht="24.75" thickBot="1">
      <c r="A80" s="3609" t="s">
        <v>957</v>
      </c>
      <c r="B80" s="3618"/>
      <c r="C80" s="3614"/>
      <c r="D80" s="3598">
        <f t="shared" si="17"/>
        <v>0</v>
      </c>
      <c r="E80" s="3611"/>
      <c r="F80" s="3600"/>
      <c r="G80" s="3615"/>
      <c r="H80" s="3616" t="str">
        <f t="shared" si="18"/>
        <v>——</v>
      </c>
      <c r="I80" s="3578">
        <v>0.05</v>
      </c>
      <c r="J80" s="3603">
        <f t="shared" si="19"/>
        <v>0</v>
      </c>
      <c r="K80" s="3603">
        <f t="shared" si="20"/>
        <v>0</v>
      </c>
      <c r="L80" s="3603">
        <v>0</v>
      </c>
      <c r="M80" s="3603">
        <f t="shared" si="21"/>
        <v>0</v>
      </c>
      <c r="N80" s="3603">
        <f t="shared" si="21"/>
        <v>0</v>
      </c>
      <c r="AE80" s="3583"/>
      <c r="AF80" s="3583"/>
      <c r="AG80" s="3583"/>
      <c r="AH80" s="3583"/>
      <c r="AI80" s="3583"/>
      <c r="AJ80" s="3583"/>
    </row>
    <row r="81" spans="1:36" s="1347" customFormat="1" ht="15">
      <c r="A81" s="3584" t="s">
        <v>958</v>
      </c>
      <c r="B81" s="3648">
        <f>1+E83</f>
        <v>1</v>
      </c>
      <c r="C81" s="3612"/>
      <c r="D81" s="3586"/>
      <c r="E81" s="3587"/>
      <c r="F81" s="3588"/>
      <c r="G81" s="3582"/>
      <c r="H81" s="3582"/>
      <c r="I81" s="3582"/>
      <c r="J81" s="3433"/>
      <c r="K81" s="3433"/>
      <c r="L81" s="3433"/>
      <c r="M81" s="3433"/>
      <c r="N81" s="3433"/>
      <c r="AE81" s="3583"/>
      <c r="AF81" s="3583"/>
      <c r="AG81" s="3583"/>
      <c r="AH81" s="3583"/>
      <c r="AI81" s="3583"/>
      <c r="AJ81" s="3583"/>
    </row>
    <row r="82" spans="1:36" s="1347"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7" customFormat="1" ht="24">
      <c r="A83" s="3589" t="s">
        <v>959</v>
      </c>
      <c r="B83" s="3590">
        <f>估价对象房地状况!G15</f>
        <v>0</v>
      </c>
      <c r="C83" s="3597"/>
      <c r="D83" s="3598">
        <f t="shared" ref="D83:D90" si="22">SUMIF($J$82:$N$82,C83,J83:N83)</f>
        <v>0</v>
      </c>
      <c r="E83" s="3599">
        <f>ROUND(SUM(D83:D90),4)</f>
        <v>0</v>
      </c>
      <c r="F83" s="3600" t="str">
        <f>IF(E2="工业",SUMIF(L1:L12,G2,N1:N12),"——")</f>
        <v>——</v>
      </c>
      <c r="G83" s="3601"/>
      <c r="H83" s="3602" t="str">
        <f t="shared" ref="H83:H90" si="23">IFERROR(ROUNDDOWN($F$83*I83/2,4),"——")</f>
        <v>——</v>
      </c>
      <c r="I83" s="3576">
        <v>0.26</v>
      </c>
      <c r="J83" s="3603">
        <f t="shared" ref="J83:J90" si="24">K83+$G83</f>
        <v>0</v>
      </c>
      <c r="K83" s="3603">
        <f t="shared" ref="K83:K90" si="25">$L83+$G83</f>
        <v>0</v>
      </c>
      <c r="L83" s="3603">
        <v>0</v>
      </c>
      <c r="M83" s="3603">
        <f t="shared" ref="M83:N90" si="26">L83-$G83</f>
        <v>0</v>
      </c>
      <c r="N83" s="3603">
        <f t="shared" si="26"/>
        <v>0</v>
      </c>
      <c r="AE83" s="3583"/>
      <c r="AF83" s="3583"/>
      <c r="AG83" s="3583"/>
      <c r="AH83" s="3583"/>
      <c r="AI83" s="3583"/>
      <c r="AJ83" s="3583"/>
    </row>
    <row r="84" spans="1:36" s="1347" customFormat="1" ht="14.25">
      <c r="A84" s="3589" t="s">
        <v>955</v>
      </c>
      <c r="B84" s="3590">
        <f>估价对象房地状况!G16</f>
        <v>0</v>
      </c>
      <c r="C84" s="3597"/>
      <c r="D84" s="3598">
        <f t="shared" si="22"/>
        <v>0</v>
      </c>
      <c r="E84" s="3604"/>
      <c r="F84" s="3600"/>
      <c r="G84" s="3601"/>
      <c r="H84" s="3602" t="str">
        <f t="shared" si="23"/>
        <v>——</v>
      </c>
      <c r="I84" s="3576">
        <v>0.3</v>
      </c>
      <c r="J84" s="3603">
        <f t="shared" si="24"/>
        <v>0</v>
      </c>
      <c r="K84" s="3603">
        <f t="shared" si="25"/>
        <v>0</v>
      </c>
      <c r="L84" s="3603">
        <v>0</v>
      </c>
      <c r="M84" s="3603">
        <f t="shared" si="26"/>
        <v>0</v>
      </c>
      <c r="N84" s="3603">
        <f t="shared" si="26"/>
        <v>0</v>
      </c>
      <c r="AE84" s="3583"/>
      <c r="AF84" s="3583"/>
      <c r="AG84" s="3583"/>
      <c r="AH84" s="3583"/>
      <c r="AI84" s="3583"/>
      <c r="AJ84" s="3583"/>
    </row>
    <row r="85" spans="1:36" s="1347" customFormat="1" ht="24">
      <c r="A85" s="3589" t="s">
        <v>944</v>
      </c>
      <c r="B85" s="3590">
        <f>估价对象房地状况!G17</f>
        <v>0</v>
      </c>
      <c r="C85" s="3597"/>
      <c r="D85" s="3598">
        <f t="shared" si="22"/>
        <v>0</v>
      </c>
      <c r="E85" s="3604"/>
      <c r="F85" s="3600"/>
      <c r="G85" s="3601"/>
      <c r="H85" s="3602" t="str">
        <f t="shared" si="23"/>
        <v>——</v>
      </c>
      <c r="I85" s="3576">
        <v>0.1</v>
      </c>
      <c r="J85" s="3603">
        <f t="shared" si="24"/>
        <v>0</v>
      </c>
      <c r="K85" s="3603">
        <f t="shared" si="25"/>
        <v>0</v>
      </c>
      <c r="L85" s="3603">
        <v>0</v>
      </c>
      <c r="M85" s="3603">
        <f t="shared" si="26"/>
        <v>0</v>
      </c>
      <c r="N85" s="3603">
        <f t="shared" si="26"/>
        <v>0</v>
      </c>
      <c r="AE85" s="3583"/>
      <c r="AF85" s="3583"/>
      <c r="AG85" s="3583"/>
      <c r="AH85" s="3583"/>
      <c r="AI85" s="3583"/>
      <c r="AJ85" s="3583"/>
    </row>
    <row r="86" spans="1:36" s="1347" customFormat="1" ht="14.25">
      <c r="A86" s="3589" t="s">
        <v>956</v>
      </c>
      <c r="B86" s="3590">
        <f>估价对象房地状况!G22</f>
        <v>0</v>
      </c>
      <c r="C86" s="3597"/>
      <c r="D86" s="3598">
        <f t="shared" si="22"/>
        <v>0</v>
      </c>
      <c r="E86" s="3604"/>
      <c r="F86" s="3600"/>
      <c r="G86" s="3601"/>
      <c r="H86" s="3602" t="str">
        <f t="shared" si="23"/>
        <v>——</v>
      </c>
      <c r="I86" s="3576">
        <v>0.05</v>
      </c>
      <c r="J86" s="3603">
        <f t="shared" si="24"/>
        <v>0</v>
      </c>
      <c r="K86" s="3603">
        <f t="shared" si="25"/>
        <v>0</v>
      </c>
      <c r="L86" s="3603">
        <v>0</v>
      </c>
      <c r="M86" s="3603">
        <f t="shared" si="26"/>
        <v>0</v>
      </c>
      <c r="N86" s="3603">
        <f t="shared" si="26"/>
        <v>0</v>
      </c>
      <c r="AE86" s="3583"/>
      <c r="AF86" s="3583"/>
      <c r="AG86" s="3583"/>
      <c r="AH86" s="3583"/>
      <c r="AI86" s="3583"/>
      <c r="AJ86" s="3583"/>
    </row>
    <row r="87" spans="1:36" s="1347" customFormat="1" ht="24">
      <c r="A87" s="3589" t="s">
        <v>948</v>
      </c>
      <c r="B87" s="3608">
        <f>估价对象房地状况!G19</f>
        <v>0</v>
      </c>
      <c r="C87" s="3597"/>
      <c r="D87" s="3598">
        <f t="shared" si="22"/>
        <v>0</v>
      </c>
      <c r="E87" s="3604"/>
      <c r="F87" s="3600"/>
      <c r="G87" s="3601"/>
      <c r="H87" s="3602" t="str">
        <f t="shared" si="23"/>
        <v>——</v>
      </c>
      <c r="I87" s="3576">
        <v>0.06</v>
      </c>
      <c r="J87" s="3603">
        <f t="shared" si="24"/>
        <v>0</v>
      </c>
      <c r="K87" s="3603">
        <f t="shared" si="25"/>
        <v>0</v>
      </c>
      <c r="L87" s="3603">
        <v>0</v>
      </c>
      <c r="M87" s="3603">
        <f t="shared" si="26"/>
        <v>0</v>
      </c>
      <c r="N87" s="3603">
        <f t="shared" si="26"/>
        <v>0</v>
      </c>
      <c r="AE87" s="3583"/>
      <c r="AF87" s="3583"/>
      <c r="AG87" s="3583"/>
      <c r="AH87" s="3583"/>
      <c r="AI87" s="3583"/>
      <c r="AJ87" s="3583"/>
    </row>
    <row r="88" spans="1:36" s="1347" customFormat="1" ht="24">
      <c r="A88" s="3589" t="s">
        <v>949</v>
      </c>
      <c r="B88" s="3608">
        <f>估价对象房地状况!G20</f>
        <v>0</v>
      </c>
      <c r="C88" s="3597"/>
      <c r="D88" s="3598">
        <f t="shared" si="22"/>
        <v>0</v>
      </c>
      <c r="E88" s="3604"/>
      <c r="F88" s="3600"/>
      <c r="G88" s="3601"/>
      <c r="H88" s="3602" t="str">
        <f t="shared" si="23"/>
        <v>——</v>
      </c>
      <c r="I88" s="3576">
        <v>0.12</v>
      </c>
      <c r="J88" s="3603">
        <f t="shared" si="24"/>
        <v>0</v>
      </c>
      <c r="K88" s="3603">
        <f t="shared" si="25"/>
        <v>0</v>
      </c>
      <c r="L88" s="3603">
        <v>0</v>
      </c>
      <c r="M88" s="3603">
        <f t="shared" si="26"/>
        <v>0</v>
      </c>
      <c r="N88" s="3603">
        <f t="shared" si="26"/>
        <v>0</v>
      </c>
      <c r="AE88" s="3583"/>
      <c r="AF88" s="3583"/>
      <c r="AG88" s="3583"/>
      <c r="AH88" s="3583"/>
      <c r="AI88" s="3583"/>
      <c r="AJ88" s="3583"/>
    </row>
    <row r="89" spans="1:36" s="1347" customFormat="1" ht="24">
      <c r="A89" s="3589" t="s">
        <v>947</v>
      </c>
      <c r="B89" s="3606" t="s">
        <v>2190</v>
      </c>
      <c r="C89" s="3597"/>
      <c r="D89" s="3598">
        <f t="shared" si="22"/>
        <v>0</v>
      </c>
      <c r="E89" s="3604"/>
      <c r="F89" s="3600"/>
      <c r="G89" s="3601"/>
      <c r="H89" s="3602" t="str">
        <f t="shared" si="23"/>
        <v>——</v>
      </c>
      <c r="I89" s="3576">
        <v>0.06</v>
      </c>
      <c r="J89" s="3603">
        <f t="shared" si="24"/>
        <v>0</v>
      </c>
      <c r="K89" s="3603">
        <f t="shared" si="25"/>
        <v>0</v>
      </c>
      <c r="L89" s="3603">
        <v>0</v>
      </c>
      <c r="M89" s="3603">
        <f t="shared" si="26"/>
        <v>0</v>
      </c>
      <c r="N89" s="3603">
        <f t="shared" si="26"/>
        <v>0</v>
      </c>
      <c r="AE89" s="3583"/>
      <c r="AF89" s="3583"/>
      <c r="AG89" s="3583"/>
      <c r="AH89" s="3583"/>
      <c r="AI89" s="3583"/>
      <c r="AJ89" s="3583"/>
    </row>
    <row r="90" spans="1:36" s="1347" customFormat="1" ht="15" thickBot="1">
      <c r="A90" s="3609" t="s">
        <v>960</v>
      </c>
      <c r="B90" s="3619">
        <f>估价对象房地状况!G18</f>
        <v>0</v>
      </c>
      <c r="C90" s="3597"/>
      <c r="D90" s="3598">
        <f t="shared" si="22"/>
        <v>0</v>
      </c>
      <c r="E90" s="3611"/>
      <c r="F90" s="3600"/>
      <c r="G90" s="3601"/>
      <c r="H90" s="3602" t="str">
        <f t="shared" si="23"/>
        <v>——</v>
      </c>
      <c r="I90" s="3578">
        <v>0.05</v>
      </c>
      <c r="J90" s="3603">
        <f t="shared" si="24"/>
        <v>0</v>
      </c>
      <c r="K90" s="3603">
        <f t="shared" si="25"/>
        <v>0</v>
      </c>
      <c r="L90" s="3603">
        <v>0</v>
      </c>
      <c r="M90" s="3603">
        <f t="shared" si="26"/>
        <v>0</v>
      </c>
      <c r="N90" s="3603">
        <f t="shared" si="26"/>
        <v>0</v>
      </c>
      <c r="AE90" s="3583"/>
      <c r="AF90" s="3583"/>
      <c r="AG90" s="3583"/>
      <c r="AH90" s="3583"/>
      <c r="AI90" s="3583"/>
      <c r="AJ90" s="3583"/>
    </row>
    <row r="91" spans="1:36" s="1347" customFormat="1" ht="15">
      <c r="A91" s="3572" t="s">
        <v>3222</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7" customFormat="1" ht="24">
      <c r="A92" s="3573" t="s">
        <v>3223</v>
      </c>
      <c r="B92" s="3573"/>
      <c r="C92" s="3573" t="s">
        <v>3228</v>
      </c>
      <c r="D92" s="3573" t="s">
        <v>3215</v>
      </c>
      <c r="E92" s="3630" t="s">
        <v>3216</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7" customFormat="1" ht="24">
      <c r="A93" s="3628" t="s">
        <v>3224</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7">$L93+$G93</f>
        <v>0</v>
      </c>
      <c r="L93" s="3627">
        <v>0</v>
      </c>
      <c r="M93" s="3627">
        <f t="shared" ref="M93:N93" si="28">L93-$G93</f>
        <v>0</v>
      </c>
      <c r="N93" s="3627">
        <f t="shared" si="28"/>
        <v>0</v>
      </c>
      <c r="AE93" s="3583"/>
      <c r="AF93" s="3583"/>
      <c r="AG93" s="3583"/>
      <c r="AH93" s="3583"/>
      <c r="AI93" s="3583"/>
      <c r="AJ93" s="3583"/>
    </row>
    <row r="94" spans="1:36" s="1347" customFormat="1" ht="14.25">
      <c r="A94" s="3573" t="s">
        <v>3225</v>
      </c>
      <c r="B94" s="3590">
        <f>估价对象房地状况!G16</f>
        <v>0</v>
      </c>
      <c r="C94" s="3597"/>
      <c r="D94" s="3598">
        <f t="shared" ref="D94:D101" si="29">SUMIF($J$92:$N$92,C94,J94:N94)</f>
        <v>0</v>
      </c>
      <c r="E94" s="3622"/>
      <c r="F94" s="3600"/>
      <c r="G94" s="3615"/>
      <c r="H94" s="3602" t="str">
        <f t="shared" ref="H94:H101" si="30">IFERROR(ROUNDDOWN($F$93*I94/2,4),"——")</f>
        <v>——</v>
      </c>
      <c r="I94" s="3576">
        <v>0.26</v>
      </c>
      <c r="J94" s="3627">
        <f>K94+$G94</f>
        <v>0</v>
      </c>
      <c r="K94" s="3627">
        <f t="shared" si="27"/>
        <v>0</v>
      </c>
      <c r="L94" s="3627">
        <v>0</v>
      </c>
      <c r="M94" s="3627">
        <f t="shared" ref="M94:M101" si="31">L94-$G94</f>
        <v>0</v>
      </c>
      <c r="N94" s="3627">
        <f t="shared" ref="N94:N101" si="32">M94-$G94</f>
        <v>0</v>
      </c>
      <c r="AE94" s="3583"/>
      <c r="AF94" s="3583"/>
      <c r="AG94" s="3583"/>
      <c r="AH94" s="3583"/>
      <c r="AI94" s="3583"/>
      <c r="AJ94" s="3583"/>
    </row>
    <row r="95" spans="1:36" s="1347" customFormat="1" ht="36">
      <c r="A95" s="3628" t="s">
        <v>3213</v>
      </c>
      <c r="B95" s="3590">
        <f>估价对象房地状况!G17</f>
        <v>0</v>
      </c>
      <c r="C95" s="3597"/>
      <c r="D95" s="3598">
        <f t="shared" si="29"/>
        <v>0</v>
      </c>
      <c r="E95" s="3622"/>
      <c r="F95" s="3600"/>
      <c r="G95" s="3615"/>
      <c r="H95" s="3602" t="str">
        <f t="shared" si="30"/>
        <v>——</v>
      </c>
      <c r="I95" s="3576">
        <v>0.11</v>
      </c>
      <c r="J95" s="3627">
        <f t="shared" ref="J95:J101" si="33">K95+$G95</f>
        <v>0</v>
      </c>
      <c r="K95" s="3627">
        <f t="shared" si="27"/>
        <v>0</v>
      </c>
      <c r="L95" s="3627">
        <v>0</v>
      </c>
      <c r="M95" s="3627">
        <f t="shared" si="31"/>
        <v>0</v>
      </c>
      <c r="N95" s="3627">
        <f t="shared" si="32"/>
        <v>0</v>
      </c>
      <c r="AE95" s="3583"/>
      <c r="AF95" s="3583"/>
      <c r="AG95" s="3583"/>
      <c r="AH95" s="3583"/>
      <c r="AI95" s="3583"/>
      <c r="AJ95" s="3583"/>
    </row>
    <row r="96" spans="1:36" s="1347" customFormat="1" ht="36.75">
      <c r="A96" s="3573" t="s">
        <v>3217</v>
      </c>
      <c r="B96" s="3577" t="s">
        <v>3218</v>
      </c>
      <c r="C96" s="3597"/>
      <c r="D96" s="3598">
        <f t="shared" si="29"/>
        <v>0</v>
      </c>
      <c r="E96" s="3622"/>
      <c r="F96" s="3600"/>
      <c r="G96" s="3615"/>
      <c r="H96" s="3602" t="str">
        <f t="shared" si="30"/>
        <v>——</v>
      </c>
      <c r="I96" s="3576">
        <v>0.05</v>
      </c>
      <c r="J96" s="3627">
        <f t="shared" si="33"/>
        <v>0</v>
      </c>
      <c r="K96" s="3627">
        <f t="shared" si="27"/>
        <v>0</v>
      </c>
      <c r="L96" s="3627">
        <v>0</v>
      </c>
      <c r="M96" s="3627">
        <f>L96-$G96</f>
        <v>0</v>
      </c>
      <c r="N96" s="3627">
        <f t="shared" si="32"/>
        <v>0</v>
      </c>
      <c r="AE96" s="3583"/>
      <c r="AF96" s="3583"/>
      <c r="AG96" s="3583"/>
      <c r="AH96" s="3583"/>
      <c r="AI96" s="3583"/>
      <c r="AJ96" s="3583"/>
    </row>
    <row r="97" spans="1:36" s="1347" customFormat="1" ht="24">
      <c r="A97" s="3573" t="s">
        <v>3219</v>
      </c>
      <c r="B97" s="3590">
        <f>估价对象房地状况!G22</f>
        <v>0</v>
      </c>
      <c r="C97" s="3597"/>
      <c r="D97" s="3598">
        <f t="shared" si="29"/>
        <v>0</v>
      </c>
      <c r="E97" s="3622"/>
      <c r="F97" s="3600"/>
      <c r="G97" s="3615"/>
      <c r="H97" s="3602" t="str">
        <f t="shared" si="30"/>
        <v>——</v>
      </c>
      <c r="I97" s="3576">
        <v>0.05</v>
      </c>
      <c r="J97" s="3627">
        <f t="shared" si="33"/>
        <v>0</v>
      </c>
      <c r="K97" s="3627">
        <f t="shared" si="27"/>
        <v>0</v>
      </c>
      <c r="L97" s="3627">
        <v>0</v>
      </c>
      <c r="M97" s="3627">
        <f t="shared" si="31"/>
        <v>0</v>
      </c>
      <c r="N97" s="3627">
        <f t="shared" si="32"/>
        <v>0</v>
      </c>
      <c r="AE97" s="3583"/>
      <c r="AF97" s="3583"/>
      <c r="AG97" s="3583"/>
      <c r="AH97" s="3583"/>
      <c r="AI97" s="3583"/>
      <c r="AJ97" s="3583"/>
    </row>
    <row r="98" spans="1:36" s="1347" customFormat="1" ht="24">
      <c r="A98" s="3573" t="s">
        <v>3226</v>
      </c>
      <c r="B98" s="3605" t="s">
        <v>2190</v>
      </c>
      <c r="C98" s="3597"/>
      <c r="D98" s="3598">
        <f t="shared" si="29"/>
        <v>0</v>
      </c>
      <c r="E98" s="3622"/>
      <c r="F98" s="3600"/>
      <c r="G98" s="3615"/>
      <c r="H98" s="3602" t="str">
        <f t="shared" si="30"/>
        <v>——</v>
      </c>
      <c r="I98" s="3576">
        <v>0.06</v>
      </c>
      <c r="J98" s="3627">
        <f t="shared" si="33"/>
        <v>0</v>
      </c>
      <c r="K98" s="3627">
        <f t="shared" si="27"/>
        <v>0</v>
      </c>
      <c r="L98" s="3627">
        <v>0</v>
      </c>
      <c r="M98" s="3627">
        <f t="shared" si="31"/>
        <v>0</v>
      </c>
      <c r="N98" s="3627">
        <f t="shared" si="32"/>
        <v>0</v>
      </c>
      <c r="AE98" s="3583"/>
      <c r="AF98" s="3583"/>
      <c r="AG98" s="3583"/>
      <c r="AH98" s="3583"/>
      <c r="AI98" s="3583"/>
      <c r="AJ98" s="3583"/>
    </row>
    <row r="99" spans="1:36" s="1347" customFormat="1" ht="24">
      <c r="A99" s="3573" t="s">
        <v>3227</v>
      </c>
      <c r="B99" s="3590">
        <f>估价对象房地状况!C21</f>
        <v>0</v>
      </c>
      <c r="C99" s="3597"/>
      <c r="D99" s="3598">
        <f t="shared" si="29"/>
        <v>0</v>
      </c>
      <c r="E99" s="3622"/>
      <c r="F99" s="3600"/>
      <c r="G99" s="3615"/>
      <c r="H99" s="3602" t="str">
        <f t="shared" si="30"/>
        <v>——</v>
      </c>
      <c r="I99" s="3576">
        <v>0.06</v>
      </c>
      <c r="J99" s="3627">
        <f t="shared" si="33"/>
        <v>0</v>
      </c>
      <c r="K99" s="3627">
        <f t="shared" si="27"/>
        <v>0</v>
      </c>
      <c r="L99" s="3627">
        <v>0</v>
      </c>
      <c r="M99" s="3627">
        <f t="shared" si="31"/>
        <v>0</v>
      </c>
      <c r="N99" s="3627">
        <f t="shared" si="32"/>
        <v>0</v>
      </c>
      <c r="AE99" s="3583"/>
      <c r="AF99" s="3583"/>
      <c r="AG99" s="3583"/>
      <c r="AH99" s="3583"/>
      <c r="AI99" s="3583"/>
      <c r="AJ99" s="3583"/>
    </row>
    <row r="100" spans="1:36" s="1347" customFormat="1" ht="24">
      <c r="A100" s="3573" t="s">
        <v>3220</v>
      </c>
      <c r="B100" s="3590">
        <f>估价对象房地状况!C22</f>
        <v>0</v>
      </c>
      <c r="C100" s="3597"/>
      <c r="D100" s="3598">
        <f t="shared" si="29"/>
        <v>0</v>
      </c>
      <c r="E100" s="3622"/>
      <c r="F100" s="3600"/>
      <c r="G100" s="3615"/>
      <c r="H100" s="3602" t="str">
        <f t="shared" si="30"/>
        <v>——</v>
      </c>
      <c r="I100" s="3576">
        <v>0.09</v>
      </c>
      <c r="J100" s="3627">
        <f t="shared" si="33"/>
        <v>0</v>
      </c>
      <c r="K100" s="3627">
        <f t="shared" si="27"/>
        <v>0</v>
      </c>
      <c r="L100" s="3627">
        <v>0</v>
      </c>
      <c r="M100" s="3627">
        <f t="shared" si="31"/>
        <v>0</v>
      </c>
      <c r="N100" s="3627">
        <f t="shared" si="32"/>
        <v>0</v>
      </c>
      <c r="AE100" s="3583"/>
      <c r="AF100" s="3583"/>
      <c r="AG100" s="3583"/>
      <c r="AH100" s="3583"/>
      <c r="AI100" s="3583"/>
      <c r="AJ100" s="3583"/>
    </row>
    <row r="101" spans="1:36" s="1347" customFormat="1" ht="24.75" thickBot="1">
      <c r="A101" s="3573" t="s">
        <v>3221</v>
      </c>
      <c r="B101" s="3596">
        <f>估价对象房地状况!C20</f>
        <v>0</v>
      </c>
      <c r="C101" s="3597"/>
      <c r="D101" s="3598">
        <f t="shared" si="29"/>
        <v>0</v>
      </c>
      <c r="E101" s="3622"/>
      <c r="F101" s="3600"/>
      <c r="G101" s="3615"/>
      <c r="H101" s="3602" t="str">
        <f t="shared" si="30"/>
        <v>——</v>
      </c>
      <c r="I101" s="3578">
        <v>7.0000000000000007E-2</v>
      </c>
      <c r="J101" s="3627">
        <f t="shared" si="33"/>
        <v>0</v>
      </c>
      <c r="K101" s="3627">
        <f t="shared" si="27"/>
        <v>0</v>
      </c>
      <c r="L101" s="3627">
        <v>0</v>
      </c>
      <c r="M101" s="3627">
        <f t="shared" si="31"/>
        <v>0</v>
      </c>
      <c r="N101" s="3627">
        <f t="shared" si="32"/>
        <v>0</v>
      </c>
      <c r="AE101" s="3583"/>
      <c r="AF101" s="3583"/>
      <c r="AG101" s="3583"/>
      <c r="AH101" s="3583"/>
      <c r="AI101" s="3583"/>
      <c r="AJ101" s="3583"/>
    </row>
    <row r="102" spans="1:36" s="1347" customFormat="1" ht="14.25">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7" customFormat="1">
      <c r="K103" s="3583"/>
      <c r="AD103" s="3583"/>
      <c r="AE103" s="3583"/>
      <c r="AF103" s="3583"/>
      <c r="AG103" s="3583"/>
      <c r="AH103" s="3583"/>
      <c r="AI103" s="3583"/>
    </row>
    <row r="104" spans="1:36">
      <c r="A104" s="3911" t="s">
        <v>1172</v>
      </c>
      <c r="B104" s="3911"/>
      <c r="C104" s="3911"/>
      <c r="D104" s="3911"/>
      <c r="E104" s="3911"/>
      <c r="F104" s="3911"/>
      <c r="G104" s="3911"/>
      <c r="H104" s="3911"/>
      <c r="I104" s="3911"/>
      <c r="J104" s="3911"/>
      <c r="K104" s="2102"/>
      <c r="L104" s="2102"/>
      <c r="M104" s="2102"/>
      <c r="N104" s="2102"/>
    </row>
    <row r="105" spans="1:36">
      <c r="A105" s="3912" t="s">
        <v>1161</v>
      </c>
      <c r="B105" s="3912" t="s">
        <v>1173</v>
      </c>
      <c r="C105" s="1040" t="s">
        <v>1174</v>
      </c>
      <c r="D105" s="1041"/>
      <c r="E105" s="1041"/>
      <c r="F105" s="1041"/>
      <c r="G105" s="1041"/>
      <c r="H105" s="1041"/>
      <c r="I105" s="1041"/>
      <c r="J105" s="1042"/>
      <c r="K105" s="1034"/>
      <c r="L105" s="1034"/>
      <c r="M105" s="1034"/>
      <c r="N105" s="1034"/>
    </row>
    <row r="106" spans="1:36">
      <c r="A106" s="3912"/>
      <c r="B106" s="3912"/>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01" t="s">
        <v>2045</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02"/>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02"/>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02"/>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02"/>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02"/>
      <c r="B112" s="1043" t="s">
        <v>3229</v>
      </c>
      <c r="C112" s="1045">
        <f>$I$3</f>
        <v>0</v>
      </c>
      <c r="D112" s="1045">
        <f t="shared" ref="D112:N112" si="34">$I$3</f>
        <v>0</v>
      </c>
      <c r="E112" s="1045">
        <f t="shared" si="34"/>
        <v>0</v>
      </c>
      <c r="F112" s="1045">
        <f t="shared" si="34"/>
        <v>0</v>
      </c>
      <c r="G112" s="1045">
        <f t="shared" si="34"/>
        <v>0</v>
      </c>
      <c r="H112" s="1045">
        <f t="shared" si="34"/>
        <v>0</v>
      </c>
      <c r="I112" s="1045">
        <f t="shared" si="34"/>
        <v>0</v>
      </c>
      <c r="J112" s="1045">
        <f t="shared" si="34"/>
        <v>0</v>
      </c>
      <c r="K112" s="1045">
        <f t="shared" si="34"/>
        <v>0</v>
      </c>
      <c r="L112" s="1045">
        <f t="shared" si="34"/>
        <v>0</v>
      </c>
      <c r="M112" s="1045">
        <f t="shared" si="34"/>
        <v>0</v>
      </c>
      <c r="N112" s="1045">
        <f t="shared" si="34"/>
        <v>0</v>
      </c>
    </row>
    <row r="113" spans="1:14">
      <c r="A113" s="3903"/>
      <c r="B113" s="1043">
        <v>6</v>
      </c>
      <c r="C113" s="1046">
        <f>(-0.5556*(C112^2)-0.2719*C112+8944)*(10^(-4))</f>
        <v>0.89440000000000008</v>
      </c>
      <c r="D113" s="1046">
        <f>(-0.5556*(D112^2)-0.2719*D112+8944)*(10^(-4))</f>
        <v>0.89440000000000008</v>
      </c>
      <c r="E113" s="1046">
        <f>(-0.7912*(E112^2)-11.3794*E112+8482)*(10^(-4))</f>
        <v>0.84820000000000007</v>
      </c>
      <c r="F113" s="1046">
        <f>(-0.7912*(F112^2)-11.3794*F112+8482)*(10^(-4))</f>
        <v>0.84820000000000007</v>
      </c>
      <c r="G113" s="1046">
        <f>(-0.7912*(G112^2)-11.3794*G112+8482)*(10^(-4))</f>
        <v>0.84820000000000007</v>
      </c>
      <c r="H113" s="1046">
        <f>(-0.7912*(H112^2)-11.3794*H112+8482)*(10^(-4))</f>
        <v>0.84820000000000007</v>
      </c>
      <c r="I113" s="1046">
        <f>(-0.7912*(I112^2)-11.3794*I112+8482)*(10^(-4))</f>
        <v>0.84820000000000007</v>
      </c>
      <c r="J113" s="1046">
        <f>(-0.989*(J112^2)-63.78*J112+7771)*(10^(-4))</f>
        <v>0.77710000000000001</v>
      </c>
      <c r="K113" s="1046">
        <f>(-0.989*(K112^2)-63.78*K112+7771)*(10^(-4))</f>
        <v>0.77710000000000001</v>
      </c>
      <c r="L113" s="1046">
        <f>(-0.989*(L112^2)-63.78*L112+7771)*(10^(-4))</f>
        <v>0.77710000000000001</v>
      </c>
      <c r="M113" s="1046">
        <f>(-0.989*(M112^2)-63.78*M112+7771)*(10^(-4))</f>
        <v>0.77710000000000001</v>
      </c>
      <c r="N113" s="1046">
        <f>(-0.989*(N112^2)-63.78*N112+7771)*(10^(-4))</f>
        <v>0.77710000000000001</v>
      </c>
    </row>
    <row r="114" spans="1:14">
      <c r="A114" s="3908" t="s">
        <v>1175</v>
      </c>
      <c r="B114" s="3908"/>
      <c r="C114" s="3908"/>
      <c r="D114" s="3908"/>
      <c r="E114" s="3908"/>
      <c r="F114" s="3908"/>
      <c r="G114" s="3908"/>
      <c r="H114" s="3908"/>
      <c r="I114" s="3908"/>
      <c r="J114" s="3908"/>
      <c r="K114" s="2100"/>
      <c r="L114" s="2100"/>
      <c r="M114" s="2100"/>
      <c r="N114" s="2100"/>
    </row>
    <row r="116" spans="1:14" ht="12.75" thickBot="1"/>
    <row r="117" spans="1:14" ht="25.5" thickBot="1">
      <c r="A117" s="975" t="s">
        <v>831</v>
      </c>
      <c r="B117" s="2103">
        <f>G3</f>
        <v>2</v>
      </c>
      <c r="C117" s="976" t="s">
        <v>832</v>
      </c>
      <c r="D117" s="977" t="e">
        <f>SUMPRODUCT((A118:A122=F116)*(B117:M117=H116)*B118:M122)</f>
        <v>#VALUE!</v>
      </c>
      <c r="E117" s="978" t="s">
        <v>833</v>
      </c>
      <c r="F117" s="979">
        <f>E2</f>
        <v>0</v>
      </c>
      <c r="G117" s="978" t="s">
        <v>834</v>
      </c>
      <c r="H117" s="979">
        <f>G2</f>
        <v>0</v>
      </c>
      <c r="I117" s="978"/>
      <c r="J117" s="970"/>
      <c r="K117" s="970"/>
      <c r="L117" s="970"/>
      <c r="M117" s="970"/>
    </row>
    <row r="118" spans="1:14" ht="12.75">
      <c r="A118" s="982"/>
      <c r="B118" s="983" t="s">
        <v>819</v>
      </c>
      <c r="C118" s="983" t="s">
        <v>820</v>
      </c>
      <c r="D118" s="983" t="s">
        <v>821</v>
      </c>
      <c r="E118" s="984" t="s">
        <v>822</v>
      </c>
      <c r="F118" s="984" t="s">
        <v>823</v>
      </c>
      <c r="G118" s="984" t="s">
        <v>824</v>
      </c>
      <c r="H118" s="985" t="s">
        <v>825</v>
      </c>
      <c r="I118" s="985" t="s">
        <v>826</v>
      </c>
      <c r="J118" s="986" t="s">
        <v>827</v>
      </c>
      <c r="K118" s="986" t="s">
        <v>828</v>
      </c>
      <c r="L118" s="986" t="s">
        <v>829</v>
      </c>
      <c r="M118" s="987" t="s">
        <v>830</v>
      </c>
    </row>
    <row r="119" spans="1:14" ht="12.75">
      <c r="A119" s="3632" t="s">
        <v>3230</v>
      </c>
      <c r="B119" s="3574">
        <f>ROUND(0.9968-0.011*B117,4)</f>
        <v>0.9748</v>
      </c>
      <c r="C119" s="3574">
        <f>B119</f>
        <v>0.9748</v>
      </c>
      <c r="D119" s="3574">
        <f>ROUND(0.949-0.014*B117,4)</f>
        <v>0.92100000000000004</v>
      </c>
      <c r="E119" s="3574">
        <f>D119</f>
        <v>0.92100000000000004</v>
      </c>
      <c r="F119" s="3574">
        <f>E119</f>
        <v>0.92100000000000004</v>
      </c>
      <c r="G119" s="3574">
        <f>F119</f>
        <v>0.92100000000000004</v>
      </c>
      <c r="H119" s="3574">
        <f>G119</f>
        <v>0.92100000000000004</v>
      </c>
      <c r="I119" s="3574">
        <f>ROUND(0.8486-0.018*B117,4)</f>
        <v>0.81259999999999999</v>
      </c>
      <c r="J119" s="3574">
        <f t="shared" ref="J119:M123" si="35">I119</f>
        <v>0.81259999999999999</v>
      </c>
      <c r="K119" s="3574">
        <f t="shared" si="35"/>
        <v>0.81259999999999999</v>
      </c>
      <c r="L119" s="3574">
        <f t="shared" si="35"/>
        <v>0.81259999999999999</v>
      </c>
      <c r="M119" s="3635">
        <f t="shared" si="35"/>
        <v>0.81259999999999999</v>
      </c>
    </row>
    <row r="120" spans="1:14" ht="12.75">
      <c r="A120" s="3632" t="s">
        <v>3231</v>
      </c>
      <c r="B120" s="3574">
        <f>ROUND(0.993-0.0112*B117,4)</f>
        <v>0.97060000000000002</v>
      </c>
      <c r="C120" s="3574">
        <f>B120</f>
        <v>0.97060000000000002</v>
      </c>
      <c r="D120" s="3574">
        <f>ROUND(0.9415-0.0142*B117,4)</f>
        <v>0.91310000000000002</v>
      </c>
      <c r="E120" s="3574">
        <f t="shared" ref="E120:H121" si="36">D120</f>
        <v>0.91310000000000002</v>
      </c>
      <c r="F120" s="3574">
        <f t="shared" si="36"/>
        <v>0.91310000000000002</v>
      </c>
      <c r="G120" s="3574">
        <f t="shared" si="36"/>
        <v>0.91310000000000002</v>
      </c>
      <c r="H120" s="3574">
        <f t="shared" si="36"/>
        <v>0.91310000000000002</v>
      </c>
      <c r="I120" s="3574">
        <f>ROUND(0.838-0.0182*B117,4)</f>
        <v>0.80159999999999998</v>
      </c>
      <c r="J120" s="3574">
        <f t="shared" si="35"/>
        <v>0.80159999999999998</v>
      </c>
      <c r="K120" s="3574">
        <f t="shared" si="35"/>
        <v>0.80159999999999998</v>
      </c>
      <c r="L120" s="3574">
        <f t="shared" si="35"/>
        <v>0.80159999999999998</v>
      </c>
      <c r="M120" s="3635">
        <f t="shared" si="35"/>
        <v>0.80159999999999998</v>
      </c>
    </row>
    <row r="121" spans="1:14" ht="12.75">
      <c r="A121" s="3632" t="s">
        <v>3232</v>
      </c>
      <c r="B121" s="3574">
        <f>ROUND(0.9448-0.0115*B117,4)</f>
        <v>0.92179999999999995</v>
      </c>
      <c r="C121" s="3574">
        <f>B121</f>
        <v>0.92179999999999995</v>
      </c>
      <c r="D121" s="3574">
        <f>ROUND(0.937-0.0145*B117,4)</f>
        <v>0.90800000000000003</v>
      </c>
      <c r="E121" s="3574">
        <f t="shared" si="36"/>
        <v>0.90800000000000003</v>
      </c>
      <c r="F121" s="3574">
        <f t="shared" si="36"/>
        <v>0.90800000000000003</v>
      </c>
      <c r="G121" s="3574">
        <f t="shared" si="36"/>
        <v>0.90800000000000003</v>
      </c>
      <c r="H121" s="3574">
        <f t="shared" si="36"/>
        <v>0.90800000000000003</v>
      </c>
      <c r="I121" s="3574">
        <f>ROUND(0.7965-0.0185*B117,4)</f>
        <v>0.75949999999999995</v>
      </c>
      <c r="J121" s="3574">
        <f t="shared" si="35"/>
        <v>0.75949999999999995</v>
      </c>
      <c r="K121" s="3574">
        <f t="shared" si="35"/>
        <v>0.75949999999999995</v>
      </c>
      <c r="L121" s="3574">
        <f t="shared" si="35"/>
        <v>0.75949999999999995</v>
      </c>
      <c r="M121" s="3635">
        <f t="shared" si="35"/>
        <v>0.75949999999999995</v>
      </c>
    </row>
    <row r="122" spans="1:14" ht="13.5" thickBot="1">
      <c r="A122" s="3633" t="s">
        <v>3233</v>
      </c>
      <c r="B122" s="3636">
        <f>ROUND(0.7836-0.012*B117,4)</f>
        <v>0.75960000000000005</v>
      </c>
      <c r="C122" s="3636">
        <f>B122</f>
        <v>0.75960000000000005</v>
      </c>
      <c r="D122" s="3636">
        <f>ROUND(0.753-0.015*B117,4)</f>
        <v>0.72299999999999998</v>
      </c>
      <c r="E122" s="3636">
        <f>D122</f>
        <v>0.72299999999999998</v>
      </c>
      <c r="F122" s="3636">
        <f>E122</f>
        <v>0.72299999999999998</v>
      </c>
      <c r="G122" s="3636">
        <f>ROUND(0.6612-0.018*B117,4)</f>
        <v>0.62519999999999998</v>
      </c>
      <c r="H122" s="3636">
        <f>G122</f>
        <v>0.62519999999999998</v>
      </c>
      <c r="I122" s="3636">
        <f>ROUND(0.5905-0.019*B117,4)</f>
        <v>0.55249999999999999</v>
      </c>
      <c r="J122" s="3636">
        <f t="shared" si="35"/>
        <v>0.55249999999999999</v>
      </c>
      <c r="K122" s="3636">
        <f t="shared" si="35"/>
        <v>0.55249999999999999</v>
      </c>
      <c r="L122" s="3636">
        <f t="shared" si="35"/>
        <v>0.55249999999999999</v>
      </c>
      <c r="M122" s="3637">
        <f t="shared" si="35"/>
        <v>0.55249999999999999</v>
      </c>
    </row>
    <row r="123" spans="1:14" ht="12.75">
      <c r="A123" s="3634" t="s">
        <v>3214</v>
      </c>
      <c r="B123" s="3574">
        <f>ROUND(0.9404-0.0106*B117,4)</f>
        <v>0.91920000000000002</v>
      </c>
      <c r="C123" s="3574">
        <f>B123</f>
        <v>0.91920000000000002</v>
      </c>
      <c r="D123" s="3574">
        <f>ROUND(0.8955-0.0135*B117,4)</f>
        <v>0.86850000000000005</v>
      </c>
      <c r="E123" s="3574">
        <f t="shared" ref="E123:H123" si="37">D123</f>
        <v>0.86850000000000005</v>
      </c>
      <c r="F123" s="3574">
        <f t="shared" si="37"/>
        <v>0.86850000000000005</v>
      </c>
      <c r="G123" s="3574">
        <f t="shared" si="37"/>
        <v>0.86850000000000005</v>
      </c>
      <c r="H123" s="3574">
        <f t="shared" si="37"/>
        <v>0.86850000000000005</v>
      </c>
      <c r="I123" s="3574">
        <f>ROUND(0.7632-0.0166*B117,4)</f>
        <v>0.73</v>
      </c>
      <c r="J123" s="3574">
        <f t="shared" si="35"/>
        <v>0.73</v>
      </c>
      <c r="K123" s="3574">
        <f t="shared" si="35"/>
        <v>0.73</v>
      </c>
      <c r="L123" s="3574">
        <f t="shared" si="35"/>
        <v>0.73</v>
      </c>
      <c r="M123" s="3635">
        <f t="shared" si="35"/>
        <v>0.73</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5" priority="7" stopIfTrue="1" operator="notEqual">
      <formula>"——"</formula>
    </cfRule>
  </conditionalFormatting>
  <conditionalFormatting sqref="F61">
    <cfRule type="cellIs" dxfId="134" priority="6" stopIfTrue="1" operator="notEqual">
      <formula>"——"</formula>
    </cfRule>
  </conditionalFormatting>
  <conditionalFormatting sqref="F72">
    <cfRule type="cellIs" dxfId="133" priority="5" stopIfTrue="1" operator="notEqual">
      <formula>"——"</formula>
    </cfRule>
  </conditionalFormatting>
  <conditionalFormatting sqref="F83">
    <cfRule type="cellIs" dxfId="132" priority="4" stopIfTrue="1" operator="notEqual">
      <formula>"——"</formula>
    </cfRule>
  </conditionalFormatting>
  <conditionalFormatting sqref="H50:H58 H72:H80 H83:H91 H93:H102 H61:H69">
    <cfRule type="cellIs" dxfId="13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7"/>
    <col min="2" max="9" width="13.875" style="1024"/>
    <col min="10" max="16384" width="13.875" style="1007"/>
  </cols>
  <sheetData>
    <row r="1" spans="1:13" ht="14.25" thickBot="1">
      <c r="A1" s="1025" t="s">
        <v>2756</v>
      </c>
      <c r="B1" s="1012" t="s">
        <v>990</v>
      </c>
      <c r="C1" s="1012" t="s">
        <v>1031</v>
      </c>
      <c r="D1" s="1012" t="s">
        <v>1145</v>
      </c>
      <c r="E1" s="1012" t="s">
        <v>853</v>
      </c>
      <c r="F1" s="1012" t="s">
        <v>1152</v>
      </c>
      <c r="G1" s="1012" t="s">
        <v>1153</v>
      </c>
      <c r="H1" s="1012" t="s">
        <v>1154</v>
      </c>
      <c r="I1" s="1012" t="s">
        <v>1155</v>
      </c>
      <c r="J1" s="1012" t="s">
        <v>1156</v>
      </c>
      <c r="K1" s="1012" t="s">
        <v>1157</v>
      </c>
      <c r="L1" s="1012" t="s">
        <v>2757</v>
      </c>
      <c r="M1" s="1013" t="s">
        <v>2758</v>
      </c>
    </row>
    <row r="2" spans="1:13">
      <c r="A2" s="3233" t="s">
        <v>2733</v>
      </c>
      <c r="B2" s="3234">
        <v>3.5</v>
      </c>
      <c r="C2" s="3234">
        <v>3.5</v>
      </c>
      <c r="D2" s="3235">
        <v>2.5</v>
      </c>
      <c r="E2" s="3235">
        <v>2.5</v>
      </c>
      <c r="F2" s="3235">
        <v>2.5</v>
      </c>
      <c r="G2" s="3235">
        <v>2.5</v>
      </c>
      <c r="H2" s="3235">
        <v>2.5</v>
      </c>
      <c r="I2" s="3234">
        <v>2</v>
      </c>
      <c r="J2" s="3234">
        <v>2</v>
      </c>
      <c r="K2" s="3234">
        <v>2</v>
      </c>
      <c r="L2" s="3234">
        <v>2</v>
      </c>
      <c r="M2" s="3236">
        <v>2</v>
      </c>
    </row>
    <row r="3" spans="1:13">
      <c r="A3" s="3237" t="s">
        <v>1212</v>
      </c>
      <c r="B3" s="3238">
        <v>3.5</v>
      </c>
      <c r="C3" s="3238">
        <v>3.5</v>
      </c>
      <c r="D3" s="3239">
        <v>2.5</v>
      </c>
      <c r="E3" s="3239">
        <v>2.5</v>
      </c>
      <c r="F3" s="3239">
        <v>2.5</v>
      </c>
      <c r="G3" s="3239">
        <v>2.5</v>
      </c>
      <c r="H3" s="3239">
        <v>2.5</v>
      </c>
      <c r="I3" s="3238">
        <v>2</v>
      </c>
      <c r="J3" s="3238">
        <v>2</v>
      </c>
      <c r="K3" s="3238">
        <v>2</v>
      </c>
      <c r="L3" s="3238">
        <v>2</v>
      </c>
      <c r="M3" s="3240">
        <v>2</v>
      </c>
    </row>
    <row r="4" spans="1:13">
      <c r="A4" s="3237" t="s">
        <v>851</v>
      </c>
      <c r="B4" s="3239">
        <v>2.5</v>
      </c>
      <c r="C4" s="3239">
        <v>2.5</v>
      </c>
      <c r="D4" s="3239">
        <v>2.5</v>
      </c>
      <c r="E4" s="3239">
        <v>2.5</v>
      </c>
      <c r="F4" s="3239">
        <v>2.5</v>
      </c>
      <c r="G4" s="3239">
        <v>2.5</v>
      </c>
      <c r="H4" s="3239">
        <v>2.5</v>
      </c>
      <c r="I4" s="3238">
        <v>1.5</v>
      </c>
      <c r="J4" s="3238">
        <v>1.5</v>
      </c>
      <c r="K4" s="3238">
        <v>1.5</v>
      </c>
      <c r="L4" s="3238">
        <v>1.5</v>
      </c>
      <c r="M4" s="3240">
        <v>1.5</v>
      </c>
    </row>
    <row r="5" spans="1:13">
      <c r="A5" s="3241" t="s">
        <v>905</v>
      </c>
      <c r="B5" s="3238">
        <v>1.5</v>
      </c>
      <c r="C5" s="3238">
        <v>1.5</v>
      </c>
      <c r="D5" s="3238">
        <v>1.5</v>
      </c>
      <c r="E5" s="3238">
        <v>1.5</v>
      </c>
      <c r="F5" s="3238">
        <v>1.5</v>
      </c>
      <c r="G5" s="3238">
        <v>1.2</v>
      </c>
      <c r="H5" s="3238">
        <v>1.2</v>
      </c>
      <c r="I5" s="3238">
        <v>1</v>
      </c>
      <c r="J5" s="3238">
        <v>1</v>
      </c>
      <c r="K5" s="3238">
        <v>1</v>
      </c>
      <c r="L5" s="3238">
        <v>1</v>
      </c>
      <c r="M5" s="3240">
        <v>1</v>
      </c>
    </row>
    <row r="6" spans="1:13">
      <c r="A6" s="3242" t="s">
        <v>2759</v>
      </c>
      <c r="B6" s="3243">
        <v>2.5</v>
      </c>
      <c r="C6" s="3243">
        <v>2.5</v>
      </c>
      <c r="D6" s="3243">
        <v>2</v>
      </c>
      <c r="E6" s="3243">
        <v>2</v>
      </c>
      <c r="F6" s="3243">
        <v>2</v>
      </c>
      <c r="G6" s="3243">
        <v>2</v>
      </c>
      <c r="H6" s="3243">
        <v>2</v>
      </c>
      <c r="I6" s="3244">
        <v>1.5</v>
      </c>
      <c r="J6" s="3244">
        <v>1.5</v>
      </c>
      <c r="K6" s="3244">
        <v>1.5</v>
      </c>
      <c r="L6" s="3244">
        <v>1.5</v>
      </c>
      <c r="M6" s="3245">
        <v>1.5</v>
      </c>
    </row>
    <row r="7" spans="1:13" ht="14.25" thickBot="1">
      <c r="A7" s="3246" t="s">
        <v>2731</v>
      </c>
      <c r="B7" s="3247">
        <v>2.5</v>
      </c>
      <c r="C7" s="3247">
        <v>2.5</v>
      </c>
      <c r="D7" s="3247">
        <v>2</v>
      </c>
      <c r="E7" s="3247">
        <v>2</v>
      </c>
      <c r="F7" s="3247">
        <v>2</v>
      </c>
      <c r="G7" s="3247">
        <v>2</v>
      </c>
      <c r="H7" s="3247">
        <v>2</v>
      </c>
      <c r="I7" s="3248">
        <v>1.5</v>
      </c>
      <c r="J7" s="3248">
        <v>1.5</v>
      </c>
      <c r="K7" s="3248">
        <v>1.5</v>
      </c>
      <c r="L7" s="3248">
        <v>1.5</v>
      </c>
      <c r="M7" s="3249">
        <v>1.5</v>
      </c>
    </row>
    <row r="8" spans="1:13">
      <c r="A8" s="1026" t="s">
        <v>2760</v>
      </c>
      <c r="B8" s="3250">
        <v>80</v>
      </c>
      <c r="C8" s="3250">
        <v>80</v>
      </c>
      <c r="D8" s="3250">
        <v>70</v>
      </c>
      <c r="E8" s="3250">
        <v>70</v>
      </c>
      <c r="F8" s="3250">
        <v>70</v>
      </c>
      <c r="G8" s="3250">
        <v>70</v>
      </c>
      <c r="H8" s="3250">
        <v>70</v>
      </c>
      <c r="I8" s="3250">
        <v>60</v>
      </c>
      <c r="J8" s="3250">
        <v>60</v>
      </c>
      <c r="K8" s="3250">
        <v>60</v>
      </c>
      <c r="L8" s="3250">
        <v>60</v>
      </c>
      <c r="M8" s="3251">
        <v>60</v>
      </c>
    </row>
    <row r="9" spans="1:13">
      <c r="A9" s="1008" t="s">
        <v>2761</v>
      </c>
      <c r="B9" s="3252">
        <v>70</v>
      </c>
      <c r="C9" s="3252">
        <v>70</v>
      </c>
      <c r="D9" s="3252">
        <v>60</v>
      </c>
      <c r="E9" s="3252">
        <v>60</v>
      </c>
      <c r="F9" s="3252">
        <v>60</v>
      </c>
      <c r="G9" s="3252">
        <v>60</v>
      </c>
      <c r="H9" s="3252">
        <v>60</v>
      </c>
      <c r="I9" s="3252">
        <v>50</v>
      </c>
      <c r="J9" s="3252">
        <v>50</v>
      </c>
      <c r="K9" s="3252">
        <v>50</v>
      </c>
      <c r="L9" s="3252">
        <v>50</v>
      </c>
      <c r="M9" s="3253">
        <v>50</v>
      </c>
    </row>
    <row r="10" spans="1:13">
      <c r="A10" s="1008" t="s">
        <v>2762</v>
      </c>
      <c r="B10" s="3252">
        <v>20</v>
      </c>
      <c r="C10" s="3252">
        <v>20</v>
      </c>
      <c r="D10" s="3252">
        <v>15</v>
      </c>
      <c r="E10" s="3252">
        <v>15</v>
      </c>
      <c r="F10" s="3252">
        <v>15</v>
      </c>
      <c r="G10" s="3252">
        <v>15</v>
      </c>
      <c r="H10" s="3252">
        <v>15</v>
      </c>
      <c r="I10" s="3252">
        <v>10</v>
      </c>
      <c r="J10" s="3252">
        <v>10</v>
      </c>
      <c r="K10" s="3252">
        <v>10</v>
      </c>
      <c r="L10" s="3252">
        <v>10</v>
      </c>
      <c r="M10" s="3253">
        <v>10</v>
      </c>
    </row>
    <row r="11" spans="1:13">
      <c r="A11" s="1008" t="s">
        <v>2763</v>
      </c>
      <c r="B11" s="3252">
        <v>30</v>
      </c>
      <c r="C11" s="3252">
        <v>30</v>
      </c>
      <c r="D11" s="3252">
        <v>25</v>
      </c>
      <c r="E11" s="3252">
        <v>25</v>
      </c>
      <c r="F11" s="3252">
        <v>25</v>
      </c>
      <c r="G11" s="3252">
        <v>25</v>
      </c>
      <c r="H11" s="3252">
        <v>25</v>
      </c>
      <c r="I11" s="3252">
        <v>20</v>
      </c>
      <c r="J11" s="3252">
        <v>20</v>
      </c>
      <c r="K11" s="3252">
        <v>20</v>
      </c>
      <c r="L11" s="3252">
        <v>20</v>
      </c>
      <c r="M11" s="3253">
        <v>20</v>
      </c>
    </row>
    <row r="12" spans="1:13">
      <c r="A12" s="1008" t="s">
        <v>2764</v>
      </c>
      <c r="B12" s="3252">
        <v>45</v>
      </c>
      <c r="C12" s="3252">
        <v>45</v>
      </c>
      <c r="D12" s="3252">
        <v>40</v>
      </c>
      <c r="E12" s="3252">
        <v>40</v>
      </c>
      <c r="F12" s="3252">
        <v>40</v>
      </c>
      <c r="G12" s="3252">
        <v>40</v>
      </c>
      <c r="H12" s="3252">
        <v>40</v>
      </c>
      <c r="I12" s="3252">
        <v>35</v>
      </c>
      <c r="J12" s="3252">
        <v>35</v>
      </c>
      <c r="K12" s="3252">
        <v>35</v>
      </c>
      <c r="L12" s="3252">
        <v>35</v>
      </c>
      <c r="M12" s="3253">
        <v>35</v>
      </c>
    </row>
    <row r="13" spans="1:13">
      <c r="A13" s="1008" t="s">
        <v>2765</v>
      </c>
      <c r="B13" s="3252">
        <v>60</v>
      </c>
      <c r="C13" s="3252">
        <v>60</v>
      </c>
      <c r="D13" s="3252">
        <v>50</v>
      </c>
      <c r="E13" s="3252">
        <v>50</v>
      </c>
      <c r="F13" s="3252">
        <v>50</v>
      </c>
      <c r="G13" s="3252">
        <v>50</v>
      </c>
      <c r="H13" s="3252">
        <v>50</v>
      </c>
      <c r="I13" s="3252">
        <v>40</v>
      </c>
      <c r="J13" s="3252">
        <v>40</v>
      </c>
      <c r="K13" s="3252">
        <v>40</v>
      </c>
      <c r="L13" s="3252">
        <v>40</v>
      </c>
      <c r="M13" s="3253">
        <v>40</v>
      </c>
    </row>
    <row r="14" spans="1:13">
      <c r="A14" s="1008" t="s">
        <v>2766</v>
      </c>
      <c r="B14" s="3252">
        <v>50</v>
      </c>
      <c r="C14" s="3252">
        <v>50</v>
      </c>
      <c r="D14" s="3252">
        <v>40</v>
      </c>
      <c r="E14" s="3252">
        <v>40</v>
      </c>
      <c r="F14" s="3252">
        <v>40</v>
      </c>
      <c r="G14" s="3252">
        <v>40</v>
      </c>
      <c r="H14" s="3252">
        <v>40</v>
      </c>
      <c r="I14" s="3252">
        <v>30</v>
      </c>
      <c r="J14" s="3252">
        <v>30</v>
      </c>
      <c r="K14" s="3252">
        <v>30</v>
      </c>
      <c r="L14" s="3252">
        <v>30</v>
      </c>
      <c r="M14" s="3253">
        <v>30</v>
      </c>
    </row>
    <row r="15" spans="1:13">
      <c r="A15" s="1027" t="s">
        <v>2767</v>
      </c>
      <c r="B15" s="3254">
        <v>20</v>
      </c>
      <c r="C15" s="3254">
        <v>20</v>
      </c>
      <c r="D15" s="3254">
        <v>15</v>
      </c>
      <c r="E15" s="3254">
        <v>15</v>
      </c>
      <c r="F15" s="3254">
        <v>15</v>
      </c>
      <c r="G15" s="3254">
        <v>15</v>
      </c>
      <c r="H15" s="3254">
        <v>15</v>
      </c>
      <c r="I15" s="3254">
        <v>10</v>
      </c>
      <c r="J15" s="3254">
        <v>10</v>
      </c>
      <c r="K15" s="3254">
        <v>10</v>
      </c>
      <c r="L15" s="3254">
        <v>10</v>
      </c>
      <c r="M15" s="3255">
        <v>10</v>
      </c>
    </row>
    <row r="16" spans="1:13">
      <c r="A16" s="1009" t="s">
        <v>877</v>
      </c>
      <c r="B16" s="1028">
        <v>0</v>
      </c>
      <c r="C16" s="1028">
        <v>0</v>
      </c>
      <c r="D16" s="1028">
        <v>0</v>
      </c>
      <c r="E16" s="1028">
        <v>0</v>
      </c>
      <c r="F16" s="1028">
        <v>0</v>
      </c>
      <c r="G16" s="1028">
        <v>0</v>
      </c>
      <c r="H16" s="1028">
        <v>0</v>
      </c>
      <c r="I16" s="1028">
        <v>0</v>
      </c>
      <c r="J16" s="1028">
        <v>0</v>
      </c>
      <c r="K16" s="1028">
        <v>0</v>
      </c>
      <c r="L16" s="1028">
        <v>0</v>
      </c>
      <c r="M16" s="1028">
        <v>0</v>
      </c>
    </row>
    <row r="17" spans="1:13">
      <c r="A17" s="2597" t="s">
        <v>2768</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29" t="s">
        <v>1160</v>
      </c>
      <c r="B18" s="1029"/>
      <c r="C18" s="1030"/>
      <c r="D18" s="1030"/>
      <c r="E18" s="1029"/>
      <c r="F18" s="1030"/>
      <c r="G18" s="1030"/>
    </row>
    <row r="19" spans="1:13" ht="14.25" thickBot="1">
      <c r="A19" s="3254" t="s">
        <v>2450</v>
      </c>
      <c r="B19" s="3256" t="s">
        <v>2451</v>
      </c>
      <c r="C19" s="3257" t="s">
        <v>2452</v>
      </c>
      <c r="D19" s="3258"/>
      <c r="E19" s="3252" t="s">
        <v>2453</v>
      </c>
      <c r="F19" s="1032"/>
      <c r="G19" s="1032"/>
    </row>
    <row r="20" spans="1:13" s="1407" customFormat="1">
      <c r="A20" s="3913" t="s">
        <v>2444</v>
      </c>
      <c r="B20" s="3916" t="s">
        <v>2454</v>
      </c>
      <c r="C20" s="3259" t="s">
        <v>2455</v>
      </c>
      <c r="D20" s="3260"/>
      <c r="E20" s="3261">
        <v>1</v>
      </c>
      <c r="F20" s="3262" t="s">
        <v>2456</v>
      </c>
      <c r="G20" s="1034"/>
      <c r="H20" s="1024"/>
      <c r="I20" s="1024"/>
    </row>
    <row r="21" spans="1:13" s="1407" customFormat="1">
      <c r="A21" s="3914"/>
      <c r="B21" s="3917"/>
      <c r="C21" s="3263" t="s">
        <v>2457</v>
      </c>
      <c r="D21" s="3264"/>
      <c r="E21" s="3265">
        <v>1</v>
      </c>
      <c r="F21" s="3262" t="s">
        <v>2458</v>
      </c>
      <c r="G21" s="1034"/>
      <c r="H21" s="1024"/>
      <c r="I21" s="1024"/>
    </row>
    <row r="22" spans="1:13" s="1407" customFormat="1">
      <c r="A22" s="3914"/>
      <c r="B22" s="3917"/>
      <c r="C22" s="3263" t="s">
        <v>2459</v>
      </c>
      <c r="D22" s="3264"/>
      <c r="E22" s="3265">
        <v>0.9</v>
      </c>
      <c r="F22" s="3262" t="s">
        <v>2460</v>
      </c>
      <c r="G22" s="1034"/>
      <c r="H22" s="1024"/>
      <c r="I22" s="1024"/>
    </row>
    <row r="23" spans="1:13" s="1407" customFormat="1">
      <c r="A23" s="3914"/>
      <c r="B23" s="3917"/>
      <c r="C23" s="3263" t="s">
        <v>2461</v>
      </c>
      <c r="D23" s="3264"/>
      <c r="E23" s="3265">
        <v>0.9</v>
      </c>
      <c r="F23" s="3262" t="s">
        <v>2462</v>
      </c>
      <c r="G23" s="1034"/>
      <c r="H23" s="1024"/>
      <c r="I23" s="1024"/>
    </row>
    <row r="24" spans="1:13" s="1407" customFormat="1">
      <c r="A24" s="3914"/>
      <c r="B24" s="3917"/>
      <c r="C24" s="3263" t="s">
        <v>2463</v>
      </c>
      <c r="D24" s="3264"/>
      <c r="E24" s="3265">
        <v>0.8</v>
      </c>
      <c r="F24" s="3262" t="s">
        <v>2464</v>
      </c>
      <c r="G24" s="1034"/>
      <c r="H24" s="1024"/>
      <c r="I24" s="1024"/>
    </row>
    <row r="25" spans="1:13" s="1407" customFormat="1" ht="14.25" thickBot="1">
      <c r="A25" s="3915"/>
      <c r="B25" s="3918"/>
      <c r="C25" s="3266" t="s">
        <v>2465</v>
      </c>
      <c r="D25" s="3267"/>
      <c r="E25" s="3268">
        <v>0.8</v>
      </c>
      <c r="F25" s="3262" t="s">
        <v>2466</v>
      </c>
      <c r="G25" s="1034"/>
      <c r="H25" s="1024"/>
      <c r="I25" s="1024"/>
    </row>
    <row r="26" spans="1:13" s="1407" customFormat="1" ht="14.25" thickBot="1">
      <c r="A26" s="3269" t="s">
        <v>2445</v>
      </c>
      <c r="B26" s="3270" t="s">
        <v>2454</v>
      </c>
      <c r="C26" s="3271" t="s">
        <v>2467</v>
      </c>
      <c r="D26" s="3272"/>
      <c r="E26" s="3273">
        <v>1</v>
      </c>
      <c r="F26" s="3262" t="s">
        <v>2468</v>
      </c>
      <c r="G26" s="1034"/>
      <c r="H26" s="1024"/>
      <c r="I26" s="1024"/>
    </row>
    <row r="27" spans="1:13" s="1407" customFormat="1">
      <c r="A27" s="3919" t="s">
        <v>2449</v>
      </c>
      <c r="B27" s="3916" t="s">
        <v>2449</v>
      </c>
      <c r="C27" s="3259" t="s">
        <v>2469</v>
      </c>
      <c r="D27" s="3260"/>
      <c r="E27" s="3261">
        <v>1</v>
      </c>
      <c r="F27" s="3262" t="s">
        <v>2470</v>
      </c>
      <c r="G27" s="1034"/>
      <c r="H27" s="1024"/>
      <c r="I27" s="1024"/>
    </row>
    <row r="28" spans="1:13" s="1407" customFormat="1">
      <c r="A28" s="3920"/>
      <c r="B28" s="3917"/>
      <c r="C28" s="3263" t="s">
        <v>2471</v>
      </c>
      <c r="D28" s="3264"/>
      <c r="E28" s="3265">
        <v>1</v>
      </c>
      <c r="F28" s="3262" t="s">
        <v>2472</v>
      </c>
      <c r="G28" s="1034"/>
      <c r="H28" s="1024"/>
      <c r="I28" s="1024"/>
    </row>
    <row r="29" spans="1:13" s="1407" customFormat="1">
      <c r="A29" s="3920"/>
      <c r="B29" s="3917"/>
      <c r="C29" s="3263" t="s">
        <v>2473</v>
      </c>
      <c r="D29" s="3264"/>
      <c r="E29" s="3265">
        <v>0.8</v>
      </c>
      <c r="F29" s="3262" t="s">
        <v>2474</v>
      </c>
      <c r="G29" s="1034"/>
      <c r="H29" s="1024"/>
      <c r="I29" s="1024"/>
    </row>
    <row r="30" spans="1:13" s="1407" customFormat="1">
      <c r="A30" s="3920"/>
      <c r="B30" s="3917"/>
      <c r="C30" s="3263" t="s">
        <v>2475</v>
      </c>
      <c r="D30" s="3264"/>
      <c r="E30" s="3265">
        <v>0.8</v>
      </c>
      <c r="F30" s="3262" t="s">
        <v>2476</v>
      </c>
      <c r="G30" s="1034"/>
      <c r="H30" s="1024"/>
      <c r="I30" s="1024"/>
    </row>
    <row r="31" spans="1:13" s="1407" customFormat="1">
      <c r="A31" s="3920"/>
      <c r="B31" s="3917"/>
      <c r="C31" s="3263" t="s">
        <v>2477</v>
      </c>
      <c r="D31" s="3264"/>
      <c r="E31" s="3265">
        <v>0.8</v>
      </c>
      <c r="F31" s="3262" t="s">
        <v>2478</v>
      </c>
      <c r="G31" s="1034"/>
      <c r="H31" s="1024"/>
      <c r="I31" s="1024"/>
    </row>
    <row r="32" spans="1:13" s="1407" customFormat="1">
      <c r="A32" s="3920"/>
      <c r="B32" s="3917"/>
      <c r="C32" s="3263" t="s">
        <v>2479</v>
      </c>
      <c r="D32" s="3264"/>
      <c r="E32" s="3265">
        <v>0.7</v>
      </c>
      <c r="F32" s="3262" t="s">
        <v>2480</v>
      </c>
      <c r="G32" s="1034"/>
      <c r="H32" s="1024"/>
      <c r="I32" s="1024"/>
    </row>
    <row r="33" spans="1:9" s="1407" customFormat="1">
      <c r="A33" s="3920"/>
      <c r="B33" s="3917"/>
      <c r="C33" s="3263" t="s">
        <v>2481</v>
      </c>
      <c r="D33" s="3264"/>
      <c r="E33" s="3265">
        <v>0.8</v>
      </c>
      <c r="F33" s="3262" t="s">
        <v>2482</v>
      </c>
      <c r="G33" s="1034"/>
      <c r="H33" s="1024"/>
      <c r="I33" s="1024"/>
    </row>
    <row r="34" spans="1:9" s="1407" customFormat="1">
      <c r="A34" s="3920"/>
      <c r="B34" s="3917"/>
      <c r="C34" s="3263" t="s">
        <v>2483</v>
      </c>
      <c r="D34" s="3264"/>
      <c r="E34" s="3265">
        <v>0.6</v>
      </c>
      <c r="F34" s="3262" t="s">
        <v>2484</v>
      </c>
      <c r="G34" s="1034"/>
      <c r="H34" s="1024"/>
      <c r="I34" s="1024"/>
    </row>
    <row r="35" spans="1:9" s="1407" customFormat="1">
      <c r="A35" s="3920"/>
      <c r="B35" s="3917"/>
      <c r="C35" s="3263" t="s">
        <v>2485</v>
      </c>
      <c r="D35" s="3264"/>
      <c r="E35" s="3265">
        <v>0.2</v>
      </c>
      <c r="F35" s="3262" t="s">
        <v>2486</v>
      </c>
      <c r="G35" s="1034"/>
      <c r="H35" s="1024"/>
      <c r="I35" s="1024"/>
    </row>
    <row r="36" spans="1:9" s="1407" customFormat="1">
      <c r="A36" s="3920"/>
      <c r="B36" s="3917"/>
      <c r="C36" s="3263" t="s">
        <v>2487</v>
      </c>
      <c r="D36" s="3264"/>
      <c r="E36" s="3265">
        <v>0.2</v>
      </c>
      <c r="F36" s="3262" t="s">
        <v>2488</v>
      </c>
      <c r="G36" s="1034"/>
      <c r="H36" s="1024"/>
      <c r="I36" s="1024"/>
    </row>
    <row r="37" spans="1:9" s="1407" customFormat="1">
      <c r="A37" s="3920"/>
      <c r="B37" s="3922" t="s">
        <v>2489</v>
      </c>
      <c r="C37" s="3263" t="s">
        <v>2490</v>
      </c>
      <c r="D37" s="3264"/>
      <c r="E37" s="3265">
        <v>0.6</v>
      </c>
      <c r="F37" s="3262" t="s">
        <v>2491</v>
      </c>
      <c r="G37" s="1034"/>
      <c r="H37" s="1024"/>
      <c r="I37" s="1024"/>
    </row>
    <row r="38" spans="1:9" s="1407" customFormat="1">
      <c r="A38" s="3920"/>
      <c r="B38" s="3917"/>
      <c r="C38" s="3263" t="s">
        <v>2492</v>
      </c>
      <c r="D38" s="3264"/>
      <c r="E38" s="3265">
        <v>0.6</v>
      </c>
      <c r="F38" s="3262" t="s">
        <v>2493</v>
      </c>
      <c r="G38" s="1034"/>
      <c r="H38" s="1024"/>
      <c r="I38" s="1024"/>
    </row>
    <row r="39" spans="1:9" s="1407" customFormat="1" ht="14.25" thickBot="1">
      <c r="A39" s="3921"/>
      <c r="B39" s="3918"/>
      <c r="C39" s="3266" t="s">
        <v>2494</v>
      </c>
      <c r="D39" s="3267"/>
      <c r="E39" s="3268">
        <v>0.6</v>
      </c>
      <c r="F39" s="3262" t="s">
        <v>2495</v>
      </c>
      <c r="G39" s="1034"/>
      <c r="H39" s="1024"/>
      <c r="I39" s="1024"/>
    </row>
    <row r="40" spans="1:9" s="1407" customFormat="1" ht="14.25" thickBot="1">
      <c r="A40" s="3269" t="s">
        <v>2446</v>
      </c>
      <c r="B40" s="3270" t="s">
        <v>2446</v>
      </c>
      <c r="C40" s="3271" t="s">
        <v>2496</v>
      </c>
      <c r="D40" s="3272"/>
      <c r="E40" s="3273">
        <v>1</v>
      </c>
      <c r="F40" s="3262" t="s">
        <v>2497</v>
      </c>
      <c r="G40" s="1034"/>
      <c r="H40" s="1024"/>
      <c r="I40" s="1024"/>
    </row>
    <row r="41" spans="1:9" s="1407" customFormat="1">
      <c r="A41" s="3913" t="s">
        <v>2447</v>
      </c>
      <c r="B41" s="3916" t="s">
        <v>2498</v>
      </c>
      <c r="C41" s="3259" t="s">
        <v>2499</v>
      </c>
      <c r="D41" s="3260"/>
      <c r="E41" s="3261">
        <v>1</v>
      </c>
      <c r="F41" s="3262" t="s">
        <v>2500</v>
      </c>
      <c r="G41" s="1034"/>
      <c r="H41" s="1024"/>
      <c r="I41" s="1024"/>
    </row>
    <row r="42" spans="1:9" s="1407" customFormat="1">
      <c r="A42" s="3914"/>
      <c r="B42" s="3917"/>
      <c r="C42" s="3263" t="s">
        <v>2501</v>
      </c>
      <c r="D42" s="3264"/>
      <c r="E42" s="3265">
        <v>1</v>
      </c>
      <c r="F42" s="3262" t="s">
        <v>2502</v>
      </c>
      <c r="G42" s="1034"/>
      <c r="H42" s="1024"/>
      <c r="I42" s="1024"/>
    </row>
    <row r="43" spans="1:9" s="1407" customFormat="1">
      <c r="A43" s="3914"/>
      <c r="B43" s="3923"/>
      <c r="C43" s="3263" t="s">
        <v>2503</v>
      </c>
      <c r="D43" s="3264"/>
      <c r="E43" s="3265">
        <v>1.5</v>
      </c>
      <c r="F43" s="3262" t="s">
        <v>2504</v>
      </c>
      <c r="G43" s="1034"/>
      <c r="H43" s="1024"/>
      <c r="I43" s="1024"/>
    </row>
    <row r="44" spans="1:9" s="1407" customFormat="1">
      <c r="A44" s="3914"/>
      <c r="B44" s="3274" t="s">
        <v>2449</v>
      </c>
      <c r="C44" s="3263" t="s">
        <v>2448</v>
      </c>
      <c r="D44" s="3264"/>
      <c r="E44" s="3265">
        <v>2</v>
      </c>
      <c r="F44" s="3262" t="s">
        <v>2505</v>
      </c>
      <c r="G44" s="1034"/>
      <c r="H44" s="1024"/>
      <c r="I44" s="1024"/>
    </row>
    <row r="45" spans="1:9" s="1407" customFormat="1">
      <c r="A45" s="3914"/>
      <c r="B45" s="3922" t="s">
        <v>2506</v>
      </c>
      <c r="C45" s="3263" t="s">
        <v>2507</v>
      </c>
      <c r="D45" s="3264"/>
      <c r="E45" s="3265">
        <v>1</v>
      </c>
      <c r="F45" s="3262" t="s">
        <v>2508</v>
      </c>
      <c r="G45" s="1034"/>
      <c r="H45" s="1024"/>
      <c r="I45" s="1024"/>
    </row>
    <row r="46" spans="1:9" s="1407" customFormat="1">
      <c r="A46" s="3914"/>
      <c r="B46" s="3917"/>
      <c r="C46" s="3263" t="s">
        <v>2509</v>
      </c>
      <c r="D46" s="3264"/>
      <c r="E46" s="3265">
        <v>1</v>
      </c>
      <c r="F46" s="3262" t="s">
        <v>2510</v>
      </c>
      <c r="G46" s="1034"/>
      <c r="H46" s="1024"/>
      <c r="I46" s="1024"/>
    </row>
    <row r="47" spans="1:9" s="1407" customFormat="1">
      <c r="A47" s="3914"/>
      <c r="B47" s="3917"/>
      <c r="C47" s="3263" t="s">
        <v>2511</v>
      </c>
      <c r="D47" s="3264"/>
      <c r="E47" s="3265">
        <v>1</v>
      </c>
      <c r="F47" s="3262" t="s">
        <v>2512</v>
      </c>
      <c r="G47" s="1034"/>
      <c r="H47" s="1024"/>
      <c r="I47" s="1024"/>
    </row>
    <row r="48" spans="1:9" s="1407" customFormat="1">
      <c r="A48" s="3914"/>
      <c r="B48" s="3917"/>
      <c r="C48" s="3263" t="s">
        <v>2513</v>
      </c>
      <c r="D48" s="3264"/>
      <c r="E48" s="3265">
        <v>1</v>
      </c>
      <c r="F48" s="3262" t="s">
        <v>2514</v>
      </c>
      <c r="G48" s="1034"/>
      <c r="H48" s="1024"/>
      <c r="I48" s="1024"/>
    </row>
    <row r="49" spans="1:9" s="1407" customFormat="1">
      <c r="A49" s="3914"/>
      <c r="B49" s="3917"/>
      <c r="C49" s="3263" t="s">
        <v>2515</v>
      </c>
      <c r="D49" s="3264"/>
      <c r="E49" s="3265">
        <v>1</v>
      </c>
      <c r="F49" s="3262" t="s">
        <v>2516</v>
      </c>
      <c r="G49" s="1034"/>
      <c r="H49" s="1024"/>
      <c r="I49" s="1024"/>
    </row>
    <row r="50" spans="1:9" s="1407" customFormat="1">
      <c r="A50" s="3914"/>
      <c r="B50" s="3917"/>
      <c r="C50" s="3263" t="s">
        <v>2517</v>
      </c>
      <c r="D50" s="3264"/>
      <c r="E50" s="3265">
        <v>1</v>
      </c>
      <c r="F50" s="3262" t="s">
        <v>2518</v>
      </c>
      <c r="G50" s="1034"/>
      <c r="H50" s="1024"/>
      <c r="I50" s="1024"/>
    </row>
    <row r="51" spans="1:9" s="1407" customFormat="1" ht="14.25" thickBot="1">
      <c r="A51" s="3915"/>
      <c r="B51" s="3918"/>
      <c r="C51" s="3266" t="s">
        <v>2519</v>
      </c>
      <c r="D51" s="3267"/>
      <c r="E51" s="3268">
        <v>1</v>
      </c>
      <c r="F51" s="3262" t="s">
        <v>2520</v>
      </c>
      <c r="G51" s="1034"/>
      <c r="H51" s="1024"/>
      <c r="I51" s="1024"/>
    </row>
    <row r="52" spans="1:9" s="1407" customFormat="1">
      <c r="A52" s="1408"/>
      <c r="B52" s="1408"/>
      <c r="C52" s="1408"/>
      <c r="D52" s="1408"/>
      <c r="E52" s="1408"/>
      <c r="F52" s="1033"/>
      <c r="G52" s="1033"/>
      <c r="H52" s="1024"/>
      <c r="I52" s="1024"/>
    </row>
    <row r="54" spans="1:9">
      <c r="A54" s="1035"/>
      <c r="B54" s="1009" t="s">
        <v>1162</v>
      </c>
      <c r="C54" s="1009" t="s">
        <v>1162</v>
      </c>
      <c r="D54" s="1009" t="s">
        <v>1162</v>
      </c>
      <c r="E54" s="1051" t="s">
        <v>1162</v>
      </c>
      <c r="F54" s="1051" t="s">
        <v>1163</v>
      </c>
      <c r="G54" s="1051" t="s">
        <v>1162</v>
      </c>
      <c r="I54" s="1007"/>
    </row>
    <row r="55" spans="1:9">
      <c r="A55" s="1036"/>
      <c r="B55" s="1051" t="s">
        <v>929</v>
      </c>
      <c r="C55" s="1051" t="s">
        <v>929</v>
      </c>
      <c r="D55" s="1051" t="s">
        <v>929</v>
      </c>
      <c r="E55" s="1009" t="s">
        <v>951</v>
      </c>
      <c r="F55" s="1009" t="s">
        <v>1158</v>
      </c>
      <c r="G55" s="1009" t="s">
        <v>1164</v>
      </c>
      <c r="I55" s="1007"/>
    </row>
    <row r="56" spans="1:9">
      <c r="A56" s="1037"/>
      <c r="B56" s="1009">
        <v>1</v>
      </c>
      <c r="C56" s="1009">
        <v>2</v>
      </c>
      <c r="D56" s="1009">
        <v>3</v>
      </c>
      <c r="E56" s="1031" t="s">
        <v>2769</v>
      </c>
      <c r="F56" s="1031" t="s">
        <v>2769</v>
      </c>
      <c r="G56" s="1031" t="s">
        <v>2769</v>
      </c>
      <c r="I56" s="1007"/>
    </row>
    <row r="57" spans="1:9">
      <c r="A57" s="1050" t="s">
        <v>836</v>
      </c>
      <c r="B57" s="3252">
        <v>0.7</v>
      </c>
      <c r="C57" s="3252">
        <v>0.4</v>
      </c>
      <c r="D57" s="3252">
        <v>0.3</v>
      </c>
      <c r="E57" s="3258">
        <v>0.3</v>
      </c>
      <c r="F57" s="3252">
        <v>0.3</v>
      </c>
      <c r="G57" s="3252">
        <v>0.2</v>
      </c>
      <c r="I57" s="1007"/>
    </row>
    <row r="58" spans="1:9">
      <c r="A58" s="1050" t="s">
        <v>837</v>
      </c>
      <c r="B58" s="3252">
        <v>0.7</v>
      </c>
      <c r="C58" s="3252">
        <v>0.4</v>
      </c>
      <c r="D58" s="3252">
        <v>0.3</v>
      </c>
      <c r="E58" s="3252">
        <v>0.3</v>
      </c>
      <c r="F58" s="3252">
        <v>0.3</v>
      </c>
      <c r="G58" s="3252">
        <v>0.2</v>
      </c>
      <c r="I58" s="1007"/>
    </row>
    <row r="59" spans="1:9">
      <c r="A59" s="1050" t="s">
        <v>838</v>
      </c>
      <c r="B59" s="3252">
        <v>0.6</v>
      </c>
      <c r="C59" s="3252">
        <v>0.3</v>
      </c>
      <c r="D59" s="3252">
        <v>0.25</v>
      </c>
      <c r="E59" s="3252">
        <v>0.25</v>
      </c>
      <c r="F59" s="3252">
        <v>0.25</v>
      </c>
      <c r="G59" s="3252">
        <v>0.15</v>
      </c>
      <c r="I59" s="1007"/>
    </row>
    <row r="60" spans="1:9">
      <c r="A60" s="1050" t="s">
        <v>839</v>
      </c>
      <c r="B60" s="3252">
        <v>0.6</v>
      </c>
      <c r="C60" s="3252">
        <v>0.3</v>
      </c>
      <c r="D60" s="3252">
        <v>0.25</v>
      </c>
      <c r="E60" s="3252">
        <v>0.25</v>
      </c>
      <c r="F60" s="3252">
        <v>0.25</v>
      </c>
      <c r="G60" s="3252">
        <v>0.15</v>
      </c>
      <c r="I60" s="1007"/>
    </row>
    <row r="61" spans="1:9" s="1024" customFormat="1">
      <c r="A61" s="1050" t="s">
        <v>840</v>
      </c>
      <c r="B61" s="3252">
        <v>0.6</v>
      </c>
      <c r="C61" s="3252">
        <v>0.3</v>
      </c>
      <c r="D61" s="3252">
        <v>0.25</v>
      </c>
      <c r="E61" s="3252">
        <v>0.25</v>
      </c>
      <c r="F61" s="3252">
        <v>0.25</v>
      </c>
      <c r="G61" s="3252">
        <v>0.15</v>
      </c>
    </row>
    <row r="62" spans="1:9" s="1024" customFormat="1">
      <c r="A62" s="1050" t="s">
        <v>841</v>
      </c>
      <c r="B62" s="3252">
        <v>0.6</v>
      </c>
      <c r="C62" s="3252">
        <v>0.3</v>
      </c>
      <c r="D62" s="3252">
        <v>0.25</v>
      </c>
      <c r="E62" s="3252">
        <v>0.25</v>
      </c>
      <c r="F62" s="3252">
        <v>0.25</v>
      </c>
      <c r="G62" s="3252">
        <v>0.15</v>
      </c>
    </row>
    <row r="63" spans="1:9" s="1024" customFormat="1">
      <c r="A63" s="1050" t="s">
        <v>842</v>
      </c>
      <c r="B63" s="3252">
        <v>0.6</v>
      </c>
      <c r="C63" s="3252">
        <v>0.3</v>
      </c>
      <c r="D63" s="3252">
        <v>0.25</v>
      </c>
      <c r="E63" s="3252">
        <v>0.25</v>
      </c>
      <c r="F63" s="3252">
        <v>0.25</v>
      </c>
      <c r="G63" s="3252">
        <v>0.15</v>
      </c>
    </row>
    <row r="64" spans="1:9" s="1024" customFormat="1">
      <c r="A64" s="1050" t="s">
        <v>843</v>
      </c>
      <c r="B64" s="3252">
        <v>0.5</v>
      </c>
      <c r="C64" s="3252">
        <v>0.2</v>
      </c>
      <c r="D64" s="3252">
        <v>0.2</v>
      </c>
      <c r="E64" s="3252">
        <v>0.2</v>
      </c>
      <c r="F64" s="3252">
        <v>0.2</v>
      </c>
      <c r="G64" s="3252">
        <v>0.1</v>
      </c>
    </row>
    <row r="65" spans="1:8" s="1024" customFormat="1">
      <c r="A65" s="1050" t="s">
        <v>844</v>
      </c>
      <c r="B65" s="3252">
        <v>0.5</v>
      </c>
      <c r="C65" s="3252">
        <v>0.2</v>
      </c>
      <c r="D65" s="3252">
        <v>0.2</v>
      </c>
      <c r="E65" s="3252">
        <v>0.2</v>
      </c>
      <c r="F65" s="3252">
        <v>0.2</v>
      </c>
      <c r="G65" s="3252">
        <v>0.1</v>
      </c>
    </row>
    <row r="66" spans="1:8" s="1024" customFormat="1">
      <c r="A66" s="1050" t="s">
        <v>845</v>
      </c>
      <c r="B66" s="3252">
        <v>0.5</v>
      </c>
      <c r="C66" s="3252">
        <v>0.2</v>
      </c>
      <c r="D66" s="3252">
        <v>0.2</v>
      </c>
      <c r="E66" s="3252">
        <v>0.2</v>
      </c>
      <c r="F66" s="3252">
        <v>0.2</v>
      </c>
      <c r="G66" s="3252">
        <v>0.1</v>
      </c>
    </row>
    <row r="67" spans="1:8" s="1024" customFormat="1">
      <c r="A67" s="1050" t="s">
        <v>846</v>
      </c>
      <c r="B67" s="3252">
        <v>0.5</v>
      </c>
      <c r="C67" s="3252">
        <v>0.2</v>
      </c>
      <c r="D67" s="3252">
        <v>0.2</v>
      </c>
      <c r="E67" s="3252">
        <v>0.2</v>
      </c>
      <c r="F67" s="3252">
        <v>0.2</v>
      </c>
      <c r="G67" s="3252">
        <v>0.1</v>
      </c>
    </row>
    <row r="68" spans="1:8" s="1024" customFormat="1">
      <c r="A68" s="1050" t="s">
        <v>847</v>
      </c>
      <c r="B68" s="3252">
        <v>0.5</v>
      </c>
      <c r="C68" s="3252">
        <v>0.2</v>
      </c>
      <c r="D68" s="3252">
        <v>0.2</v>
      </c>
      <c r="E68" s="3252">
        <v>0.2</v>
      </c>
      <c r="F68" s="3252">
        <v>0.2</v>
      </c>
      <c r="G68" s="3252">
        <v>0.1</v>
      </c>
    </row>
    <row r="70" spans="1:8" s="1024" customFormat="1">
      <c r="A70" s="1038"/>
      <c r="B70" s="1029"/>
      <c r="C70" s="1029"/>
      <c r="D70" s="1029" t="s">
        <v>1165</v>
      </c>
      <c r="E70" s="1029"/>
      <c r="F70" s="1029"/>
    </row>
    <row r="71" spans="1:8" s="1024" customFormat="1">
      <c r="A71" s="1052" t="s">
        <v>1166</v>
      </c>
      <c r="B71" s="1052" t="s">
        <v>1167</v>
      </c>
      <c r="C71" s="1052" t="s">
        <v>1168</v>
      </c>
      <c r="D71" s="1052" t="s">
        <v>1169</v>
      </c>
      <c r="E71" s="1052" t="s">
        <v>1170</v>
      </c>
      <c r="F71" s="1052" t="s">
        <v>1171</v>
      </c>
    </row>
    <row r="72" spans="1:8" s="1024" customFormat="1">
      <c r="A72" s="1052"/>
      <c r="B72" s="1052"/>
      <c r="C72" s="1052" t="s">
        <v>2521</v>
      </c>
      <c r="D72" s="1052"/>
      <c r="E72" s="1039" t="s">
        <v>1159</v>
      </c>
      <c r="F72" s="1052" t="s">
        <v>1159</v>
      </c>
    </row>
    <row r="73" spans="1:8" s="1024" customFormat="1">
      <c r="A73" s="3274">
        <v>1</v>
      </c>
      <c r="B73" s="3922" t="s">
        <v>2522</v>
      </c>
      <c r="C73" s="3252" t="s">
        <v>2523</v>
      </c>
      <c r="D73" s="3252" t="s">
        <v>2524</v>
      </c>
      <c r="E73" s="3275">
        <v>0.2</v>
      </c>
      <c r="F73" s="3274">
        <v>25</v>
      </c>
      <c r="H73" s="1024">
        <f>SUMIF(C71:C139,基准地价!C8,E71:E139)</f>
        <v>0</v>
      </c>
    </row>
    <row r="74" spans="1:8" s="1024" customFormat="1" ht="24">
      <c r="A74" s="3274">
        <v>2</v>
      </c>
      <c r="B74" s="3917"/>
      <c r="C74" s="3252" t="s">
        <v>2525</v>
      </c>
      <c r="D74" s="3252" t="s">
        <v>2526</v>
      </c>
      <c r="E74" s="3275">
        <v>0.2</v>
      </c>
      <c r="F74" s="3274">
        <v>25</v>
      </c>
    </row>
    <row r="75" spans="1:8" s="1024" customFormat="1" ht="24">
      <c r="A75" s="3274">
        <v>3</v>
      </c>
      <c r="B75" s="3917"/>
      <c r="C75" s="3252" t="s">
        <v>2527</v>
      </c>
      <c r="D75" s="3252" t="s">
        <v>2528</v>
      </c>
      <c r="E75" s="3275">
        <v>0.2</v>
      </c>
      <c r="F75" s="3274">
        <v>25</v>
      </c>
    </row>
    <row r="76" spans="1:8" s="1024" customFormat="1">
      <c r="A76" s="3274">
        <v>4</v>
      </c>
      <c r="B76" s="3917"/>
      <c r="C76" s="3252" t="s">
        <v>2529</v>
      </c>
      <c r="D76" s="3252" t="s">
        <v>2530</v>
      </c>
      <c r="E76" s="3275">
        <v>0.15</v>
      </c>
      <c r="F76" s="3274">
        <v>20</v>
      </c>
    </row>
    <row r="77" spans="1:8" s="1024" customFormat="1" ht="24">
      <c r="A77" s="3274">
        <v>5</v>
      </c>
      <c r="B77" s="3917"/>
      <c r="C77" s="3252" t="s">
        <v>2531</v>
      </c>
      <c r="D77" s="3252" t="s">
        <v>2532</v>
      </c>
      <c r="E77" s="3275">
        <v>0.15</v>
      </c>
      <c r="F77" s="3274">
        <v>20</v>
      </c>
    </row>
    <row r="78" spans="1:8" s="1024" customFormat="1" ht="24">
      <c r="A78" s="3274">
        <v>6</v>
      </c>
      <c r="B78" s="3917"/>
      <c r="C78" s="3252" t="s">
        <v>2533</v>
      </c>
      <c r="D78" s="3252" t="s">
        <v>2534</v>
      </c>
      <c r="E78" s="3275">
        <v>0.15</v>
      </c>
      <c r="F78" s="3274">
        <v>20</v>
      </c>
    </row>
    <row r="79" spans="1:8" s="1024" customFormat="1" ht="24">
      <c r="A79" s="3274">
        <v>7</v>
      </c>
      <c r="B79" s="3917"/>
      <c r="C79" s="3252" t="s">
        <v>2535</v>
      </c>
      <c r="D79" s="3252" t="s">
        <v>2536</v>
      </c>
      <c r="E79" s="3275">
        <v>0.15</v>
      </c>
      <c r="F79" s="3274">
        <v>20</v>
      </c>
    </row>
    <row r="80" spans="1:8" s="1024" customFormat="1" ht="24">
      <c r="A80" s="3274">
        <v>8</v>
      </c>
      <c r="B80" s="3917"/>
      <c r="C80" s="3252" t="s">
        <v>2537</v>
      </c>
      <c r="D80" s="3252" t="s">
        <v>2538</v>
      </c>
      <c r="E80" s="3275">
        <v>0.1</v>
      </c>
      <c r="F80" s="3274">
        <v>15</v>
      </c>
    </row>
    <row r="81" spans="1:6" s="1024" customFormat="1" ht="24">
      <c r="A81" s="3274">
        <v>9</v>
      </c>
      <c r="B81" s="3917"/>
      <c r="C81" s="3252" t="s">
        <v>2539</v>
      </c>
      <c r="D81" s="3252" t="s">
        <v>2540</v>
      </c>
      <c r="E81" s="3275">
        <v>0.1</v>
      </c>
      <c r="F81" s="3274">
        <v>15</v>
      </c>
    </row>
    <row r="82" spans="1:6" s="1024" customFormat="1" ht="24">
      <c r="A82" s="3274">
        <v>10</v>
      </c>
      <c r="B82" s="3917"/>
      <c r="C82" s="3252" t="s">
        <v>2541</v>
      </c>
      <c r="D82" s="3252" t="s">
        <v>2542</v>
      </c>
      <c r="E82" s="3275">
        <v>0.1</v>
      </c>
      <c r="F82" s="3274">
        <v>15</v>
      </c>
    </row>
    <row r="83" spans="1:6" s="1024" customFormat="1" ht="24">
      <c r="A83" s="3274">
        <v>11</v>
      </c>
      <c r="B83" s="3917"/>
      <c r="C83" s="3252" t="s">
        <v>2543</v>
      </c>
      <c r="D83" s="3252" t="s">
        <v>2544</v>
      </c>
      <c r="E83" s="3275">
        <v>0.1</v>
      </c>
      <c r="F83" s="3274">
        <v>15</v>
      </c>
    </row>
    <row r="84" spans="1:6" s="1024" customFormat="1" ht="24">
      <c r="A84" s="3274">
        <v>12</v>
      </c>
      <c r="B84" s="3917"/>
      <c r="C84" s="3252" t="s">
        <v>2545</v>
      </c>
      <c r="D84" s="3252" t="s">
        <v>2546</v>
      </c>
      <c r="E84" s="3275">
        <v>0.1</v>
      </c>
      <c r="F84" s="3274">
        <v>15</v>
      </c>
    </row>
    <row r="85" spans="1:6" s="1024" customFormat="1">
      <c r="A85" s="3274">
        <v>13</v>
      </c>
      <c r="B85" s="3917"/>
      <c r="C85" s="3252" t="s">
        <v>2547</v>
      </c>
      <c r="D85" s="3252" t="s">
        <v>2548</v>
      </c>
      <c r="E85" s="3275">
        <v>0.1</v>
      </c>
      <c r="F85" s="3274">
        <v>15</v>
      </c>
    </row>
    <row r="86" spans="1:6" s="1024" customFormat="1">
      <c r="A86" s="3274">
        <v>14</v>
      </c>
      <c r="B86" s="3917"/>
      <c r="C86" s="3252" t="s">
        <v>2549</v>
      </c>
      <c r="D86" s="3252" t="s">
        <v>2550</v>
      </c>
      <c r="E86" s="3275">
        <v>0.1</v>
      </c>
      <c r="F86" s="3274">
        <v>15</v>
      </c>
    </row>
    <row r="87" spans="1:6" s="1024" customFormat="1">
      <c r="A87" s="3274">
        <v>15</v>
      </c>
      <c r="B87" s="3917"/>
      <c r="C87" s="3252" t="s">
        <v>2551</v>
      </c>
      <c r="D87" s="3252" t="s">
        <v>2552</v>
      </c>
      <c r="E87" s="3275">
        <v>0.1</v>
      </c>
      <c r="F87" s="3274">
        <v>15</v>
      </c>
    </row>
    <row r="88" spans="1:6" s="1024" customFormat="1" ht="24">
      <c r="A88" s="3274">
        <v>16</v>
      </c>
      <c r="B88" s="3917"/>
      <c r="C88" s="3252" t="s">
        <v>2553</v>
      </c>
      <c r="D88" s="3252" t="s">
        <v>2554</v>
      </c>
      <c r="E88" s="3275">
        <v>0.1</v>
      </c>
      <c r="F88" s="3274">
        <v>15</v>
      </c>
    </row>
    <row r="89" spans="1:6" s="1024" customFormat="1" ht="24">
      <c r="A89" s="3274">
        <v>17</v>
      </c>
      <c r="B89" s="3923"/>
      <c r="C89" s="3252" t="s">
        <v>2555</v>
      </c>
      <c r="D89" s="3252" t="s">
        <v>2556</v>
      </c>
      <c r="E89" s="3275">
        <v>0.1</v>
      </c>
      <c r="F89" s="3274">
        <v>15</v>
      </c>
    </row>
    <row r="90" spans="1:6" s="1024" customFormat="1">
      <c r="A90" s="3274">
        <v>18</v>
      </c>
      <c r="B90" s="3922" t="s">
        <v>2557</v>
      </c>
      <c r="C90" s="3252" t="s">
        <v>2558</v>
      </c>
      <c r="D90" s="3252" t="s">
        <v>2559</v>
      </c>
      <c r="E90" s="3275">
        <v>0.2</v>
      </c>
      <c r="F90" s="3274">
        <v>25</v>
      </c>
    </row>
    <row r="91" spans="1:6" s="1024" customFormat="1" ht="24">
      <c r="A91" s="3274">
        <v>19</v>
      </c>
      <c r="B91" s="3917"/>
      <c r="C91" s="3252" t="s">
        <v>2560</v>
      </c>
      <c r="D91" s="3252" t="s">
        <v>2561</v>
      </c>
      <c r="E91" s="3275">
        <v>0.2</v>
      </c>
      <c r="F91" s="3274">
        <v>25</v>
      </c>
    </row>
    <row r="92" spans="1:6" s="1024" customFormat="1">
      <c r="A92" s="3274">
        <v>20</v>
      </c>
      <c r="B92" s="3917"/>
      <c r="C92" s="3252" t="s">
        <v>2562</v>
      </c>
      <c r="D92" s="3252" t="s">
        <v>2563</v>
      </c>
      <c r="E92" s="3275">
        <v>0.15</v>
      </c>
      <c r="F92" s="3274">
        <v>20</v>
      </c>
    </row>
    <row r="93" spans="1:6" s="1024" customFormat="1" ht="24">
      <c r="A93" s="3274">
        <v>21</v>
      </c>
      <c r="B93" s="3917"/>
      <c r="C93" s="3252" t="s">
        <v>2564</v>
      </c>
      <c r="D93" s="3252" t="s">
        <v>2565</v>
      </c>
      <c r="E93" s="3275">
        <v>0.15</v>
      </c>
      <c r="F93" s="3274">
        <v>20</v>
      </c>
    </row>
    <row r="94" spans="1:6" s="1024" customFormat="1" ht="24">
      <c r="A94" s="3274">
        <v>22</v>
      </c>
      <c r="B94" s="3917"/>
      <c r="C94" s="3252" t="s">
        <v>2566</v>
      </c>
      <c r="D94" s="3252" t="s">
        <v>2567</v>
      </c>
      <c r="E94" s="3275">
        <v>0.15</v>
      </c>
      <c r="F94" s="3274">
        <v>20</v>
      </c>
    </row>
    <row r="95" spans="1:6" s="1024" customFormat="1" ht="36">
      <c r="A95" s="3274">
        <v>23</v>
      </c>
      <c r="B95" s="3917"/>
      <c r="C95" s="3252" t="s">
        <v>2568</v>
      </c>
      <c r="D95" s="3252" t="s">
        <v>2569</v>
      </c>
      <c r="E95" s="3275">
        <v>0.15</v>
      </c>
      <c r="F95" s="3274">
        <v>20</v>
      </c>
    </row>
    <row r="96" spans="1:6" s="1024" customFormat="1">
      <c r="A96" s="3274">
        <v>24</v>
      </c>
      <c r="B96" s="3917"/>
      <c r="C96" s="3252" t="s">
        <v>2570</v>
      </c>
      <c r="D96" s="3252" t="s">
        <v>2571</v>
      </c>
      <c r="E96" s="3275">
        <v>0.1</v>
      </c>
      <c r="F96" s="3274">
        <v>15</v>
      </c>
    </row>
    <row r="97" spans="1:6" s="1024" customFormat="1" ht="24">
      <c r="A97" s="3274">
        <v>25</v>
      </c>
      <c r="B97" s="3917"/>
      <c r="C97" s="3252" t="s">
        <v>2572</v>
      </c>
      <c r="D97" s="3252" t="s">
        <v>2573</v>
      </c>
      <c r="E97" s="3275">
        <v>0.1</v>
      </c>
      <c r="F97" s="3274">
        <v>15</v>
      </c>
    </row>
    <row r="98" spans="1:6" s="1024" customFormat="1" ht="24">
      <c r="A98" s="3274">
        <v>26</v>
      </c>
      <c r="B98" s="3917"/>
      <c r="C98" s="3252" t="s">
        <v>2574</v>
      </c>
      <c r="D98" s="3252" t="s">
        <v>2575</v>
      </c>
      <c r="E98" s="3275">
        <v>0.1</v>
      </c>
      <c r="F98" s="3274">
        <v>15</v>
      </c>
    </row>
    <row r="99" spans="1:6" s="1024" customFormat="1" ht="24">
      <c r="A99" s="3274">
        <v>27</v>
      </c>
      <c r="B99" s="3917"/>
      <c r="C99" s="3252" t="s">
        <v>2576</v>
      </c>
      <c r="D99" s="3252" t="s">
        <v>2577</v>
      </c>
      <c r="E99" s="3275">
        <v>0.1</v>
      </c>
      <c r="F99" s="3274">
        <v>15</v>
      </c>
    </row>
    <row r="100" spans="1:6" s="1024" customFormat="1" ht="24">
      <c r="A100" s="3274">
        <v>28</v>
      </c>
      <c r="B100" s="3917"/>
      <c r="C100" s="3252" t="s">
        <v>2578</v>
      </c>
      <c r="D100" s="3252" t="s">
        <v>2579</v>
      </c>
      <c r="E100" s="3275">
        <v>0.1</v>
      </c>
      <c r="F100" s="3274">
        <v>15</v>
      </c>
    </row>
    <row r="101" spans="1:6" s="1024" customFormat="1" ht="24">
      <c r="A101" s="3274">
        <v>29</v>
      </c>
      <c r="B101" s="3917"/>
      <c r="C101" s="3252" t="s">
        <v>2580</v>
      </c>
      <c r="D101" s="3252" t="s">
        <v>2581</v>
      </c>
      <c r="E101" s="3275">
        <v>0.1</v>
      </c>
      <c r="F101" s="3274">
        <v>15</v>
      </c>
    </row>
    <row r="102" spans="1:6" s="1024" customFormat="1" ht="24">
      <c r="A102" s="3274">
        <v>30</v>
      </c>
      <c r="B102" s="3917"/>
      <c r="C102" s="3252" t="s">
        <v>2582</v>
      </c>
      <c r="D102" s="3252" t="s">
        <v>2583</v>
      </c>
      <c r="E102" s="3275">
        <v>0.1</v>
      </c>
      <c r="F102" s="3274">
        <v>15</v>
      </c>
    </row>
    <row r="103" spans="1:6" s="1024" customFormat="1" ht="24">
      <c r="A103" s="3274">
        <v>31</v>
      </c>
      <c r="B103" s="3917"/>
      <c r="C103" s="3252" t="s">
        <v>2584</v>
      </c>
      <c r="D103" s="3252" t="s">
        <v>2585</v>
      </c>
      <c r="E103" s="3275">
        <v>0.1</v>
      </c>
      <c r="F103" s="3274">
        <v>15</v>
      </c>
    </row>
    <row r="104" spans="1:6" s="1024" customFormat="1" ht="24">
      <c r="A104" s="3274">
        <v>32</v>
      </c>
      <c r="B104" s="3917"/>
      <c r="C104" s="3252" t="s">
        <v>2586</v>
      </c>
      <c r="D104" s="3252" t="s">
        <v>2587</v>
      </c>
      <c r="E104" s="3275">
        <v>0.1</v>
      </c>
      <c r="F104" s="3274">
        <v>15</v>
      </c>
    </row>
    <row r="105" spans="1:6" s="1024" customFormat="1" ht="24">
      <c r="A105" s="3274">
        <v>33</v>
      </c>
      <c r="B105" s="3917"/>
      <c r="C105" s="3252" t="s">
        <v>2588</v>
      </c>
      <c r="D105" s="3252" t="s">
        <v>2589</v>
      </c>
      <c r="E105" s="3275">
        <v>0.1</v>
      </c>
      <c r="F105" s="3274">
        <v>15</v>
      </c>
    </row>
    <row r="106" spans="1:6" s="1024" customFormat="1" ht="24">
      <c r="A106" s="3274">
        <v>34</v>
      </c>
      <c r="B106" s="3923"/>
      <c r="C106" s="3252" t="s">
        <v>2590</v>
      </c>
      <c r="D106" s="3252" t="s">
        <v>2591</v>
      </c>
      <c r="E106" s="3275">
        <v>0.1</v>
      </c>
      <c r="F106" s="3274">
        <v>15</v>
      </c>
    </row>
    <row r="107" spans="1:6" s="1024" customFormat="1" ht="24">
      <c r="A107" s="3274">
        <v>35</v>
      </c>
      <c r="B107" s="3922" t="s">
        <v>2592</v>
      </c>
      <c r="C107" s="3274" t="s">
        <v>2593</v>
      </c>
      <c r="D107" s="3252" t="s">
        <v>2594</v>
      </c>
      <c r="E107" s="3275">
        <v>0.15</v>
      </c>
      <c r="F107" s="3274">
        <v>20</v>
      </c>
    </row>
    <row r="108" spans="1:6" s="1024" customFormat="1" ht="24">
      <c r="A108" s="3274">
        <v>36</v>
      </c>
      <c r="B108" s="3917"/>
      <c r="C108" s="3274" t="s">
        <v>2595</v>
      </c>
      <c r="D108" s="3252" t="s">
        <v>2596</v>
      </c>
      <c r="E108" s="3275">
        <v>0.15</v>
      </c>
      <c r="F108" s="3274">
        <v>20</v>
      </c>
    </row>
    <row r="109" spans="1:6" s="1024" customFormat="1" ht="24">
      <c r="A109" s="3274">
        <v>37</v>
      </c>
      <c r="B109" s="3917"/>
      <c r="C109" s="3274" t="s">
        <v>2597</v>
      </c>
      <c r="D109" s="3252" t="s">
        <v>2598</v>
      </c>
      <c r="E109" s="3275">
        <v>0.15</v>
      </c>
      <c r="F109" s="3274">
        <v>20</v>
      </c>
    </row>
    <row r="110" spans="1:6" s="1024" customFormat="1">
      <c r="A110" s="3274">
        <v>38</v>
      </c>
      <c r="B110" s="3917"/>
      <c r="C110" s="3274" t="s">
        <v>2599</v>
      </c>
      <c r="D110" s="3252" t="s">
        <v>2600</v>
      </c>
      <c r="E110" s="3275">
        <v>0.1</v>
      </c>
      <c r="F110" s="3274">
        <v>15</v>
      </c>
    </row>
    <row r="111" spans="1:6" s="1024" customFormat="1" ht="24">
      <c r="A111" s="3274">
        <v>39</v>
      </c>
      <c r="B111" s="3917"/>
      <c r="C111" s="3274" t="s">
        <v>2601</v>
      </c>
      <c r="D111" s="3252" t="s">
        <v>2602</v>
      </c>
      <c r="E111" s="3275">
        <v>0.1</v>
      </c>
      <c r="F111" s="3274">
        <v>15</v>
      </c>
    </row>
    <row r="112" spans="1:6" s="1024" customFormat="1" ht="24">
      <c r="A112" s="3274">
        <v>40</v>
      </c>
      <c r="B112" s="3923"/>
      <c r="C112" s="3274" t="s">
        <v>2603</v>
      </c>
      <c r="D112" s="3252" t="s">
        <v>2604</v>
      </c>
      <c r="E112" s="3275">
        <v>0.1</v>
      </c>
      <c r="F112" s="3274">
        <v>15</v>
      </c>
    </row>
    <row r="113" spans="1:6" s="1024" customFormat="1" ht="24">
      <c r="A113" s="3274">
        <v>41</v>
      </c>
      <c r="B113" s="3924" t="s">
        <v>2605</v>
      </c>
      <c r="C113" s="3274" t="s">
        <v>2606</v>
      </c>
      <c r="D113" s="3252" t="s">
        <v>2607</v>
      </c>
      <c r="E113" s="3275">
        <v>0.1</v>
      </c>
      <c r="F113" s="3274">
        <v>15</v>
      </c>
    </row>
    <row r="114" spans="1:6" s="1024" customFormat="1">
      <c r="A114" s="3274">
        <v>42</v>
      </c>
      <c r="B114" s="3924"/>
      <c r="C114" s="3274" t="s">
        <v>2608</v>
      </c>
      <c r="D114" s="3252" t="s">
        <v>2609</v>
      </c>
      <c r="E114" s="3275">
        <v>0.1</v>
      </c>
      <c r="F114" s="3274">
        <v>15</v>
      </c>
    </row>
    <row r="115" spans="1:6" s="1024" customFormat="1" ht="24">
      <c r="A115" s="3274">
        <v>43</v>
      </c>
      <c r="B115" s="3924"/>
      <c r="C115" s="3274" t="s">
        <v>2610</v>
      </c>
      <c r="D115" s="3252" t="s">
        <v>2611</v>
      </c>
      <c r="E115" s="3275">
        <v>0.1</v>
      </c>
      <c r="F115" s="3274">
        <v>15</v>
      </c>
    </row>
    <row r="116" spans="1:6" s="1024" customFormat="1" ht="24">
      <c r="A116" s="3274">
        <v>44</v>
      </c>
      <c r="B116" s="3922" t="s">
        <v>2612</v>
      </c>
      <c r="C116" s="3274" t="s">
        <v>2613</v>
      </c>
      <c r="D116" s="3252" t="s">
        <v>2614</v>
      </c>
      <c r="E116" s="3275">
        <v>0.1</v>
      </c>
      <c r="F116" s="3274">
        <v>15</v>
      </c>
    </row>
    <row r="117" spans="1:6" s="1024" customFormat="1" ht="24">
      <c r="A117" s="3274">
        <v>45</v>
      </c>
      <c r="B117" s="3923"/>
      <c r="C117" s="3252" t="s">
        <v>2615</v>
      </c>
      <c r="D117" s="3252" t="s">
        <v>2616</v>
      </c>
      <c r="E117" s="3275">
        <v>0.1</v>
      </c>
      <c r="F117" s="3274">
        <v>15</v>
      </c>
    </row>
    <row r="118" spans="1:6" s="1024" customFormat="1" ht="24">
      <c r="A118" s="3274">
        <v>46</v>
      </c>
      <c r="B118" s="3922" t="s">
        <v>2617</v>
      </c>
      <c r="C118" s="3274" t="s">
        <v>2618</v>
      </c>
      <c r="D118" s="3252" t="s">
        <v>2619</v>
      </c>
      <c r="E118" s="3275">
        <v>0.1</v>
      </c>
      <c r="F118" s="3274">
        <v>15</v>
      </c>
    </row>
    <row r="119" spans="1:6" s="1024" customFormat="1" ht="24">
      <c r="A119" s="3274">
        <v>47</v>
      </c>
      <c r="B119" s="3923"/>
      <c r="C119" s="3274" t="s">
        <v>2620</v>
      </c>
      <c r="D119" s="3252" t="s">
        <v>2621</v>
      </c>
      <c r="E119" s="3275">
        <v>0.1</v>
      </c>
      <c r="F119" s="3274">
        <v>15</v>
      </c>
    </row>
    <row r="120" spans="1:6" s="1024" customFormat="1" ht="24">
      <c r="A120" s="3274">
        <v>48</v>
      </c>
      <c r="B120" s="3922" t="s">
        <v>2622</v>
      </c>
      <c r="C120" s="3274" t="s">
        <v>2623</v>
      </c>
      <c r="D120" s="3252" t="s">
        <v>2624</v>
      </c>
      <c r="E120" s="3275">
        <v>0.1</v>
      </c>
      <c r="F120" s="3274">
        <v>15</v>
      </c>
    </row>
    <row r="121" spans="1:6" s="1024" customFormat="1">
      <c r="A121" s="3274">
        <v>49</v>
      </c>
      <c r="B121" s="3923"/>
      <c r="C121" s="3274" t="s">
        <v>2625</v>
      </c>
      <c r="D121" s="3252" t="s">
        <v>2626</v>
      </c>
      <c r="E121" s="3275">
        <v>0.1</v>
      </c>
      <c r="F121" s="3274">
        <v>15</v>
      </c>
    </row>
    <row r="122" spans="1:6" s="1024" customFormat="1" ht="24">
      <c r="A122" s="3274">
        <v>50</v>
      </c>
      <c r="B122" s="3924" t="s">
        <v>2627</v>
      </c>
      <c r="C122" s="3274" t="s">
        <v>2628</v>
      </c>
      <c r="D122" s="3252" t="s">
        <v>2629</v>
      </c>
      <c r="E122" s="3275">
        <v>0.1</v>
      </c>
      <c r="F122" s="3274">
        <v>15</v>
      </c>
    </row>
    <row r="123" spans="1:6" s="1024" customFormat="1" ht="24">
      <c r="A123" s="3274">
        <v>51</v>
      </c>
      <c r="B123" s="3924"/>
      <c r="C123" s="3274" t="s">
        <v>2630</v>
      </c>
      <c r="D123" s="3252" t="s">
        <v>2631</v>
      </c>
      <c r="E123" s="3275">
        <v>0.1</v>
      </c>
      <c r="F123" s="3274">
        <v>15</v>
      </c>
    </row>
    <row r="124" spans="1:6" s="1024" customFormat="1" ht="24">
      <c r="A124" s="3274">
        <v>52</v>
      </c>
      <c r="B124" s="3924" t="s">
        <v>2632</v>
      </c>
      <c r="C124" s="3274" t="s">
        <v>2633</v>
      </c>
      <c r="D124" s="3252" t="s">
        <v>2634</v>
      </c>
      <c r="E124" s="3275">
        <v>0.1</v>
      </c>
      <c r="F124" s="3274">
        <v>15</v>
      </c>
    </row>
    <row r="125" spans="1:6" s="1024" customFormat="1" ht="24">
      <c r="A125" s="3274">
        <v>53</v>
      </c>
      <c r="B125" s="3924"/>
      <c r="C125" s="3274" t="s">
        <v>2635</v>
      </c>
      <c r="D125" s="3252" t="s">
        <v>2636</v>
      </c>
      <c r="E125" s="3275">
        <v>0.1</v>
      </c>
      <c r="F125" s="3274">
        <v>15</v>
      </c>
    </row>
    <row r="126" spans="1:6" ht="24">
      <c r="A126" s="3274">
        <v>54</v>
      </c>
      <c r="B126" s="3274" t="s">
        <v>2637</v>
      </c>
      <c r="C126" s="3274" t="s">
        <v>2638</v>
      </c>
      <c r="D126" s="3252" t="s">
        <v>2639</v>
      </c>
      <c r="E126" s="3275">
        <v>0.1</v>
      </c>
      <c r="F126" s="3274">
        <v>15</v>
      </c>
    </row>
    <row r="127" spans="1:6">
      <c r="A127" s="3274">
        <v>55</v>
      </c>
      <c r="B127" s="3924" t="s">
        <v>2640</v>
      </c>
      <c r="C127" s="3274" t="s">
        <v>2641</v>
      </c>
      <c r="D127" s="3252" t="s">
        <v>2642</v>
      </c>
      <c r="E127" s="3275">
        <v>0.1</v>
      </c>
      <c r="F127" s="3274">
        <v>15</v>
      </c>
    </row>
    <row r="128" spans="1:6">
      <c r="A128" s="3274">
        <v>56</v>
      </c>
      <c r="B128" s="3924"/>
      <c r="C128" s="3274" t="s">
        <v>2643</v>
      </c>
      <c r="D128" s="3252" t="s">
        <v>2644</v>
      </c>
      <c r="E128" s="3275">
        <v>0.1</v>
      </c>
      <c r="F128" s="3274">
        <v>15</v>
      </c>
    </row>
    <row r="129" spans="1:14" ht="24">
      <c r="A129" s="3274">
        <v>57</v>
      </c>
      <c r="B129" s="3924"/>
      <c r="C129" s="3274" t="s">
        <v>2645</v>
      </c>
      <c r="D129" s="3252" t="s">
        <v>2646</v>
      </c>
      <c r="E129" s="3275">
        <v>0.1</v>
      </c>
      <c r="F129" s="3274">
        <v>15</v>
      </c>
    </row>
    <row r="130" spans="1:14" ht="24">
      <c r="A130" s="3274">
        <v>58</v>
      </c>
      <c r="B130" s="3924" t="s">
        <v>2647</v>
      </c>
      <c r="C130" s="3274" t="s">
        <v>2648</v>
      </c>
      <c r="D130" s="3252" t="s">
        <v>2649</v>
      </c>
      <c r="E130" s="3275">
        <v>0.1</v>
      </c>
      <c r="F130" s="3274">
        <v>15</v>
      </c>
    </row>
    <row r="131" spans="1:14" ht="24">
      <c r="A131" s="3274">
        <v>59</v>
      </c>
      <c r="B131" s="3924"/>
      <c r="C131" s="3274" t="s">
        <v>2650</v>
      </c>
      <c r="D131" s="3252" t="s">
        <v>2651</v>
      </c>
      <c r="E131" s="3275">
        <v>0.1</v>
      </c>
      <c r="F131" s="3274">
        <v>15</v>
      </c>
    </row>
    <row r="132" spans="1:14" ht="24">
      <c r="A132" s="3274">
        <v>60</v>
      </c>
      <c r="B132" s="3922" t="s">
        <v>2652</v>
      </c>
      <c r="C132" s="3274" t="s">
        <v>2653</v>
      </c>
      <c r="D132" s="3252" t="s">
        <v>2654</v>
      </c>
      <c r="E132" s="3275">
        <v>0.1</v>
      </c>
      <c r="F132" s="3274">
        <v>15</v>
      </c>
    </row>
    <row r="133" spans="1:14" ht="24">
      <c r="A133" s="3274">
        <v>61</v>
      </c>
      <c r="B133" s="3923"/>
      <c r="C133" s="3274" t="s">
        <v>2655</v>
      </c>
      <c r="D133" s="3252" t="s">
        <v>2656</v>
      </c>
      <c r="E133" s="3275">
        <v>0.1</v>
      </c>
      <c r="F133" s="3274">
        <v>15</v>
      </c>
    </row>
    <row r="134" spans="1:14" ht="24">
      <c r="A134" s="3274">
        <v>62</v>
      </c>
      <c r="B134" s="3274" t="s">
        <v>2657</v>
      </c>
      <c r="C134" s="3274" t="s">
        <v>2658</v>
      </c>
      <c r="D134" s="3252" t="s">
        <v>2659</v>
      </c>
      <c r="E134" s="3275">
        <v>0.1</v>
      </c>
      <c r="F134" s="3274">
        <v>15</v>
      </c>
    </row>
    <row r="135" spans="1:14" ht="24">
      <c r="A135" s="3274">
        <v>63</v>
      </c>
      <c r="B135" s="3924" t="s">
        <v>2660</v>
      </c>
      <c r="C135" s="3274" t="s">
        <v>2661</v>
      </c>
      <c r="D135" s="3252" t="s">
        <v>2662</v>
      </c>
      <c r="E135" s="3275">
        <v>0.1</v>
      </c>
      <c r="F135" s="3274">
        <v>15</v>
      </c>
    </row>
    <row r="136" spans="1:14">
      <c r="A136" s="3274">
        <v>64</v>
      </c>
      <c r="B136" s="3924"/>
      <c r="C136" s="3274" t="s">
        <v>2663</v>
      </c>
      <c r="D136" s="3252" t="s">
        <v>2664</v>
      </c>
      <c r="E136" s="3275">
        <v>0.1</v>
      </c>
      <c r="F136" s="3274">
        <v>15</v>
      </c>
    </row>
    <row r="137" spans="1:14" ht="24">
      <c r="A137" s="3274">
        <v>65</v>
      </c>
      <c r="B137" s="3274" t="s">
        <v>2665</v>
      </c>
      <c r="C137" s="3274" t="s">
        <v>2666</v>
      </c>
      <c r="D137" s="3252" t="s">
        <v>2667</v>
      </c>
      <c r="E137" s="3275">
        <v>0.1</v>
      </c>
      <c r="F137" s="3274">
        <v>15</v>
      </c>
    </row>
    <row r="138" spans="1:14">
      <c r="A138" s="1052"/>
      <c r="B138" s="3232"/>
      <c r="C138" s="1052"/>
      <c r="D138" s="1009"/>
      <c r="E138" s="1039"/>
      <c r="F138" s="1052"/>
    </row>
    <row r="139" spans="1:14">
      <c r="A139" s="1052"/>
      <c r="B139" s="1052"/>
      <c r="C139" s="1052"/>
      <c r="D139" s="1052"/>
      <c r="E139" s="1039"/>
      <c r="F139" s="1052"/>
    </row>
    <row r="141" spans="1:14">
      <c r="A141" s="3338"/>
      <c r="B141" s="3338"/>
      <c r="C141" s="3338"/>
      <c r="D141" s="3338"/>
      <c r="E141" s="3338"/>
      <c r="F141" s="3338"/>
      <c r="G141" s="3338"/>
      <c r="H141" s="3338"/>
      <c r="I141" s="3338"/>
      <c r="J141" s="3338"/>
      <c r="K141" s="1053"/>
      <c r="L141" s="1053"/>
      <c r="M141" s="1053"/>
      <c r="N141" s="1053"/>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3" customWidth="1"/>
    <col min="2" max="2" width="15" style="3433" customWidth="1"/>
    <col min="3" max="6" width="10.25" style="3433" customWidth="1"/>
    <col min="7" max="7" width="9" style="3433"/>
    <col min="8" max="8" width="9" style="1010"/>
    <col min="9" max="9" width="9" style="1007"/>
    <col min="10" max="10" width="17.375" style="3459" customWidth="1"/>
    <col min="11" max="21" width="17.375" style="3433" customWidth="1"/>
    <col min="22" max="16384" width="9" style="1007"/>
  </cols>
  <sheetData>
    <row r="1" spans="1:21">
      <c r="A1" s="3925" t="s">
        <v>2808</v>
      </c>
      <c r="B1" s="3925"/>
      <c r="C1" s="3925"/>
      <c r="D1" s="3925"/>
      <c r="E1" s="3925"/>
      <c r="F1" s="3925"/>
      <c r="G1" s="3926"/>
      <c r="I1" s="1011"/>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4.25" thickBot="1">
      <c r="A2" s="3419" t="s">
        <v>2809</v>
      </c>
      <c r="B2" s="3419"/>
      <c r="C2" s="3419"/>
      <c r="D2" s="3419"/>
      <c r="E2" s="3419"/>
      <c r="F2" s="3419"/>
      <c r="G2" s="3414" t="s">
        <v>2810</v>
      </c>
      <c r="J2" s="3443" t="s">
        <v>2816</v>
      </c>
      <c r="K2" s="3423" t="s">
        <v>2818</v>
      </c>
      <c r="L2" s="3423" t="s">
        <v>2820</v>
      </c>
      <c r="M2" s="3423" t="s">
        <v>2826</v>
      </c>
      <c r="N2" s="3423" t="s">
        <v>2836</v>
      </c>
      <c r="O2" s="3423" t="s">
        <v>2851</v>
      </c>
      <c r="P2" s="3423" t="s">
        <v>2888</v>
      </c>
      <c r="Q2" s="3423" t="s">
        <v>2919</v>
      </c>
      <c r="R2" s="3423" t="s">
        <v>2947</v>
      </c>
      <c r="S2" s="3423" t="s">
        <v>2982</v>
      </c>
      <c r="T2" s="3423" t="s">
        <v>3002</v>
      </c>
      <c r="U2" s="3423" t="s">
        <v>3014</v>
      </c>
    </row>
    <row r="3" spans="1:21" s="1011" customFormat="1" ht="19.5" customHeight="1">
      <c r="A3" s="3927" t="s">
        <v>2811</v>
      </c>
      <c r="B3" s="3415"/>
      <c r="C3" s="3416" t="s">
        <v>2788</v>
      </c>
      <c r="D3" s="3416" t="s">
        <v>2812</v>
      </c>
      <c r="E3" s="3416" t="s">
        <v>2790</v>
      </c>
      <c r="F3" s="3416" t="s">
        <v>2813</v>
      </c>
      <c r="G3" s="3416" t="s">
        <v>2732</v>
      </c>
      <c r="H3" s="1014"/>
      <c r="J3" s="3443" t="s">
        <v>2817</v>
      </c>
      <c r="K3" s="3423" t="s">
        <v>973</v>
      </c>
      <c r="L3" s="3423" t="s">
        <v>974</v>
      </c>
      <c r="M3" s="3423" t="s">
        <v>975</v>
      </c>
      <c r="N3" s="3423" t="s">
        <v>976</v>
      </c>
      <c r="O3" s="3423" t="s">
        <v>977</v>
      </c>
      <c r="P3" s="3423" t="s">
        <v>978</v>
      </c>
      <c r="Q3" s="3423" t="s">
        <v>979</v>
      </c>
      <c r="R3" s="3423" t="s">
        <v>980</v>
      </c>
      <c r="S3" s="3423" t="s">
        <v>981</v>
      </c>
      <c r="T3" s="3423" t="s">
        <v>3003</v>
      </c>
      <c r="U3" s="3423" t="s">
        <v>3015</v>
      </c>
    </row>
    <row r="4" spans="1:21" s="1011" customFormat="1" ht="19.5" customHeight="1" thickBot="1">
      <c r="A4" s="3928"/>
      <c r="B4" s="3417" t="s">
        <v>2814</v>
      </c>
      <c r="C4" s="3417" t="s">
        <v>2815</v>
      </c>
      <c r="D4" s="3417" t="s">
        <v>2815</v>
      </c>
      <c r="E4" s="3417" t="s">
        <v>2815</v>
      </c>
      <c r="F4" s="3418" t="s">
        <v>2815</v>
      </c>
      <c r="G4" s="3418" t="s">
        <v>2815</v>
      </c>
      <c r="H4" s="1014"/>
      <c r="J4" s="3443" t="s">
        <v>982</v>
      </c>
      <c r="K4" s="3423" t="s">
        <v>983</v>
      </c>
      <c r="L4" s="3423" t="s">
        <v>984</v>
      </c>
      <c r="M4" s="3423" t="s">
        <v>985</v>
      </c>
      <c r="N4" s="3423" t="s">
        <v>986</v>
      </c>
      <c r="O4" s="3423" t="s">
        <v>987</v>
      </c>
      <c r="P4" s="3423" t="s">
        <v>988</v>
      </c>
      <c r="Q4" s="3423" t="s">
        <v>989</v>
      </c>
      <c r="R4" s="3423" t="s">
        <v>2948</v>
      </c>
      <c r="S4" s="3423" t="s">
        <v>2983</v>
      </c>
      <c r="T4" s="3423" t="s">
        <v>3004</v>
      </c>
      <c r="U4" s="3423" t="s">
        <v>3016</v>
      </c>
    </row>
    <row r="5" spans="1:21" ht="14.25" customHeight="1">
      <c r="A5" s="3420" t="s">
        <v>990</v>
      </c>
      <c r="B5" s="3421" t="s">
        <v>2816</v>
      </c>
      <c r="C5" s="3421">
        <v>34550</v>
      </c>
      <c r="D5" s="3421">
        <v>34470</v>
      </c>
      <c r="E5" s="3421">
        <v>34330</v>
      </c>
      <c r="F5" s="3422">
        <v>13400</v>
      </c>
      <c r="G5" s="3422">
        <v>25450</v>
      </c>
      <c r="H5" s="1015" t="s">
        <v>961</v>
      </c>
      <c r="I5" s="1016">
        <f>SUMPRODUCT((B5:B9=基准地价!I2)*(C3:G3=基准地价!E2)*(C5:G9))</f>
        <v>0</v>
      </c>
      <c r="J5" s="3443" t="s">
        <v>991</v>
      </c>
      <c r="K5" s="3423" t="s">
        <v>992</v>
      </c>
      <c r="L5" s="3423" t="s">
        <v>993</v>
      </c>
      <c r="M5" s="3423" t="s">
        <v>994</v>
      </c>
      <c r="N5" s="3423" t="s">
        <v>995</v>
      </c>
      <c r="O5" s="3423" t="s">
        <v>996</v>
      </c>
      <c r="P5" s="3423" t="s">
        <v>997</v>
      </c>
      <c r="Q5" s="3423" t="s">
        <v>998</v>
      </c>
      <c r="R5" s="3423" t="s">
        <v>2949</v>
      </c>
      <c r="S5" s="3423" t="s">
        <v>2984</v>
      </c>
      <c r="T5" s="3423" t="s">
        <v>999</v>
      </c>
      <c r="U5" s="3423" t="s">
        <v>3017</v>
      </c>
    </row>
    <row r="6" spans="1:21" ht="14.25" customHeight="1">
      <c r="A6" s="3423" t="s">
        <v>990</v>
      </c>
      <c r="B6" s="3423" t="s">
        <v>2817</v>
      </c>
      <c r="C6" s="3423">
        <v>36990</v>
      </c>
      <c r="D6" s="3423">
        <v>36850</v>
      </c>
      <c r="E6" s="3423">
        <v>36700</v>
      </c>
      <c r="F6" s="3424">
        <v>14590</v>
      </c>
      <c r="G6" s="3424">
        <v>27450</v>
      </c>
      <c r="H6" s="1017" t="s">
        <v>1000</v>
      </c>
      <c r="I6" s="1018">
        <f>SUMPRODUCT((B10:B29=基准地价!I2)*(C3:G3=基准地价!E2)*(C10:G29))</f>
        <v>0</v>
      </c>
      <c r="J6" s="3443" t="s">
        <v>1001</v>
      </c>
      <c r="K6" s="3423" t="s">
        <v>1002</v>
      </c>
      <c r="L6" s="3423" t="s">
        <v>1003</v>
      </c>
      <c r="M6" s="3423" t="s">
        <v>1004</v>
      </c>
      <c r="N6" s="3423" t="s">
        <v>1005</v>
      </c>
      <c r="O6" s="3423" t="s">
        <v>1006</v>
      </c>
      <c r="P6" s="3423" t="s">
        <v>1007</v>
      </c>
      <c r="Q6" s="3423" t="s">
        <v>2920</v>
      </c>
      <c r="R6" s="3423" t="s">
        <v>2950</v>
      </c>
      <c r="S6" s="3423" t="s">
        <v>1008</v>
      </c>
      <c r="T6" s="3423" t="s">
        <v>3005</v>
      </c>
      <c r="U6" s="3423" t="s">
        <v>3018</v>
      </c>
    </row>
    <row r="7" spans="1:21" ht="14.25" customHeight="1">
      <c r="A7" s="3423" t="s">
        <v>990</v>
      </c>
      <c r="B7" s="1288" t="s">
        <v>982</v>
      </c>
      <c r="C7" s="3423">
        <v>34850</v>
      </c>
      <c r="D7" s="3423">
        <v>34690</v>
      </c>
      <c r="E7" s="3423">
        <v>34550</v>
      </c>
      <c r="F7" s="3424">
        <v>14360</v>
      </c>
      <c r="G7" s="3424">
        <v>25620</v>
      </c>
      <c r="H7" s="1017" t="s">
        <v>838</v>
      </c>
      <c r="I7" s="1018">
        <f>SUMPRODUCT((B30:B54=基准地价!I2)*(C3:G3=基准地价!E2)*(C30:G54))</f>
        <v>0</v>
      </c>
      <c r="K7" s="3423" t="s">
        <v>1009</v>
      </c>
      <c r="L7" s="3423" t="s">
        <v>1010</v>
      </c>
      <c r="M7" s="3423" t="s">
        <v>1011</v>
      </c>
      <c r="N7" s="3423" t="s">
        <v>1012</v>
      </c>
      <c r="O7" s="3423" t="s">
        <v>1013</v>
      </c>
      <c r="P7" s="3423" t="s">
        <v>1014</v>
      </c>
      <c r="Q7" s="3423" t="s">
        <v>2921</v>
      </c>
      <c r="R7" s="3423" t="s">
        <v>2951</v>
      </c>
      <c r="S7" s="3423" t="s">
        <v>2985</v>
      </c>
      <c r="T7" s="3423" t="s">
        <v>3006</v>
      </c>
      <c r="U7" s="1288" t="s">
        <v>3019</v>
      </c>
    </row>
    <row r="8" spans="1:21" ht="14.25" customHeight="1">
      <c r="A8" s="3423" t="s">
        <v>990</v>
      </c>
      <c r="B8" s="3423" t="s">
        <v>991</v>
      </c>
      <c r="C8" s="3423">
        <v>32630</v>
      </c>
      <c r="D8" s="3423">
        <v>32510</v>
      </c>
      <c r="E8" s="3423">
        <v>32420</v>
      </c>
      <c r="F8" s="3424">
        <v>13300</v>
      </c>
      <c r="G8" s="3424">
        <v>24010</v>
      </c>
      <c r="H8" s="1017" t="s">
        <v>839</v>
      </c>
      <c r="I8" s="1018">
        <f>SUMPRODUCT((B55:B86=基准地价!I2)*(C3:G3=基准地价!E2)*(C55:G86))</f>
        <v>0</v>
      </c>
      <c r="K8" s="3423" t="s">
        <v>1015</v>
      </c>
      <c r="L8" s="3423" t="s">
        <v>1016</v>
      </c>
      <c r="M8" s="3423" t="s">
        <v>1017</v>
      </c>
      <c r="N8" s="3423" t="s">
        <v>1018</v>
      </c>
      <c r="O8" s="3423" t="s">
        <v>1019</v>
      </c>
      <c r="P8" s="3423" t="s">
        <v>1020</v>
      </c>
      <c r="Q8" s="3423" t="s">
        <v>2922</v>
      </c>
      <c r="R8" s="3423" t="s">
        <v>1021</v>
      </c>
      <c r="S8" s="3423" t="s">
        <v>2986</v>
      </c>
      <c r="T8" s="3423" t="s">
        <v>3007</v>
      </c>
      <c r="U8" s="3423" t="s">
        <v>3020</v>
      </c>
    </row>
    <row r="9" spans="1:21" ht="14.25" customHeight="1" thickBot="1">
      <c r="A9" s="3437" t="s">
        <v>990</v>
      </c>
      <c r="B9" s="3425" t="s">
        <v>1001</v>
      </c>
      <c r="C9" s="3426">
        <v>36370</v>
      </c>
      <c r="D9" s="3426">
        <v>36210</v>
      </c>
      <c r="E9" s="3426">
        <v>36050</v>
      </c>
      <c r="F9" s="3427"/>
      <c r="G9" s="3428">
        <v>26740</v>
      </c>
      <c r="H9" s="1017" t="s">
        <v>840</v>
      </c>
      <c r="I9" s="1018">
        <f>SUMPRODUCT((B87:B126=基准地价!I2)*(C3:G3=基准地价!E2)*(C87:G126))</f>
        <v>0</v>
      </c>
      <c r="K9" s="3423" t="s">
        <v>1022</v>
      </c>
      <c r="L9" s="3423" t="s">
        <v>1023</v>
      </c>
      <c r="M9" s="3423" t="s">
        <v>1024</v>
      </c>
      <c r="N9" s="3423" t="s">
        <v>1025</v>
      </c>
      <c r="O9" s="3423" t="s">
        <v>1026</v>
      </c>
      <c r="P9" s="3423" t="s">
        <v>1027</v>
      </c>
      <c r="Q9" s="3423" t="s">
        <v>2923</v>
      </c>
      <c r="R9" s="3423" t="s">
        <v>1029</v>
      </c>
      <c r="S9" s="3423" t="s">
        <v>1030</v>
      </c>
      <c r="T9" s="3423" t="s">
        <v>1047</v>
      </c>
    </row>
    <row r="10" spans="1:21" ht="14.25" customHeight="1">
      <c r="A10" s="3420" t="s">
        <v>1031</v>
      </c>
      <c r="B10" s="3421" t="s">
        <v>2818</v>
      </c>
      <c r="C10" s="3421">
        <v>32350</v>
      </c>
      <c r="D10" s="3421">
        <v>31430</v>
      </c>
      <c r="E10" s="3421">
        <v>31320</v>
      </c>
      <c r="F10" s="3422">
        <v>10850</v>
      </c>
      <c r="G10" s="3422">
        <v>22860</v>
      </c>
      <c r="H10" s="1017" t="s">
        <v>841</v>
      </c>
      <c r="I10" s="1018">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3008</v>
      </c>
    </row>
    <row r="11" spans="1:21" ht="14.25" customHeight="1">
      <c r="A11" s="3423" t="s">
        <v>1031</v>
      </c>
      <c r="B11" s="1288" t="s">
        <v>973</v>
      </c>
      <c r="C11" s="3423">
        <v>31590</v>
      </c>
      <c r="D11" s="3423">
        <v>29490</v>
      </c>
      <c r="E11" s="3423">
        <v>28700</v>
      </c>
      <c r="F11" s="3429">
        <v>10410</v>
      </c>
      <c r="G11" s="3429">
        <v>21460</v>
      </c>
      <c r="H11" s="1017" t="s">
        <v>842</v>
      </c>
      <c r="I11" s="1018">
        <f>SUMPRODUCT((B190:B233=基准地价!I2)*(C3:G3=基准地价!E2)*(C190:G233))</f>
        <v>0</v>
      </c>
      <c r="K11" s="3423" t="s">
        <v>1041</v>
      </c>
      <c r="L11" s="3423" t="s">
        <v>1042</v>
      </c>
      <c r="M11" s="3423" t="s">
        <v>1043</v>
      </c>
      <c r="N11" s="3423" t="s">
        <v>1044</v>
      </c>
      <c r="O11" s="3423" t="s">
        <v>1045</v>
      </c>
      <c r="P11" s="3423" t="s">
        <v>2889</v>
      </c>
      <c r="Q11" s="3423" t="s">
        <v>1038</v>
      </c>
      <c r="R11" s="3423" t="s">
        <v>1046</v>
      </c>
      <c r="S11" s="3423" t="s">
        <v>2987</v>
      </c>
      <c r="T11" s="3423" t="s">
        <v>3009</v>
      </c>
    </row>
    <row r="12" spans="1:21" ht="14.25" customHeight="1">
      <c r="A12" s="3423" t="s">
        <v>1031</v>
      </c>
      <c r="B12" s="1288" t="s">
        <v>983</v>
      </c>
      <c r="C12" s="3423">
        <v>29640</v>
      </c>
      <c r="D12" s="3423">
        <v>27550</v>
      </c>
      <c r="E12" s="3423">
        <v>28010</v>
      </c>
      <c r="F12" s="3429">
        <v>8730</v>
      </c>
      <c r="G12" s="3429">
        <v>20050</v>
      </c>
      <c r="H12" s="1017" t="s">
        <v>843</v>
      </c>
      <c r="I12" s="1018">
        <f>SUMPRODUCT((B234:B276=基准地价!I2)*(C3:G3=基准地价!E2)*(C234:G276))</f>
        <v>0</v>
      </c>
      <c r="K12" s="3423" t="s">
        <v>1048</v>
      </c>
      <c r="L12" s="3423" t="s">
        <v>1049</v>
      </c>
      <c r="M12" s="3423" t="s">
        <v>1050</v>
      </c>
      <c r="N12" s="3423" t="s">
        <v>1051</v>
      </c>
      <c r="O12" s="3423" t="s">
        <v>1052</v>
      </c>
      <c r="P12" s="3423" t="s">
        <v>2890</v>
      </c>
      <c r="Q12" s="3423" t="s">
        <v>2924</v>
      </c>
      <c r="R12" s="3423" t="s">
        <v>2952</v>
      </c>
      <c r="S12" s="3423" t="s">
        <v>2988</v>
      </c>
      <c r="T12" s="3423" t="s">
        <v>3010</v>
      </c>
    </row>
    <row r="13" spans="1:21" ht="14.25" customHeight="1">
      <c r="A13" s="3423" t="s">
        <v>1031</v>
      </c>
      <c r="B13" s="1288" t="s">
        <v>992</v>
      </c>
      <c r="C13" s="3423">
        <v>29680</v>
      </c>
      <c r="D13" s="3423">
        <v>27660</v>
      </c>
      <c r="E13" s="3423">
        <v>28210</v>
      </c>
      <c r="F13" s="3429">
        <v>9590</v>
      </c>
      <c r="G13" s="3429">
        <v>20120</v>
      </c>
      <c r="H13" s="1017" t="s">
        <v>844</v>
      </c>
      <c r="I13" s="1018">
        <f>SUMPRODUCT((B277:B326=基准地价!I2)*(C3:G3=基准地价!E2)*(C277:G326))</f>
        <v>0</v>
      </c>
      <c r="K13" s="3423" t="s">
        <v>1055</v>
      </c>
      <c r="L13" s="3423" t="s">
        <v>1056</v>
      </c>
      <c r="M13" s="3423" t="s">
        <v>1057</v>
      </c>
      <c r="N13" s="3423" t="s">
        <v>1058</v>
      </c>
      <c r="O13" s="3423" t="s">
        <v>1059</v>
      </c>
      <c r="P13" s="3423" t="s">
        <v>2891</v>
      </c>
      <c r="Q13" s="3423" t="s">
        <v>1053</v>
      </c>
      <c r="R13" s="3423" t="s">
        <v>1067</v>
      </c>
      <c r="S13" s="3423" t="s">
        <v>1068</v>
      </c>
      <c r="T13" s="3423" t="s">
        <v>1061</v>
      </c>
    </row>
    <row r="14" spans="1:21" ht="14.25" customHeight="1">
      <c r="A14" s="3423" t="s">
        <v>1031</v>
      </c>
      <c r="B14" s="1288" t="s">
        <v>1002</v>
      </c>
      <c r="C14" s="3423">
        <v>30520</v>
      </c>
      <c r="D14" s="3423">
        <v>29510</v>
      </c>
      <c r="E14" s="3423">
        <v>29400</v>
      </c>
      <c r="F14" s="3429">
        <v>9630</v>
      </c>
      <c r="G14" s="3429">
        <v>21480</v>
      </c>
      <c r="H14" s="1017" t="s">
        <v>845</v>
      </c>
      <c r="I14" s="1018">
        <f>SUMPRODUCT((B327:B357=基准地价!I2)*(C3:G3=基准地价!E2)*(C327:G357))</f>
        <v>0</v>
      </c>
      <c r="K14" s="3423" t="s">
        <v>1062</v>
      </c>
      <c r="L14" s="3423" t="s">
        <v>1063</v>
      </c>
      <c r="M14" s="3423" t="s">
        <v>1064</v>
      </c>
      <c r="N14" s="3423" t="s">
        <v>1065</v>
      </c>
      <c r="O14" s="3423" t="s">
        <v>1066</v>
      </c>
      <c r="P14" s="3423" t="s">
        <v>1088</v>
      </c>
      <c r="Q14" s="3423" t="s">
        <v>1060</v>
      </c>
      <c r="R14" s="3423" t="s">
        <v>2953</v>
      </c>
      <c r="S14" s="3423" t="s">
        <v>1076</v>
      </c>
      <c r="T14" s="3423" t="s">
        <v>1069</v>
      </c>
    </row>
    <row r="15" spans="1:21" ht="14.25" customHeight="1">
      <c r="A15" s="3423" t="s">
        <v>1031</v>
      </c>
      <c r="B15" s="1288" t="s">
        <v>1009</v>
      </c>
      <c r="C15" s="3423">
        <v>29090</v>
      </c>
      <c r="D15" s="3423">
        <v>27590</v>
      </c>
      <c r="E15" s="3423">
        <v>28120</v>
      </c>
      <c r="F15" s="3429">
        <v>9110</v>
      </c>
      <c r="G15" s="3429">
        <v>20070</v>
      </c>
      <c r="H15" s="1017" t="s">
        <v>846</v>
      </c>
      <c r="I15" s="1018">
        <f>SUMPRODUCT((B358:B377=基准地价!I2)*(C3:G3=基准地价!E2)*(C358:G377))</f>
        <v>0</v>
      </c>
      <c r="K15" s="3423" t="s">
        <v>1070</v>
      </c>
      <c r="L15" s="3423" t="s">
        <v>1071</v>
      </c>
      <c r="M15" s="3423" t="s">
        <v>1072</v>
      </c>
      <c r="N15" s="3423" t="s">
        <v>1073</v>
      </c>
      <c r="O15" s="3423" t="s">
        <v>1074</v>
      </c>
      <c r="P15" s="3423" t="s">
        <v>2892</v>
      </c>
      <c r="Q15" s="3423" t="s">
        <v>2925</v>
      </c>
      <c r="R15" s="3423" t="s">
        <v>1090</v>
      </c>
      <c r="S15" s="3423" t="s">
        <v>2989</v>
      </c>
      <c r="T15" s="3423" t="s">
        <v>1077</v>
      </c>
    </row>
    <row r="16" spans="1:21" ht="14.25" customHeight="1" thickBot="1">
      <c r="A16" s="3423" t="s">
        <v>1031</v>
      </c>
      <c r="B16" s="1288" t="s">
        <v>1015</v>
      </c>
      <c r="C16" s="3423">
        <v>26790</v>
      </c>
      <c r="D16" s="3423">
        <v>30370</v>
      </c>
      <c r="E16" s="3423">
        <v>30240</v>
      </c>
      <c r="F16" s="3429">
        <v>11590</v>
      </c>
      <c r="G16" s="3429">
        <v>22090</v>
      </c>
      <c r="H16" s="1019" t="s">
        <v>847</v>
      </c>
      <c r="I16" s="1020">
        <f>SUMPRODUCT((B378:B384=基准地价!I2)*(C3:G3=基准地价!E2)*(C378:G384))</f>
        <v>0</v>
      </c>
      <c r="K16" s="3423" t="s">
        <v>1078</v>
      </c>
      <c r="L16" s="3423" t="s">
        <v>1079</v>
      </c>
      <c r="M16" s="3423" t="s">
        <v>1080</v>
      </c>
      <c r="N16" s="3423" t="s">
        <v>1081</v>
      </c>
      <c r="O16" s="3423" t="s">
        <v>1082</v>
      </c>
      <c r="P16" s="3423" t="s">
        <v>2893</v>
      </c>
      <c r="Q16" s="3423" t="s">
        <v>1075</v>
      </c>
      <c r="R16" s="3423" t="s">
        <v>1098</v>
      </c>
      <c r="S16" s="3423" t="s">
        <v>1054</v>
      </c>
      <c r="T16" s="3423" t="s">
        <v>3011</v>
      </c>
    </row>
    <row r="17" spans="1:20" ht="14.25" customHeight="1">
      <c r="A17" s="3423" t="s">
        <v>1031</v>
      </c>
      <c r="B17" s="1288" t="s">
        <v>1022</v>
      </c>
      <c r="C17" s="3423">
        <v>29180</v>
      </c>
      <c r="D17" s="3423">
        <v>27620</v>
      </c>
      <c r="E17" s="3423">
        <v>28180</v>
      </c>
      <c r="F17" s="3429">
        <v>10790</v>
      </c>
      <c r="G17" s="3430">
        <v>20090</v>
      </c>
      <c r="I17" s="1021"/>
      <c r="K17" s="3423" t="s">
        <v>1083</v>
      </c>
      <c r="L17" s="3423" t="s">
        <v>1084</v>
      </c>
      <c r="M17" s="3423" t="s">
        <v>1085</v>
      </c>
      <c r="N17" s="3423" t="s">
        <v>1086</v>
      </c>
      <c r="O17" s="3423" t="s">
        <v>1087</v>
      </c>
      <c r="P17" s="3423" t="s">
        <v>2894</v>
      </c>
      <c r="Q17" s="3423" t="s">
        <v>2926</v>
      </c>
      <c r="R17" s="3423" t="s">
        <v>1104</v>
      </c>
      <c r="S17" s="3423" t="s">
        <v>2990</v>
      </c>
      <c r="T17" s="3423" t="s">
        <v>1106</v>
      </c>
    </row>
    <row r="18" spans="1:20" ht="14.25" customHeight="1">
      <c r="A18" s="3423" t="s">
        <v>1031</v>
      </c>
      <c r="B18" s="1288" t="s">
        <v>1032</v>
      </c>
      <c r="C18" s="3423">
        <v>26840</v>
      </c>
      <c r="D18" s="3423">
        <v>28930</v>
      </c>
      <c r="E18" s="3423">
        <v>28820</v>
      </c>
      <c r="F18" s="3429"/>
      <c r="G18" s="3430">
        <v>21050</v>
      </c>
      <c r="I18" s="1021"/>
      <c r="K18" s="3423" t="s">
        <v>1092</v>
      </c>
      <c r="L18" s="3423" t="s">
        <v>1093</v>
      </c>
      <c r="M18" s="3423" t="s">
        <v>1094</v>
      </c>
      <c r="N18" s="3423" t="s">
        <v>1095</v>
      </c>
      <c r="O18" s="3423" t="s">
        <v>1096</v>
      </c>
      <c r="P18" s="3423" t="s">
        <v>2895</v>
      </c>
      <c r="Q18" s="3423" t="s">
        <v>1089</v>
      </c>
      <c r="R18" s="3423" t="s">
        <v>2954</v>
      </c>
      <c r="S18" s="3423" t="s">
        <v>1105</v>
      </c>
      <c r="T18" s="3423" t="s">
        <v>1114</v>
      </c>
    </row>
    <row r="19" spans="1:20" ht="14.25" customHeight="1">
      <c r="A19" s="3423" t="s">
        <v>1031</v>
      </c>
      <c r="B19" s="1288" t="s">
        <v>1041</v>
      </c>
      <c r="C19" s="3423">
        <v>27750</v>
      </c>
      <c r="D19" s="3423">
        <v>26680</v>
      </c>
      <c r="E19" s="3423">
        <v>26590</v>
      </c>
      <c r="F19" s="3429"/>
      <c r="G19" s="3430">
        <v>19420</v>
      </c>
      <c r="I19" s="1021"/>
      <c r="K19" s="3423" t="s">
        <v>1099</v>
      </c>
      <c r="L19" s="3423" t="s">
        <v>1100</v>
      </c>
      <c r="M19" s="3423" t="s">
        <v>1101</v>
      </c>
      <c r="N19" s="3423" t="s">
        <v>1102</v>
      </c>
      <c r="O19" s="3423" t="s">
        <v>1103</v>
      </c>
      <c r="P19" s="3423" t="s">
        <v>2896</v>
      </c>
      <c r="Q19" s="3423" t="s">
        <v>1097</v>
      </c>
      <c r="R19" s="3423" t="s">
        <v>2955</v>
      </c>
      <c r="S19" s="3423" t="s">
        <v>1113</v>
      </c>
      <c r="T19" s="3423" t="s">
        <v>3012</v>
      </c>
    </row>
    <row r="20" spans="1:20" ht="14.25" customHeight="1">
      <c r="A20" s="3423" t="s">
        <v>1031</v>
      </c>
      <c r="B20" s="1288" t="s">
        <v>1048</v>
      </c>
      <c r="C20" s="3423">
        <v>27050</v>
      </c>
      <c r="D20" s="3423">
        <v>29010</v>
      </c>
      <c r="E20" s="3423">
        <v>28910</v>
      </c>
      <c r="F20" s="3429"/>
      <c r="G20" s="3430">
        <v>21110</v>
      </c>
      <c r="K20" s="3423" t="s">
        <v>1107</v>
      </c>
      <c r="L20" s="3423" t="s">
        <v>1108</v>
      </c>
      <c r="M20" s="3423" t="s">
        <v>1109</v>
      </c>
      <c r="N20" s="3423" t="s">
        <v>1110</v>
      </c>
      <c r="O20" s="3423" t="s">
        <v>1111</v>
      </c>
      <c r="P20" s="3423" t="s">
        <v>2897</v>
      </c>
      <c r="Q20" s="3423" t="s">
        <v>2927</v>
      </c>
      <c r="R20" s="3423" t="s">
        <v>1139</v>
      </c>
      <c r="S20" s="3423" t="s">
        <v>2991</v>
      </c>
      <c r="T20" s="3423" t="s">
        <v>1126</v>
      </c>
    </row>
    <row r="21" spans="1:20" ht="14.25" customHeight="1">
      <c r="A21" s="3423" t="s">
        <v>1031</v>
      </c>
      <c r="B21" s="1288" t="s">
        <v>1055</v>
      </c>
      <c r="C21" s="3423">
        <v>32370</v>
      </c>
      <c r="D21" s="3423">
        <v>26730</v>
      </c>
      <c r="E21" s="3423">
        <v>26640</v>
      </c>
      <c r="F21" s="3429"/>
      <c r="G21" s="3430">
        <v>19440</v>
      </c>
      <c r="K21" s="3432" t="s">
        <v>2819</v>
      </c>
      <c r="L21" s="3423" t="s">
        <v>1115</v>
      </c>
      <c r="M21" s="3423" t="s">
        <v>1116</v>
      </c>
      <c r="N21" s="3423" t="s">
        <v>1117</v>
      </c>
      <c r="O21" s="3423" t="s">
        <v>1118</v>
      </c>
      <c r="P21" s="3423" t="s">
        <v>1112</v>
      </c>
      <c r="Q21" s="3423" t="s">
        <v>1132</v>
      </c>
      <c r="R21" s="3423" t="s">
        <v>1142</v>
      </c>
      <c r="S21" s="3423" t="s">
        <v>2992</v>
      </c>
      <c r="T21" s="3423" t="s">
        <v>3013</v>
      </c>
    </row>
    <row r="22" spans="1:20" ht="14.25" customHeight="1">
      <c r="A22" s="3423" t="s">
        <v>1031</v>
      </c>
      <c r="B22" s="1288" t="s">
        <v>1062</v>
      </c>
      <c r="C22" s="3423">
        <v>29830</v>
      </c>
      <c r="D22" s="3423">
        <v>27600</v>
      </c>
      <c r="E22" s="3423">
        <v>28150</v>
      </c>
      <c r="F22" s="3429"/>
      <c r="G22" s="3430">
        <v>20080</v>
      </c>
      <c r="L22" s="3432" t="s">
        <v>2821</v>
      </c>
      <c r="M22" s="3423" t="s">
        <v>1120</v>
      </c>
      <c r="N22" s="3423" t="s">
        <v>1121</v>
      </c>
      <c r="O22" s="3423" t="s">
        <v>1122</v>
      </c>
      <c r="P22" s="3423" t="s">
        <v>2898</v>
      </c>
      <c r="Q22" s="3423" t="s">
        <v>1135</v>
      </c>
      <c r="R22" s="3423" t="s">
        <v>1144</v>
      </c>
      <c r="S22" s="3423" t="s">
        <v>1091</v>
      </c>
      <c r="T22" s="1288"/>
    </row>
    <row r="23" spans="1:20" ht="14.25" customHeight="1">
      <c r="A23" s="3423" t="s">
        <v>1031</v>
      </c>
      <c r="B23" s="1288" t="s">
        <v>1070</v>
      </c>
      <c r="C23" s="3423">
        <v>27800</v>
      </c>
      <c r="D23" s="3423">
        <v>26900</v>
      </c>
      <c r="E23" s="3423">
        <v>27170</v>
      </c>
      <c r="F23" s="3429"/>
      <c r="G23" s="3430">
        <v>19570</v>
      </c>
      <c r="L23" s="3432" t="s">
        <v>2822</v>
      </c>
      <c r="M23" s="3423" t="s">
        <v>1127</v>
      </c>
      <c r="N23" s="3423" t="s">
        <v>1128</v>
      </c>
      <c r="O23" s="3423" t="s">
        <v>2852</v>
      </c>
      <c r="P23" s="3423" t="s">
        <v>2899</v>
      </c>
      <c r="Q23" s="3423" t="s">
        <v>1138</v>
      </c>
      <c r="R23" s="3423" t="s">
        <v>1147</v>
      </c>
      <c r="S23" s="3423" t="s">
        <v>2993</v>
      </c>
    </row>
    <row r="24" spans="1:20" ht="14.25" customHeight="1">
      <c r="A24" s="3423" t="s">
        <v>1031</v>
      </c>
      <c r="B24" s="1288" t="s">
        <v>1078</v>
      </c>
      <c r="C24" s="3423">
        <v>27930</v>
      </c>
      <c r="D24" s="3423">
        <v>32260</v>
      </c>
      <c r="E24" s="3423">
        <v>32120</v>
      </c>
      <c r="F24" s="3429"/>
      <c r="G24" s="3430">
        <v>23470</v>
      </c>
      <c r="L24" s="3432" t="s">
        <v>2823</v>
      </c>
      <c r="M24" s="3423" t="s">
        <v>1130</v>
      </c>
      <c r="N24" s="3423" t="s">
        <v>1131</v>
      </c>
      <c r="O24" s="3423" t="s">
        <v>2853</v>
      </c>
      <c r="P24" s="3423" t="s">
        <v>1134</v>
      </c>
      <c r="Q24" s="3423" t="s">
        <v>2928</v>
      </c>
      <c r="R24" s="3423" t="s">
        <v>2956</v>
      </c>
      <c r="S24" s="3423" t="s">
        <v>2994</v>
      </c>
    </row>
    <row r="25" spans="1:20" ht="14.25" customHeight="1">
      <c r="A25" s="3423" t="s">
        <v>1031</v>
      </c>
      <c r="B25" s="1288" t="s">
        <v>1083</v>
      </c>
      <c r="C25" s="3423">
        <v>32230</v>
      </c>
      <c r="D25" s="3423">
        <v>29640</v>
      </c>
      <c r="E25" s="3423">
        <v>29510</v>
      </c>
      <c r="F25" s="3429"/>
      <c r="G25" s="3430">
        <v>21560</v>
      </c>
      <c r="L25" s="3432" t="s">
        <v>2824</v>
      </c>
      <c r="M25" s="3423" t="s">
        <v>2827</v>
      </c>
      <c r="N25" s="3423" t="s">
        <v>1133</v>
      </c>
      <c r="O25" s="3423" t="s">
        <v>1141</v>
      </c>
      <c r="P25" s="3423" t="s">
        <v>1137</v>
      </c>
      <c r="Q25" s="3423" t="s">
        <v>1124</v>
      </c>
      <c r="R25" s="3423" t="s">
        <v>1119</v>
      </c>
      <c r="S25" s="3423" t="s">
        <v>2995</v>
      </c>
    </row>
    <row r="26" spans="1:20" ht="14.25" customHeight="1">
      <c r="A26" s="3423" t="s">
        <v>1031</v>
      </c>
      <c r="B26" s="1288" t="s">
        <v>1092</v>
      </c>
      <c r="C26" s="3423">
        <v>31690</v>
      </c>
      <c r="D26" s="3423">
        <v>27650</v>
      </c>
      <c r="E26" s="3423">
        <v>28200</v>
      </c>
      <c r="F26" s="3429"/>
      <c r="G26" s="3430">
        <v>20110</v>
      </c>
      <c r="L26" s="3432" t="s">
        <v>2825</v>
      </c>
      <c r="M26" s="3423" t="s">
        <v>2828</v>
      </c>
      <c r="N26" s="3423" t="s">
        <v>1136</v>
      </c>
      <c r="O26" s="3423" t="s">
        <v>1143</v>
      </c>
      <c r="P26" s="3423" t="s">
        <v>2900</v>
      </c>
      <c r="Q26" s="3423" t="s">
        <v>2929</v>
      </c>
      <c r="R26" s="3423" t="s">
        <v>1125</v>
      </c>
      <c r="S26" s="3423" t="s">
        <v>2996</v>
      </c>
    </row>
    <row r="27" spans="1:20" ht="14.25" customHeight="1">
      <c r="A27" s="3423" t="s">
        <v>1031</v>
      </c>
      <c r="B27" s="1288" t="s">
        <v>1099</v>
      </c>
      <c r="C27" s="3423">
        <v>29610</v>
      </c>
      <c r="D27" s="3423">
        <v>27770</v>
      </c>
      <c r="E27" s="3423">
        <v>28300</v>
      </c>
      <c r="F27" s="3429"/>
      <c r="G27" s="3430">
        <v>20210</v>
      </c>
      <c r="M27" s="3423" t="s">
        <v>2829</v>
      </c>
      <c r="N27" s="3423" t="s">
        <v>1140</v>
      </c>
      <c r="O27" s="3423" t="s">
        <v>1146</v>
      </c>
      <c r="P27" s="3423" t="s">
        <v>1123</v>
      </c>
      <c r="Q27" s="3423" t="s">
        <v>2930</v>
      </c>
      <c r="R27" s="3423" t="s">
        <v>2957</v>
      </c>
      <c r="S27" s="3423" t="s">
        <v>2997</v>
      </c>
    </row>
    <row r="28" spans="1:20" ht="14.25" customHeight="1">
      <c r="A28" s="3437" t="s">
        <v>1031</v>
      </c>
      <c r="B28" s="2600" t="s">
        <v>1107</v>
      </c>
      <c r="C28" s="1286"/>
      <c r="D28" s="1286">
        <v>31520</v>
      </c>
      <c r="E28" s="1286">
        <v>31410</v>
      </c>
      <c r="F28" s="3434"/>
      <c r="G28" s="3435">
        <v>22940</v>
      </c>
      <c r="M28" s="3423" t="s">
        <v>2830</v>
      </c>
      <c r="N28" s="3423" t="s">
        <v>2837</v>
      </c>
      <c r="O28" s="3423" t="s">
        <v>2854</v>
      </c>
      <c r="P28" s="3423" t="s">
        <v>2901</v>
      </c>
      <c r="Q28" s="3423" t="s">
        <v>2931</v>
      </c>
      <c r="R28" s="3423" t="s">
        <v>2958</v>
      </c>
      <c r="S28" s="3432" t="s">
        <v>2998</v>
      </c>
    </row>
    <row r="29" spans="1:20" ht="14.25" customHeight="1" thickBot="1">
      <c r="A29" s="3438" t="s">
        <v>1031</v>
      </c>
      <c r="B29" s="3426" t="s">
        <v>2819</v>
      </c>
      <c r="C29" s="3426"/>
      <c r="D29" s="3426">
        <v>29460</v>
      </c>
      <c r="E29" s="3426">
        <v>28640</v>
      </c>
      <c r="F29" s="3427"/>
      <c r="G29" s="3439">
        <v>21430</v>
      </c>
      <c r="M29" s="3432" t="s">
        <v>2831</v>
      </c>
      <c r="N29" s="3423" t="s">
        <v>2838</v>
      </c>
      <c r="O29" s="3423" t="s">
        <v>2855</v>
      </c>
      <c r="P29" s="3423" t="s">
        <v>2902</v>
      </c>
      <c r="Q29" s="3423" t="s">
        <v>2932</v>
      </c>
      <c r="R29" s="3423" t="s">
        <v>2959</v>
      </c>
      <c r="S29" s="3432" t="s">
        <v>1129</v>
      </c>
    </row>
    <row r="30" spans="1:20" ht="14.25" customHeight="1">
      <c r="A30" s="3437" t="s">
        <v>1145</v>
      </c>
      <c r="B30" s="1288" t="s">
        <v>2820</v>
      </c>
      <c r="C30" s="1288">
        <v>26890</v>
      </c>
      <c r="D30" s="1288">
        <v>26770</v>
      </c>
      <c r="E30" s="1288">
        <v>25700</v>
      </c>
      <c r="F30" s="3424">
        <v>8180</v>
      </c>
      <c r="G30" s="3424">
        <v>18740</v>
      </c>
      <c r="I30" s="1021"/>
      <c r="M30" s="3432" t="s">
        <v>2832</v>
      </c>
      <c r="N30" s="3423" t="s">
        <v>2839</v>
      </c>
      <c r="O30" s="3423" t="s">
        <v>2856</v>
      </c>
      <c r="P30" s="3423" t="s">
        <v>2903</v>
      </c>
      <c r="Q30" s="3423" t="s">
        <v>2933</v>
      </c>
      <c r="R30" s="3423" t="s">
        <v>2960</v>
      </c>
      <c r="S30" s="3432" t="s">
        <v>2999</v>
      </c>
    </row>
    <row r="31" spans="1:20" ht="14.25" customHeight="1">
      <c r="A31" s="3423" t="s">
        <v>1145</v>
      </c>
      <c r="B31" s="1288" t="s">
        <v>974</v>
      </c>
      <c r="C31" s="3423">
        <v>24550</v>
      </c>
      <c r="D31" s="3423">
        <v>23990</v>
      </c>
      <c r="E31" s="3423">
        <v>22930</v>
      </c>
      <c r="F31" s="3429">
        <v>7470</v>
      </c>
      <c r="G31" s="3429">
        <v>16790</v>
      </c>
      <c r="I31" s="1021"/>
      <c r="M31" s="3432" t="s">
        <v>2833</v>
      </c>
      <c r="N31" s="3423" t="s">
        <v>2840</v>
      </c>
      <c r="O31" s="3423" t="s">
        <v>2857</v>
      </c>
      <c r="P31" s="3423" t="s">
        <v>2904</v>
      </c>
      <c r="Q31" s="3423" t="s">
        <v>2934</v>
      </c>
      <c r="R31" s="3423" t="s">
        <v>2961</v>
      </c>
      <c r="S31" s="3432" t="s">
        <v>3000</v>
      </c>
    </row>
    <row r="32" spans="1:20" ht="14.25" customHeight="1">
      <c r="A32" s="3423" t="s">
        <v>1145</v>
      </c>
      <c r="B32" s="1288" t="s">
        <v>984</v>
      </c>
      <c r="C32" s="3423">
        <v>27210</v>
      </c>
      <c r="D32" s="3423">
        <v>23240</v>
      </c>
      <c r="E32" s="3423">
        <v>23260</v>
      </c>
      <c r="F32" s="3429">
        <v>7130</v>
      </c>
      <c r="G32" s="3429">
        <v>16270</v>
      </c>
      <c r="I32" s="1021"/>
      <c r="M32" s="3432" t="s">
        <v>2834</v>
      </c>
      <c r="N32" s="3423" t="s">
        <v>2841</v>
      </c>
      <c r="O32" s="3423" t="s">
        <v>1149</v>
      </c>
      <c r="P32" s="3423" t="s">
        <v>2905</v>
      </c>
      <c r="Q32" s="3423" t="s">
        <v>1148</v>
      </c>
      <c r="R32" s="3423" t="s">
        <v>2962</v>
      </c>
      <c r="S32" s="3432" t="s">
        <v>3001</v>
      </c>
    </row>
    <row r="33" spans="1:18" ht="14.25" customHeight="1">
      <c r="A33" s="3423" t="s">
        <v>1145</v>
      </c>
      <c r="B33" s="1288" t="s">
        <v>993</v>
      </c>
      <c r="C33" s="3423">
        <v>27300</v>
      </c>
      <c r="D33" s="3423">
        <v>22980</v>
      </c>
      <c r="E33" s="3423">
        <v>24260</v>
      </c>
      <c r="F33" s="3429">
        <v>5860</v>
      </c>
      <c r="G33" s="3429">
        <v>16090</v>
      </c>
      <c r="I33" s="1021"/>
      <c r="M33" s="3432" t="s">
        <v>2835</v>
      </c>
      <c r="N33" s="3423" t="s">
        <v>2842</v>
      </c>
      <c r="O33" s="3423" t="s">
        <v>1150</v>
      </c>
      <c r="P33" s="3423" t="s">
        <v>2906</v>
      </c>
      <c r="Q33" s="3423" t="s">
        <v>2935</v>
      </c>
      <c r="R33" s="3423" t="s">
        <v>2963</v>
      </c>
    </row>
    <row r="34" spans="1:18" ht="14.25" customHeight="1">
      <c r="A34" s="3423" t="s">
        <v>1145</v>
      </c>
      <c r="B34" s="1288" t="s">
        <v>1003</v>
      </c>
      <c r="C34" s="3423">
        <v>23090</v>
      </c>
      <c r="D34" s="3423">
        <v>23390</v>
      </c>
      <c r="E34" s="3423">
        <v>23510</v>
      </c>
      <c r="F34" s="3429">
        <v>6700</v>
      </c>
      <c r="G34" s="3429">
        <v>16370</v>
      </c>
      <c r="I34" s="1021"/>
      <c r="N34" s="3423" t="s">
        <v>2843</v>
      </c>
      <c r="O34" s="3423" t="s">
        <v>1151</v>
      </c>
      <c r="P34" s="3423" t="s">
        <v>2907</v>
      </c>
      <c r="Q34" s="3423" t="s">
        <v>2936</v>
      </c>
      <c r="R34" s="3423" t="s">
        <v>2964</v>
      </c>
    </row>
    <row r="35" spans="1:18" ht="14.25" customHeight="1">
      <c r="A35" s="3423" t="s">
        <v>1145</v>
      </c>
      <c r="B35" s="1288" t="s">
        <v>1010</v>
      </c>
      <c r="C35" s="3423">
        <v>27270</v>
      </c>
      <c r="D35" s="3423">
        <v>24270</v>
      </c>
      <c r="E35" s="3423">
        <v>24950</v>
      </c>
      <c r="F35" s="3429">
        <v>6600</v>
      </c>
      <c r="G35" s="3429">
        <v>16990</v>
      </c>
      <c r="I35" s="1021"/>
      <c r="N35" s="3423" t="s">
        <v>2844</v>
      </c>
      <c r="O35" s="3423" t="s">
        <v>2858</v>
      </c>
      <c r="P35" s="3423" t="s">
        <v>2908</v>
      </c>
      <c r="Q35" s="3423" t="s">
        <v>2937</v>
      </c>
      <c r="R35" s="3423" t="s">
        <v>2965</v>
      </c>
    </row>
    <row r="36" spans="1:18" ht="14.25" customHeight="1">
      <c r="A36" s="3423" t="s">
        <v>1145</v>
      </c>
      <c r="B36" s="1288" t="s">
        <v>1016</v>
      </c>
      <c r="C36" s="3423">
        <v>23490</v>
      </c>
      <c r="D36" s="3423">
        <v>23020</v>
      </c>
      <c r="E36" s="3423">
        <v>25230</v>
      </c>
      <c r="F36" s="3429">
        <v>6780</v>
      </c>
      <c r="G36" s="3429">
        <v>16120</v>
      </c>
      <c r="I36" s="1021"/>
      <c r="N36" s="3432" t="s">
        <v>2845</v>
      </c>
      <c r="O36" s="3460" t="s">
        <v>2859</v>
      </c>
      <c r="P36" s="3423" t="s">
        <v>2909</v>
      </c>
      <c r="Q36" s="3423" t="s">
        <v>2938</v>
      </c>
      <c r="R36" s="3423" t="s">
        <v>2966</v>
      </c>
    </row>
    <row r="37" spans="1:18" ht="14.25" customHeight="1">
      <c r="A37" s="3423" t="s">
        <v>1145</v>
      </c>
      <c r="B37" s="1288" t="s">
        <v>1023</v>
      </c>
      <c r="C37" s="3423">
        <v>24380</v>
      </c>
      <c r="D37" s="3423">
        <v>22240</v>
      </c>
      <c r="E37" s="3423">
        <v>25980</v>
      </c>
      <c r="F37" s="3429">
        <v>8160</v>
      </c>
      <c r="G37" s="3429">
        <v>15570</v>
      </c>
      <c r="I37" s="1022"/>
      <c r="N37" s="3432" t="s">
        <v>2846</v>
      </c>
      <c r="O37" s="3460" t="s">
        <v>2860</v>
      </c>
      <c r="P37" s="3423" t="s">
        <v>2910</v>
      </c>
      <c r="Q37" s="3423" t="s">
        <v>2939</v>
      </c>
      <c r="R37" s="3423" t="s">
        <v>2967</v>
      </c>
    </row>
    <row r="38" spans="1:18" ht="14.25" customHeight="1">
      <c r="A38" s="3423" t="s">
        <v>1145</v>
      </c>
      <c r="B38" s="1288" t="s">
        <v>1033</v>
      </c>
      <c r="C38" s="3423">
        <v>23120</v>
      </c>
      <c r="D38" s="3423">
        <v>24630</v>
      </c>
      <c r="E38" s="3423">
        <v>25030</v>
      </c>
      <c r="F38" s="3429">
        <v>7710</v>
      </c>
      <c r="G38" s="3429">
        <v>17240</v>
      </c>
      <c r="I38" s="1023"/>
      <c r="N38" s="3432" t="s">
        <v>2847</v>
      </c>
      <c r="O38" s="3460" t="s">
        <v>2861</v>
      </c>
      <c r="P38" s="3423" t="s">
        <v>2911</v>
      </c>
      <c r="Q38" s="3423" t="s">
        <v>2940</v>
      </c>
      <c r="R38" s="3423" t="s">
        <v>2968</v>
      </c>
    </row>
    <row r="39" spans="1:18" ht="14.25" customHeight="1">
      <c r="A39" s="3423" t="s">
        <v>1145</v>
      </c>
      <c r="B39" s="1288" t="s">
        <v>1042</v>
      </c>
      <c r="C39" s="3423">
        <v>22330</v>
      </c>
      <c r="D39" s="3423">
        <v>21140</v>
      </c>
      <c r="E39" s="3423">
        <v>23970</v>
      </c>
      <c r="F39" s="3429">
        <v>7940</v>
      </c>
      <c r="G39" s="3429">
        <v>14790</v>
      </c>
      <c r="I39" s="1023"/>
      <c r="N39" s="3432" t="s">
        <v>2848</v>
      </c>
      <c r="O39" s="3460" t="s">
        <v>2862</v>
      </c>
      <c r="P39" s="3423" t="s">
        <v>2912</v>
      </c>
      <c r="Q39" s="3423" t="s">
        <v>2941</v>
      </c>
      <c r="R39" s="3423" t="s">
        <v>2969</v>
      </c>
    </row>
    <row r="40" spans="1:18" ht="14.25" customHeight="1">
      <c r="A40" s="3423" t="s">
        <v>1145</v>
      </c>
      <c r="B40" s="1288" t="s">
        <v>1049</v>
      </c>
      <c r="C40" s="3423">
        <v>24740</v>
      </c>
      <c r="D40" s="3423">
        <v>24690</v>
      </c>
      <c r="E40" s="3423">
        <v>22610</v>
      </c>
      <c r="F40" s="3429"/>
      <c r="G40" s="3429">
        <v>17280</v>
      </c>
      <c r="I40" s="1023"/>
      <c r="N40" s="3432" t="s">
        <v>2849</v>
      </c>
      <c r="O40" s="3460" t="s">
        <v>2863</v>
      </c>
      <c r="P40" s="3423" t="s">
        <v>2913</v>
      </c>
      <c r="Q40" s="3423" t="s">
        <v>2942</v>
      </c>
      <c r="R40" s="3423" t="s">
        <v>2970</v>
      </c>
    </row>
    <row r="41" spans="1:18" ht="14.25" customHeight="1">
      <c r="A41" s="3423" t="s">
        <v>1145</v>
      </c>
      <c r="B41" s="1288" t="s">
        <v>1056</v>
      </c>
      <c r="C41" s="3423">
        <v>21220</v>
      </c>
      <c r="D41" s="3423">
        <v>21120</v>
      </c>
      <c r="E41" s="3423">
        <v>22590</v>
      </c>
      <c r="F41" s="3429"/>
      <c r="G41" s="3429">
        <v>14780</v>
      </c>
      <c r="I41" s="1023"/>
      <c r="N41" s="3432" t="s">
        <v>2850</v>
      </c>
      <c r="O41" s="3461" t="s">
        <v>2864</v>
      </c>
      <c r="P41" s="1288" t="s">
        <v>2914</v>
      </c>
      <c r="Q41" s="3432" t="s">
        <v>2943</v>
      </c>
      <c r="R41" s="1288" t="s">
        <v>2971</v>
      </c>
    </row>
    <row r="42" spans="1:18" ht="14.25" customHeight="1">
      <c r="A42" s="3423" t="s">
        <v>1145</v>
      </c>
      <c r="B42" s="1288" t="s">
        <v>1063</v>
      </c>
      <c r="C42" s="3423">
        <v>24800</v>
      </c>
      <c r="D42" s="3423">
        <v>22280</v>
      </c>
      <c r="E42" s="3423">
        <v>24350</v>
      </c>
      <c r="F42" s="3429"/>
      <c r="G42" s="3429">
        <v>15590</v>
      </c>
      <c r="I42" s="1023"/>
      <c r="O42" s="3423" t="s">
        <v>2865</v>
      </c>
      <c r="P42" s="3423" t="s">
        <v>2915</v>
      </c>
      <c r="Q42" s="3432" t="s">
        <v>2944</v>
      </c>
      <c r="R42" s="3423" t="s">
        <v>2972</v>
      </c>
    </row>
    <row r="43" spans="1:18" ht="14.25" customHeight="1">
      <c r="A43" s="3423" t="s">
        <v>1145</v>
      </c>
      <c r="B43" s="1288" t="s">
        <v>1071</v>
      </c>
      <c r="C43" s="3423">
        <v>21210</v>
      </c>
      <c r="D43" s="3423">
        <v>21160</v>
      </c>
      <c r="E43" s="3423">
        <v>22650</v>
      </c>
      <c r="F43" s="3429"/>
      <c r="G43" s="3429">
        <v>14800</v>
      </c>
      <c r="I43" s="1023"/>
      <c r="O43" s="3423" t="s">
        <v>2866</v>
      </c>
      <c r="P43" s="3423" t="s">
        <v>2916</v>
      </c>
      <c r="Q43" s="3432" t="s">
        <v>2945</v>
      </c>
      <c r="R43" s="3423" t="s">
        <v>2973</v>
      </c>
    </row>
    <row r="44" spans="1:18" ht="14.25" customHeight="1">
      <c r="A44" s="3423" t="s">
        <v>1145</v>
      </c>
      <c r="B44" s="1288" t="s">
        <v>1079</v>
      </c>
      <c r="C44" s="3423">
        <v>22370</v>
      </c>
      <c r="D44" s="3423">
        <v>23140</v>
      </c>
      <c r="E44" s="3423">
        <v>25090</v>
      </c>
      <c r="F44" s="3429"/>
      <c r="G44" s="3429">
        <v>16190</v>
      </c>
      <c r="I44" s="1023"/>
      <c r="O44" s="3423" t="s">
        <v>2867</v>
      </c>
      <c r="P44" s="3423" t="s">
        <v>2917</v>
      </c>
      <c r="Q44" s="3432" t="s">
        <v>2946</v>
      </c>
      <c r="R44" s="3423" t="s">
        <v>2974</v>
      </c>
    </row>
    <row r="45" spans="1:18" ht="14.25" customHeight="1">
      <c r="A45" s="3423" t="s">
        <v>1145</v>
      </c>
      <c r="B45" s="1288" t="s">
        <v>1084</v>
      </c>
      <c r="C45" s="3423">
        <v>21240</v>
      </c>
      <c r="D45" s="3423">
        <v>27050</v>
      </c>
      <c r="E45" s="3423">
        <v>28000</v>
      </c>
      <c r="F45" s="3429"/>
      <c r="G45" s="3429">
        <v>18940</v>
      </c>
      <c r="I45" s="1021"/>
      <c r="O45" s="3423" t="s">
        <v>2868</v>
      </c>
      <c r="P45" s="3423" t="s">
        <v>2918</v>
      </c>
      <c r="R45" s="3423" t="s">
        <v>2975</v>
      </c>
    </row>
    <row r="46" spans="1:18" ht="14.25" customHeight="1">
      <c r="A46" s="3423" t="s">
        <v>1145</v>
      </c>
      <c r="B46" s="1288" t="s">
        <v>1093</v>
      </c>
      <c r="C46" s="3423">
        <v>23240</v>
      </c>
      <c r="D46" s="3423">
        <v>23000</v>
      </c>
      <c r="E46" s="3423">
        <v>24980</v>
      </c>
      <c r="F46" s="3429"/>
      <c r="G46" s="3429">
        <v>16100</v>
      </c>
      <c r="I46" s="1023"/>
      <c r="O46" s="3423" t="s">
        <v>2869</v>
      </c>
      <c r="P46" s="3423"/>
      <c r="R46" s="3423" t="s">
        <v>2976</v>
      </c>
    </row>
    <row r="47" spans="1:18" ht="14.25" customHeight="1">
      <c r="A47" s="3423" t="s">
        <v>1145</v>
      </c>
      <c r="B47" s="2600" t="s">
        <v>1100</v>
      </c>
      <c r="C47" s="1286">
        <v>27150</v>
      </c>
      <c r="D47" s="1286">
        <v>23310</v>
      </c>
      <c r="E47" s="1286">
        <v>25150</v>
      </c>
      <c r="F47" s="3434"/>
      <c r="G47" s="3434">
        <v>16310</v>
      </c>
      <c r="I47" s="1023"/>
      <c r="O47" s="3423" t="s">
        <v>2870</v>
      </c>
      <c r="P47" s="3423"/>
      <c r="R47" s="3432" t="s">
        <v>2977</v>
      </c>
    </row>
    <row r="48" spans="1:18" ht="14.25" customHeight="1">
      <c r="A48" s="3423" t="s">
        <v>1145</v>
      </c>
      <c r="B48" s="3423" t="s">
        <v>1108</v>
      </c>
      <c r="C48" s="3423">
        <v>23100</v>
      </c>
      <c r="D48" s="3423">
        <v>21110</v>
      </c>
      <c r="E48" s="3423">
        <v>23080</v>
      </c>
      <c r="F48" s="3429"/>
      <c r="G48" s="3436">
        <v>14780</v>
      </c>
      <c r="I48" s="1021"/>
      <c r="O48" s="3423" t="s">
        <v>2871</v>
      </c>
      <c r="P48" s="3423"/>
      <c r="R48" s="3432" t="s">
        <v>2978</v>
      </c>
    </row>
    <row r="49" spans="1:18" ht="14.25" customHeight="1">
      <c r="A49" s="3423" t="s">
        <v>1145</v>
      </c>
      <c r="B49" s="1288" t="s">
        <v>1115</v>
      </c>
      <c r="C49" s="1288">
        <v>23400</v>
      </c>
      <c r="D49" s="1288">
        <v>22920</v>
      </c>
      <c r="E49" s="1288">
        <v>24900</v>
      </c>
      <c r="F49" s="3424"/>
      <c r="G49" s="3424">
        <v>16040</v>
      </c>
      <c r="I49" s="1023"/>
      <c r="O49" s="3423" t="s">
        <v>2872</v>
      </c>
      <c r="P49" s="3423"/>
      <c r="R49" s="3432" t="s">
        <v>2979</v>
      </c>
    </row>
    <row r="50" spans="1:18" ht="14.25" customHeight="1">
      <c r="A50" s="3423" t="s">
        <v>1145</v>
      </c>
      <c r="B50" s="3423" t="s">
        <v>2821</v>
      </c>
      <c r="C50" s="3423">
        <v>21200</v>
      </c>
      <c r="D50" s="3423">
        <v>26540</v>
      </c>
      <c r="E50" s="3423">
        <v>23200</v>
      </c>
      <c r="F50" s="3429"/>
      <c r="G50" s="3429">
        <v>18580</v>
      </c>
      <c r="I50" s="1023"/>
      <c r="O50" s="3432" t="s">
        <v>2873</v>
      </c>
      <c r="R50" s="3432" t="s">
        <v>2980</v>
      </c>
    </row>
    <row r="51" spans="1:18" ht="14.25" customHeight="1">
      <c r="A51" s="3423" t="s">
        <v>1145</v>
      </c>
      <c r="B51" s="3423" t="s">
        <v>2822</v>
      </c>
      <c r="C51" s="3423">
        <v>23000</v>
      </c>
      <c r="D51" s="3423">
        <v>23460</v>
      </c>
      <c r="E51" s="3423">
        <v>25290</v>
      </c>
      <c r="F51" s="3429"/>
      <c r="G51" s="3429">
        <v>16420</v>
      </c>
      <c r="I51" s="1023"/>
      <c r="O51" s="3432" t="s">
        <v>2874</v>
      </c>
      <c r="R51" s="3432" t="s">
        <v>2981</v>
      </c>
    </row>
    <row r="52" spans="1:18" ht="14.25" customHeight="1">
      <c r="A52" s="3423" t="s">
        <v>1145</v>
      </c>
      <c r="B52" s="3423" t="s">
        <v>2823</v>
      </c>
      <c r="C52" s="3423">
        <v>26660</v>
      </c>
      <c r="D52" s="3423">
        <v>22350</v>
      </c>
      <c r="E52" s="3423">
        <v>22920</v>
      </c>
      <c r="F52" s="3429"/>
      <c r="G52" s="3429">
        <v>15640</v>
      </c>
      <c r="I52" s="1023"/>
      <c r="O52" s="3432" t="s">
        <v>2875</v>
      </c>
    </row>
    <row r="53" spans="1:18" ht="14.25" customHeight="1">
      <c r="A53" s="3423" t="s">
        <v>1145</v>
      </c>
      <c r="B53" s="3423" t="s">
        <v>2824</v>
      </c>
      <c r="C53" s="3423">
        <v>23580</v>
      </c>
      <c r="D53" s="3423"/>
      <c r="E53" s="3423">
        <v>24280</v>
      </c>
      <c r="F53" s="3429"/>
      <c r="G53" s="3429"/>
      <c r="I53" s="1023"/>
      <c r="O53" s="3432" t="s">
        <v>2876</v>
      </c>
    </row>
    <row r="54" spans="1:18" ht="14.25" customHeight="1" thickBot="1">
      <c r="A54" s="3438" t="s">
        <v>1145</v>
      </c>
      <c r="B54" s="3426" t="s">
        <v>2825</v>
      </c>
      <c r="C54" s="3426">
        <v>22460</v>
      </c>
      <c r="D54" s="3426"/>
      <c r="E54" s="3426"/>
      <c r="F54" s="3427"/>
      <c r="G54" s="3439"/>
      <c r="I54" s="1023"/>
      <c r="O54" s="3432" t="s">
        <v>2877</v>
      </c>
    </row>
    <row r="55" spans="1:18" ht="14.25" customHeight="1">
      <c r="A55" s="3437" t="s">
        <v>853</v>
      </c>
      <c r="B55" s="1288" t="s">
        <v>2826</v>
      </c>
      <c r="C55" s="1288">
        <v>21970</v>
      </c>
      <c r="D55" s="1288">
        <v>20370</v>
      </c>
      <c r="E55" s="1288">
        <v>20180</v>
      </c>
      <c r="F55" s="3424">
        <v>5730</v>
      </c>
      <c r="G55" s="3424">
        <v>13820</v>
      </c>
      <c r="I55" s="1023"/>
      <c r="O55" s="3432" t="s">
        <v>2878</v>
      </c>
    </row>
    <row r="56" spans="1:18" ht="14.25" customHeight="1">
      <c r="A56" s="3423" t="s">
        <v>853</v>
      </c>
      <c r="B56" s="3423" t="s">
        <v>975</v>
      </c>
      <c r="C56" s="3423">
        <v>20470</v>
      </c>
      <c r="D56" s="3423">
        <v>20700</v>
      </c>
      <c r="E56" s="3423">
        <v>20380</v>
      </c>
      <c r="F56" s="3429">
        <v>4760</v>
      </c>
      <c r="G56" s="3429">
        <v>14050</v>
      </c>
      <c r="I56" s="1023"/>
      <c r="O56" s="3432" t="s">
        <v>2879</v>
      </c>
    </row>
    <row r="57" spans="1:18" ht="14.25" customHeight="1">
      <c r="A57" s="3423" t="s">
        <v>853</v>
      </c>
      <c r="B57" s="3423" t="s">
        <v>985</v>
      </c>
      <c r="C57" s="3423">
        <v>20790</v>
      </c>
      <c r="D57" s="3423">
        <v>21370</v>
      </c>
      <c r="E57" s="3423">
        <v>20890</v>
      </c>
      <c r="F57" s="3429">
        <v>4910</v>
      </c>
      <c r="G57" s="3429">
        <v>14510</v>
      </c>
      <c r="I57" s="1023"/>
      <c r="O57" s="3432" t="s">
        <v>2880</v>
      </c>
    </row>
    <row r="58" spans="1:18" ht="14.25" customHeight="1">
      <c r="A58" s="3423" t="s">
        <v>853</v>
      </c>
      <c r="B58" s="3423" t="s">
        <v>994</v>
      </c>
      <c r="C58" s="3423">
        <v>21460</v>
      </c>
      <c r="D58" s="3423">
        <v>20920</v>
      </c>
      <c r="E58" s="3423">
        <v>23410</v>
      </c>
      <c r="F58" s="3429">
        <v>5100</v>
      </c>
      <c r="G58" s="3429">
        <v>14200</v>
      </c>
      <c r="I58" s="1023"/>
      <c r="O58" s="3432" t="s">
        <v>2881</v>
      </c>
    </row>
    <row r="59" spans="1:18" ht="14.25" customHeight="1">
      <c r="A59" s="3423" t="s">
        <v>853</v>
      </c>
      <c r="B59" s="3423" t="s">
        <v>1004</v>
      </c>
      <c r="C59" s="3423">
        <v>21000</v>
      </c>
      <c r="D59" s="3423">
        <v>21550</v>
      </c>
      <c r="E59" s="3423">
        <v>21150</v>
      </c>
      <c r="F59" s="3429">
        <v>5250</v>
      </c>
      <c r="G59" s="3429">
        <v>14630</v>
      </c>
      <c r="I59" s="1023"/>
      <c r="O59" s="3432" t="s">
        <v>2882</v>
      </c>
    </row>
    <row r="60" spans="1:18" ht="14.25" customHeight="1">
      <c r="A60" s="3423" t="s">
        <v>853</v>
      </c>
      <c r="B60" s="3423" t="s">
        <v>1011</v>
      </c>
      <c r="C60" s="3423">
        <v>21640</v>
      </c>
      <c r="D60" s="3423">
        <v>21260</v>
      </c>
      <c r="E60" s="3423">
        <v>24040</v>
      </c>
      <c r="F60" s="3429">
        <v>4470</v>
      </c>
      <c r="G60" s="3429">
        <v>14430</v>
      </c>
      <c r="I60" s="1023"/>
      <c r="O60" s="3432" t="s">
        <v>2883</v>
      </c>
    </row>
    <row r="61" spans="1:18" ht="14.25" customHeight="1">
      <c r="A61" s="3423" t="s">
        <v>853</v>
      </c>
      <c r="B61" s="3423" t="s">
        <v>1017</v>
      </c>
      <c r="C61" s="3423">
        <v>21330</v>
      </c>
      <c r="D61" s="3423">
        <v>18640</v>
      </c>
      <c r="E61" s="3423">
        <v>21190</v>
      </c>
      <c r="F61" s="3429">
        <v>4180</v>
      </c>
      <c r="G61" s="3431">
        <v>12650</v>
      </c>
      <c r="I61" s="1023"/>
      <c r="O61" s="3432" t="s">
        <v>2884</v>
      </c>
    </row>
    <row r="62" spans="1:18" ht="14.25" customHeight="1">
      <c r="A62" s="3423" t="s">
        <v>853</v>
      </c>
      <c r="B62" s="3423" t="s">
        <v>1024</v>
      </c>
      <c r="C62" s="3423">
        <v>18710</v>
      </c>
      <c r="D62" s="3423">
        <v>19400</v>
      </c>
      <c r="E62" s="3423">
        <v>23750</v>
      </c>
      <c r="F62" s="3429">
        <v>4860</v>
      </c>
      <c r="G62" s="3431">
        <v>13170</v>
      </c>
      <c r="I62" s="1023"/>
      <c r="O62" s="3432" t="s">
        <v>2885</v>
      </c>
    </row>
    <row r="63" spans="1:18" ht="14.25" customHeight="1">
      <c r="A63" s="3423" t="s">
        <v>853</v>
      </c>
      <c r="B63" s="3423" t="s">
        <v>1034</v>
      </c>
      <c r="C63" s="3423">
        <v>19480</v>
      </c>
      <c r="D63" s="3423">
        <v>16830</v>
      </c>
      <c r="E63" s="3423">
        <v>21590</v>
      </c>
      <c r="F63" s="3429">
        <v>4560</v>
      </c>
      <c r="G63" s="3431">
        <v>11420</v>
      </c>
      <c r="I63" s="1023"/>
      <c r="O63" s="3432" t="s">
        <v>2886</v>
      </c>
    </row>
    <row r="64" spans="1:18" ht="14.25" customHeight="1">
      <c r="A64" s="3423" t="s">
        <v>853</v>
      </c>
      <c r="B64" s="3423" t="s">
        <v>1043</v>
      </c>
      <c r="C64" s="3423">
        <v>16920</v>
      </c>
      <c r="D64" s="3423">
        <v>19190</v>
      </c>
      <c r="E64" s="3423">
        <v>22200</v>
      </c>
      <c r="F64" s="3429">
        <v>4390</v>
      </c>
      <c r="G64" s="3431">
        <v>13030</v>
      </c>
      <c r="I64" s="1023"/>
      <c r="O64" s="3432" t="s">
        <v>2887</v>
      </c>
    </row>
    <row r="65" spans="1:21" s="1010" customFormat="1" ht="14.25" customHeight="1">
      <c r="A65" s="3423" t="s">
        <v>853</v>
      </c>
      <c r="B65" s="3423" t="s">
        <v>1050</v>
      </c>
      <c r="C65" s="3423">
        <v>19290</v>
      </c>
      <c r="D65" s="3423">
        <v>17020</v>
      </c>
      <c r="E65" s="3423">
        <v>19880</v>
      </c>
      <c r="F65" s="3429">
        <v>4070</v>
      </c>
      <c r="G65" s="3429">
        <v>11550</v>
      </c>
      <c r="I65" s="1023"/>
      <c r="J65" s="3459"/>
      <c r="K65" s="3459"/>
      <c r="L65" s="3459"/>
      <c r="M65" s="3459"/>
      <c r="N65" s="3459"/>
      <c r="O65" s="3459"/>
      <c r="P65" s="3459"/>
      <c r="Q65" s="3459"/>
      <c r="R65" s="3459"/>
      <c r="S65" s="3459"/>
      <c r="T65" s="3459"/>
      <c r="U65" s="3459"/>
    </row>
    <row r="66" spans="1:21" s="1010" customFormat="1" ht="14.25" customHeight="1">
      <c r="A66" s="3423" t="s">
        <v>853</v>
      </c>
      <c r="B66" s="3423" t="s">
        <v>1057</v>
      </c>
      <c r="C66" s="3423">
        <v>17090</v>
      </c>
      <c r="D66" s="3423">
        <v>18340</v>
      </c>
      <c r="E66" s="3423">
        <v>21830</v>
      </c>
      <c r="F66" s="3429">
        <v>4690</v>
      </c>
      <c r="G66" s="3429">
        <v>12450</v>
      </c>
      <c r="I66" s="1023"/>
      <c r="J66" s="3459"/>
      <c r="K66" s="3459"/>
      <c r="L66" s="3459"/>
      <c r="M66" s="3459"/>
      <c r="N66" s="3459"/>
      <c r="O66" s="3459"/>
      <c r="P66" s="3459"/>
      <c r="Q66" s="3459"/>
      <c r="R66" s="3459"/>
      <c r="S66" s="3459"/>
      <c r="T66" s="3459"/>
      <c r="U66" s="3459"/>
    </row>
    <row r="67" spans="1:21" s="1010" customFormat="1" ht="14.25" customHeight="1">
      <c r="A67" s="3423" t="s">
        <v>853</v>
      </c>
      <c r="B67" s="3423" t="s">
        <v>1064</v>
      </c>
      <c r="C67" s="3423">
        <v>18420</v>
      </c>
      <c r="D67" s="3423">
        <v>16360</v>
      </c>
      <c r="E67" s="3423">
        <v>20020</v>
      </c>
      <c r="F67" s="3429">
        <v>5150</v>
      </c>
      <c r="G67" s="3429">
        <v>11110</v>
      </c>
      <c r="I67" s="1023"/>
      <c r="J67" s="3459"/>
      <c r="K67" s="3459"/>
      <c r="L67" s="3459"/>
      <c r="M67" s="3459"/>
      <c r="N67" s="3459"/>
      <c r="O67" s="3459"/>
      <c r="P67" s="3459"/>
      <c r="Q67" s="3459"/>
      <c r="R67" s="3459"/>
      <c r="S67" s="3459"/>
      <c r="T67" s="3459"/>
      <c r="U67" s="3459"/>
    </row>
    <row r="68" spans="1:21" s="1010" customFormat="1" ht="14.25" customHeight="1">
      <c r="A68" s="3423" t="s">
        <v>853</v>
      </c>
      <c r="B68" s="3423" t="s">
        <v>1072</v>
      </c>
      <c r="C68" s="3423">
        <v>16450</v>
      </c>
      <c r="D68" s="3423">
        <v>18430</v>
      </c>
      <c r="E68" s="3423">
        <v>21010</v>
      </c>
      <c r="F68" s="3429">
        <v>4720</v>
      </c>
      <c r="G68" s="3429">
        <v>12510</v>
      </c>
      <c r="I68" s="1023"/>
      <c r="J68" s="3459"/>
      <c r="K68" s="3459"/>
      <c r="L68" s="3459"/>
      <c r="M68" s="3459"/>
      <c r="N68" s="3459"/>
      <c r="O68" s="3459"/>
      <c r="P68" s="3459"/>
      <c r="Q68" s="3459"/>
      <c r="R68" s="3459"/>
      <c r="S68" s="3459"/>
      <c r="T68" s="3459"/>
      <c r="U68" s="3459"/>
    </row>
    <row r="69" spans="1:21" s="1010" customFormat="1" ht="14.25" customHeight="1">
      <c r="A69" s="3423" t="s">
        <v>853</v>
      </c>
      <c r="B69" s="3423" t="s">
        <v>1080</v>
      </c>
      <c r="C69" s="3423">
        <v>18510</v>
      </c>
      <c r="D69" s="3423">
        <v>16300</v>
      </c>
      <c r="E69" s="3423">
        <v>18830</v>
      </c>
      <c r="F69" s="3429">
        <v>5400</v>
      </c>
      <c r="G69" s="3429">
        <v>11070</v>
      </c>
      <c r="I69" s="1023"/>
      <c r="J69" s="3459"/>
      <c r="K69" s="3459"/>
      <c r="L69" s="3459"/>
      <c r="M69" s="3459"/>
      <c r="N69" s="3459"/>
      <c r="O69" s="3459"/>
      <c r="P69" s="3459"/>
      <c r="Q69" s="3459"/>
      <c r="R69" s="3459"/>
      <c r="S69" s="3459"/>
      <c r="T69" s="3459"/>
      <c r="U69" s="3459"/>
    </row>
    <row r="70" spans="1:21" s="1010" customFormat="1" ht="14.25" customHeight="1">
      <c r="A70" s="3423" t="s">
        <v>853</v>
      </c>
      <c r="B70" s="3423" t="s">
        <v>1085</v>
      </c>
      <c r="C70" s="3423">
        <v>16370</v>
      </c>
      <c r="D70" s="3423">
        <v>18620</v>
      </c>
      <c r="E70" s="3423">
        <v>21100</v>
      </c>
      <c r="F70" s="3429">
        <v>5700</v>
      </c>
      <c r="G70" s="3429">
        <v>12640</v>
      </c>
      <c r="I70" s="1023"/>
      <c r="J70" s="3459"/>
      <c r="K70" s="3459"/>
      <c r="L70" s="3459"/>
      <c r="M70" s="3459"/>
      <c r="N70" s="3459"/>
      <c r="O70" s="3459"/>
      <c r="P70" s="3459"/>
      <c r="Q70" s="3459"/>
      <c r="R70" s="3459"/>
      <c r="S70" s="3459"/>
      <c r="T70" s="3459"/>
      <c r="U70" s="3459"/>
    </row>
    <row r="71" spans="1:21" s="1010" customFormat="1" ht="14.25" customHeight="1">
      <c r="A71" s="3423" t="s">
        <v>853</v>
      </c>
      <c r="B71" s="3423" t="s">
        <v>1094</v>
      </c>
      <c r="C71" s="3423">
        <v>18700</v>
      </c>
      <c r="D71" s="3423">
        <v>16290</v>
      </c>
      <c r="E71" s="3423">
        <v>18760</v>
      </c>
      <c r="F71" s="3429">
        <v>4780</v>
      </c>
      <c r="G71" s="3429">
        <v>11050</v>
      </c>
      <c r="I71" s="1023"/>
      <c r="J71" s="3459"/>
      <c r="K71" s="3459"/>
      <c r="L71" s="3459"/>
      <c r="M71" s="3459"/>
      <c r="N71" s="3459"/>
      <c r="O71" s="3459"/>
      <c r="P71" s="3459"/>
      <c r="Q71" s="3459"/>
      <c r="R71" s="3459"/>
      <c r="S71" s="3459"/>
      <c r="T71" s="3459"/>
      <c r="U71" s="3459"/>
    </row>
    <row r="72" spans="1:21" s="1010" customFormat="1" ht="14.25" customHeight="1">
      <c r="A72" s="3423" t="s">
        <v>853</v>
      </c>
      <c r="B72" s="3423" t="s">
        <v>1101</v>
      </c>
      <c r="C72" s="3423">
        <v>16340</v>
      </c>
      <c r="D72" s="3423">
        <v>17520</v>
      </c>
      <c r="E72" s="3423">
        <v>21170</v>
      </c>
      <c r="F72" s="3429"/>
      <c r="G72" s="3429">
        <v>11900</v>
      </c>
      <c r="I72" s="1023"/>
      <c r="J72" s="3459"/>
      <c r="K72" s="3459"/>
      <c r="L72" s="3459"/>
      <c r="M72" s="3459"/>
      <c r="N72" s="3459"/>
      <c r="O72" s="3459"/>
      <c r="P72" s="3459"/>
      <c r="Q72" s="3459"/>
      <c r="R72" s="3459"/>
      <c r="S72" s="3459"/>
      <c r="T72" s="3459"/>
      <c r="U72" s="3459"/>
    </row>
    <row r="73" spans="1:21" s="1010" customFormat="1" ht="14.25" customHeight="1">
      <c r="A73" s="3423" t="s">
        <v>853</v>
      </c>
      <c r="B73" s="3423" t="s">
        <v>1109</v>
      </c>
      <c r="C73" s="3423">
        <v>17610</v>
      </c>
      <c r="D73" s="3423">
        <v>18520</v>
      </c>
      <c r="E73" s="3423">
        <v>18720</v>
      </c>
      <c r="F73" s="3429"/>
      <c r="G73" s="3429">
        <v>12570</v>
      </c>
      <c r="I73" s="1023"/>
      <c r="J73" s="3459"/>
      <c r="K73" s="3459"/>
      <c r="L73" s="3459"/>
      <c r="M73" s="3459"/>
      <c r="N73" s="3459"/>
      <c r="O73" s="3459"/>
      <c r="P73" s="3459"/>
      <c r="Q73" s="3459"/>
      <c r="R73" s="3459"/>
      <c r="S73" s="3459"/>
      <c r="T73" s="3459"/>
      <c r="U73" s="3459"/>
    </row>
    <row r="74" spans="1:21" s="1010" customFormat="1" ht="14.25" customHeight="1">
      <c r="A74" s="3423" t="s">
        <v>853</v>
      </c>
      <c r="B74" s="3423" t="s">
        <v>1116</v>
      </c>
      <c r="C74" s="3423">
        <v>18600</v>
      </c>
      <c r="D74" s="3423">
        <v>16480</v>
      </c>
      <c r="E74" s="3423">
        <v>20100</v>
      </c>
      <c r="F74" s="3429"/>
      <c r="G74" s="3429">
        <v>11190</v>
      </c>
      <c r="I74" s="1023"/>
      <c r="J74" s="3459"/>
      <c r="K74" s="3459"/>
      <c r="L74" s="3459"/>
      <c r="M74" s="3459"/>
      <c r="N74" s="3459"/>
      <c r="O74" s="3459"/>
      <c r="P74" s="3459"/>
      <c r="Q74" s="3459"/>
      <c r="R74" s="3459"/>
      <c r="S74" s="3459"/>
      <c r="T74" s="3459"/>
      <c r="U74" s="3459"/>
    </row>
    <row r="75" spans="1:21" s="1010" customFormat="1" ht="14.25" customHeight="1">
      <c r="A75" s="3423" t="s">
        <v>853</v>
      </c>
      <c r="B75" s="3423" t="s">
        <v>1120</v>
      </c>
      <c r="C75" s="3423">
        <v>16570</v>
      </c>
      <c r="D75" s="3423">
        <v>17530</v>
      </c>
      <c r="E75" s="3423">
        <v>21030</v>
      </c>
      <c r="F75" s="3429"/>
      <c r="G75" s="3436">
        <v>11900</v>
      </c>
      <c r="I75" s="1023"/>
      <c r="J75" s="3459"/>
      <c r="K75" s="3459"/>
      <c r="L75" s="3459"/>
      <c r="M75" s="3459"/>
      <c r="N75" s="3459"/>
      <c r="O75" s="3459"/>
      <c r="P75" s="3459"/>
      <c r="Q75" s="3459"/>
      <c r="R75" s="3459"/>
      <c r="S75" s="3459"/>
      <c r="T75" s="3459"/>
      <c r="U75" s="3459"/>
    </row>
    <row r="76" spans="1:21" s="1010" customFormat="1" ht="14.25" customHeight="1">
      <c r="A76" s="3423" t="s">
        <v>853</v>
      </c>
      <c r="B76" s="1288" t="s">
        <v>1127</v>
      </c>
      <c r="C76" s="1288">
        <v>17610</v>
      </c>
      <c r="D76" s="1288">
        <v>20800</v>
      </c>
      <c r="E76" s="1288">
        <v>18920</v>
      </c>
      <c r="F76" s="3424"/>
      <c r="G76" s="3424">
        <v>14120</v>
      </c>
      <c r="I76" s="1023"/>
      <c r="J76" s="3459"/>
      <c r="K76" s="3459"/>
      <c r="L76" s="3459"/>
      <c r="M76" s="3459"/>
      <c r="N76" s="3459"/>
      <c r="O76" s="3459"/>
      <c r="P76" s="3459"/>
      <c r="Q76" s="3459"/>
      <c r="R76" s="3459"/>
      <c r="S76" s="3459"/>
      <c r="T76" s="3459"/>
      <c r="U76" s="3459"/>
    </row>
    <row r="77" spans="1:21" s="1010" customFormat="1" ht="14.25" customHeight="1">
      <c r="A77" s="3423" t="s">
        <v>853</v>
      </c>
      <c r="B77" s="3423" t="s">
        <v>1130</v>
      </c>
      <c r="C77" s="3423">
        <v>20890</v>
      </c>
      <c r="D77" s="3423">
        <v>19740</v>
      </c>
      <c r="E77" s="3423">
        <v>20110</v>
      </c>
      <c r="F77" s="3429"/>
      <c r="G77" s="3429">
        <v>13400</v>
      </c>
      <c r="I77" s="1023"/>
      <c r="J77" s="3459"/>
      <c r="K77" s="3459"/>
      <c r="L77" s="3459"/>
      <c r="M77" s="3459"/>
      <c r="N77" s="3459"/>
      <c r="O77" s="3459"/>
      <c r="P77" s="3459"/>
      <c r="Q77" s="3459"/>
      <c r="R77" s="3459"/>
      <c r="S77" s="3459"/>
      <c r="T77" s="3459"/>
      <c r="U77" s="3459"/>
    </row>
    <row r="78" spans="1:21" s="1010" customFormat="1" ht="14.25" customHeight="1">
      <c r="A78" s="3423" t="s">
        <v>853</v>
      </c>
      <c r="B78" s="3423" t="s">
        <v>2827</v>
      </c>
      <c r="C78" s="3423">
        <v>19820</v>
      </c>
      <c r="D78" s="3423">
        <v>19780</v>
      </c>
      <c r="E78" s="3423">
        <v>18560</v>
      </c>
      <c r="F78" s="3429"/>
      <c r="G78" s="3429">
        <v>13430</v>
      </c>
      <c r="I78" s="1023"/>
      <c r="J78" s="3459"/>
      <c r="K78" s="3459"/>
      <c r="L78" s="3459"/>
      <c r="M78" s="3459"/>
      <c r="N78" s="3459"/>
      <c r="O78" s="3459"/>
      <c r="P78" s="3459"/>
      <c r="Q78" s="3459"/>
      <c r="R78" s="3459"/>
      <c r="S78" s="3459"/>
      <c r="T78" s="3459"/>
      <c r="U78" s="3459"/>
    </row>
    <row r="79" spans="1:21" s="1010" customFormat="1" ht="14.25" customHeight="1">
      <c r="A79" s="3423" t="s">
        <v>853</v>
      </c>
      <c r="B79" s="3423" t="s">
        <v>2828</v>
      </c>
      <c r="C79" s="3423">
        <v>21660</v>
      </c>
      <c r="D79" s="3423">
        <v>18000</v>
      </c>
      <c r="E79" s="3423">
        <v>22570</v>
      </c>
      <c r="F79" s="3429"/>
      <c r="G79" s="3429">
        <v>12220</v>
      </c>
      <c r="I79" s="1023"/>
      <c r="J79" s="3459"/>
      <c r="K79" s="3459"/>
      <c r="L79" s="3459"/>
      <c r="M79" s="3459"/>
      <c r="N79" s="3459"/>
      <c r="O79" s="3459"/>
      <c r="P79" s="3459"/>
      <c r="Q79" s="3459"/>
      <c r="R79" s="3459"/>
      <c r="S79" s="3459"/>
      <c r="T79" s="3459"/>
      <c r="U79" s="3459"/>
    </row>
    <row r="80" spans="1:21" s="1010" customFormat="1" ht="14.25" customHeight="1">
      <c r="A80" s="3423" t="s">
        <v>853</v>
      </c>
      <c r="B80" s="3423" t="s">
        <v>2829</v>
      </c>
      <c r="C80" s="3423">
        <v>19850</v>
      </c>
      <c r="D80" s="3423"/>
      <c r="E80" s="3423">
        <v>21700</v>
      </c>
      <c r="F80" s="3429"/>
      <c r="G80" s="3429"/>
      <c r="I80" s="1023"/>
      <c r="J80" s="3459"/>
      <c r="K80" s="3459"/>
      <c r="L80" s="3459"/>
      <c r="M80" s="3459"/>
      <c r="N80" s="3459"/>
      <c r="O80" s="3459"/>
      <c r="P80" s="3459"/>
      <c r="Q80" s="3459"/>
      <c r="R80" s="3459"/>
      <c r="S80" s="3459"/>
      <c r="T80" s="3459"/>
      <c r="U80" s="3459"/>
    </row>
    <row r="81" spans="1:21" s="1010" customFormat="1" ht="14.25" customHeight="1">
      <c r="A81" s="3423" t="s">
        <v>853</v>
      </c>
      <c r="B81" s="3423" t="s">
        <v>2830</v>
      </c>
      <c r="C81" s="3423">
        <v>18080</v>
      </c>
      <c r="D81" s="3423"/>
      <c r="E81" s="3423">
        <v>20900</v>
      </c>
      <c r="F81" s="3429"/>
      <c r="G81" s="3429"/>
      <c r="I81" s="1023"/>
      <c r="J81" s="3459"/>
      <c r="K81" s="3459"/>
      <c r="L81" s="3459"/>
      <c r="M81" s="3459"/>
      <c r="N81" s="3459"/>
      <c r="O81" s="3459"/>
      <c r="P81" s="3459"/>
      <c r="Q81" s="3459"/>
      <c r="R81" s="3459"/>
      <c r="S81" s="3459"/>
      <c r="T81" s="3459"/>
      <c r="U81" s="3459"/>
    </row>
    <row r="82" spans="1:21" s="1010" customFormat="1" ht="14.25" customHeight="1">
      <c r="A82" s="3423" t="s">
        <v>853</v>
      </c>
      <c r="B82" s="3423" t="s">
        <v>2831</v>
      </c>
      <c r="C82" s="3423"/>
      <c r="D82" s="3423"/>
      <c r="E82" s="3423">
        <v>20840</v>
      </c>
      <c r="F82" s="3429"/>
      <c r="G82" s="3429"/>
      <c r="I82" s="1023"/>
      <c r="J82" s="3459"/>
      <c r="K82" s="3459"/>
      <c r="L82" s="3459"/>
      <c r="M82" s="3459"/>
      <c r="N82" s="3459"/>
      <c r="O82" s="3459"/>
      <c r="P82" s="3459"/>
      <c r="Q82" s="3459"/>
      <c r="R82" s="3459"/>
      <c r="S82" s="3459"/>
      <c r="T82" s="3459"/>
      <c r="U82" s="3459"/>
    </row>
    <row r="83" spans="1:21" s="1010" customFormat="1" ht="14.25" customHeight="1">
      <c r="A83" s="3423" t="s">
        <v>853</v>
      </c>
      <c r="B83" s="3423" t="s">
        <v>2832</v>
      </c>
      <c r="C83" s="3423"/>
      <c r="D83" s="3423"/>
      <c r="E83" s="3423"/>
      <c r="F83" s="3429">
        <v>4770</v>
      </c>
      <c r="G83" s="3429"/>
      <c r="I83" s="1023"/>
      <c r="J83" s="3459"/>
      <c r="K83" s="3459"/>
      <c r="L83" s="3459"/>
      <c r="M83" s="3459"/>
      <c r="N83" s="3459"/>
      <c r="O83" s="3459"/>
      <c r="P83" s="3459"/>
      <c r="Q83" s="3459"/>
      <c r="R83" s="3459"/>
      <c r="S83" s="3459"/>
      <c r="T83" s="3459"/>
      <c r="U83" s="3459"/>
    </row>
    <row r="84" spans="1:21" s="1010" customFormat="1" ht="14.25" customHeight="1">
      <c r="A84" s="3423" t="s">
        <v>853</v>
      </c>
      <c r="B84" s="3423" t="s">
        <v>2833</v>
      </c>
      <c r="C84" s="3423"/>
      <c r="D84" s="3423"/>
      <c r="E84" s="3423"/>
      <c r="F84" s="3429">
        <v>4600</v>
      </c>
      <c r="G84" s="3429"/>
      <c r="I84" s="1023"/>
      <c r="J84" s="3459"/>
      <c r="K84" s="3459"/>
      <c r="L84" s="3459"/>
      <c r="M84" s="3459"/>
      <c r="N84" s="3459"/>
      <c r="O84" s="3459"/>
      <c r="P84" s="3459"/>
      <c r="Q84" s="3459"/>
      <c r="R84" s="3459"/>
      <c r="S84" s="3459"/>
      <c r="T84" s="3459"/>
      <c r="U84" s="3459"/>
    </row>
    <row r="85" spans="1:21" s="1010" customFormat="1" ht="14.25" customHeight="1">
      <c r="A85" s="3423" t="s">
        <v>853</v>
      </c>
      <c r="B85" s="1286" t="s">
        <v>2834</v>
      </c>
      <c r="C85" s="1286"/>
      <c r="D85" s="1286"/>
      <c r="E85" s="1286"/>
      <c r="F85" s="3434">
        <v>4680</v>
      </c>
      <c r="G85" s="3434"/>
      <c r="I85" s="1023"/>
      <c r="J85" s="3459"/>
      <c r="K85" s="3459"/>
      <c r="L85" s="3459"/>
      <c r="M85" s="3459"/>
      <c r="N85" s="3459"/>
      <c r="O85" s="3459"/>
      <c r="P85" s="3459"/>
      <c r="Q85" s="3459"/>
      <c r="R85" s="3459"/>
      <c r="S85" s="3459"/>
      <c r="T85" s="3459"/>
      <c r="U85" s="3459"/>
    </row>
    <row r="86" spans="1:21" s="1010" customFormat="1" ht="14.25" customHeight="1" thickBot="1">
      <c r="A86" s="3438" t="s">
        <v>853</v>
      </c>
      <c r="B86" s="3426" t="s">
        <v>2835</v>
      </c>
      <c r="C86" s="3426">
        <v>16610</v>
      </c>
      <c r="D86" s="3426">
        <v>16540</v>
      </c>
      <c r="E86" s="3426">
        <v>18850</v>
      </c>
      <c r="F86" s="3427"/>
      <c r="G86" s="3439">
        <v>11220</v>
      </c>
      <c r="I86" s="1023"/>
      <c r="J86" s="3459"/>
      <c r="K86" s="3459"/>
      <c r="L86" s="3459"/>
      <c r="M86" s="3459"/>
      <c r="N86" s="3459"/>
      <c r="O86" s="3459"/>
      <c r="P86" s="3459"/>
      <c r="Q86" s="3459"/>
      <c r="R86" s="3459"/>
      <c r="S86" s="3459"/>
      <c r="T86" s="3459"/>
      <c r="U86" s="3459"/>
    </row>
    <row r="87" spans="1:21" s="1010" customFormat="1" ht="14.25" customHeight="1">
      <c r="A87" s="3437" t="s">
        <v>1152</v>
      </c>
      <c r="B87" s="1288" t="s">
        <v>2836</v>
      </c>
      <c r="C87" s="1288">
        <v>15240</v>
      </c>
      <c r="D87" s="1288">
        <v>15170</v>
      </c>
      <c r="E87" s="1288">
        <v>18260</v>
      </c>
      <c r="F87" s="3424">
        <v>3830</v>
      </c>
      <c r="G87" s="3440">
        <v>10020</v>
      </c>
      <c r="I87" s="1023"/>
      <c r="J87" s="3459"/>
      <c r="K87" s="3459"/>
      <c r="L87" s="3459"/>
      <c r="M87" s="3459"/>
      <c r="N87" s="3459"/>
      <c r="O87" s="3459"/>
      <c r="P87" s="3459"/>
      <c r="Q87" s="3459"/>
      <c r="R87" s="3459"/>
      <c r="S87" s="3459"/>
      <c r="T87" s="3459"/>
      <c r="U87" s="3459"/>
    </row>
    <row r="88" spans="1:21" s="1010" customFormat="1" ht="14.25" customHeight="1">
      <c r="A88" s="3423" t="s">
        <v>1152</v>
      </c>
      <c r="B88" s="3423" t="s">
        <v>976</v>
      </c>
      <c r="C88" s="3423">
        <v>17310</v>
      </c>
      <c r="D88" s="3423">
        <v>17220</v>
      </c>
      <c r="E88" s="3423">
        <v>18610</v>
      </c>
      <c r="F88" s="3429">
        <v>3990</v>
      </c>
      <c r="G88" s="3431">
        <v>11380</v>
      </c>
      <c r="I88" s="1023"/>
      <c r="J88" s="3459"/>
      <c r="K88" s="3459"/>
      <c r="L88" s="3459"/>
      <c r="M88" s="3459"/>
      <c r="N88" s="3459"/>
      <c r="O88" s="3459"/>
      <c r="P88" s="3459"/>
      <c r="Q88" s="3459"/>
      <c r="R88" s="3459"/>
      <c r="S88" s="3459"/>
      <c r="T88" s="3459"/>
      <c r="U88" s="3459"/>
    </row>
    <row r="89" spans="1:21" s="1010" customFormat="1" ht="14.25" customHeight="1">
      <c r="A89" s="3423" t="s">
        <v>1152</v>
      </c>
      <c r="B89" s="3423" t="s">
        <v>986</v>
      </c>
      <c r="C89" s="3423">
        <v>15600</v>
      </c>
      <c r="D89" s="3423">
        <v>15550</v>
      </c>
      <c r="E89" s="3423">
        <v>19200</v>
      </c>
      <c r="F89" s="3429">
        <v>4110</v>
      </c>
      <c r="G89" s="3431">
        <v>10270</v>
      </c>
      <c r="I89" s="1023"/>
      <c r="J89" s="3459"/>
      <c r="K89" s="3459"/>
      <c r="L89" s="3459"/>
      <c r="M89" s="3459"/>
      <c r="N89" s="3459"/>
      <c r="O89" s="3459"/>
      <c r="P89" s="3459"/>
      <c r="Q89" s="3459"/>
      <c r="R89" s="3459"/>
      <c r="S89" s="3459"/>
      <c r="T89" s="3459"/>
      <c r="U89" s="3459"/>
    </row>
    <row r="90" spans="1:21" s="1010" customFormat="1" ht="14.25" customHeight="1">
      <c r="A90" s="3423" t="s">
        <v>1152</v>
      </c>
      <c r="B90" s="3423" t="s">
        <v>995</v>
      </c>
      <c r="C90" s="3423">
        <v>17330</v>
      </c>
      <c r="D90" s="3423">
        <v>17240</v>
      </c>
      <c r="E90" s="3423">
        <v>18570</v>
      </c>
      <c r="F90" s="3429">
        <v>4070</v>
      </c>
      <c r="G90" s="3431">
        <v>11390</v>
      </c>
      <c r="I90" s="1023"/>
      <c r="J90" s="3459"/>
      <c r="K90" s="3459"/>
      <c r="L90" s="3459"/>
      <c r="M90" s="3459"/>
      <c r="N90" s="3459"/>
      <c r="O90" s="3459"/>
      <c r="P90" s="3459"/>
      <c r="Q90" s="3459"/>
      <c r="R90" s="3459"/>
      <c r="S90" s="3459"/>
      <c r="T90" s="3459"/>
      <c r="U90" s="3459"/>
    </row>
    <row r="91" spans="1:21" s="1010" customFormat="1" ht="14.25" customHeight="1">
      <c r="A91" s="3423" t="s">
        <v>1152</v>
      </c>
      <c r="B91" s="3423" t="s">
        <v>1005</v>
      </c>
      <c r="C91" s="3423">
        <v>16330</v>
      </c>
      <c r="D91" s="3423">
        <v>16260</v>
      </c>
      <c r="E91" s="3423">
        <v>16800</v>
      </c>
      <c r="F91" s="3429">
        <v>3410</v>
      </c>
      <c r="G91" s="3431">
        <v>10740</v>
      </c>
      <c r="I91" s="1023"/>
      <c r="J91" s="3459"/>
      <c r="K91" s="3459"/>
      <c r="L91" s="3459"/>
      <c r="M91" s="3459"/>
      <c r="N91" s="3459"/>
      <c r="O91" s="3459"/>
      <c r="P91" s="3459"/>
      <c r="Q91" s="3459"/>
      <c r="R91" s="3459"/>
      <c r="S91" s="3459"/>
      <c r="T91" s="3459"/>
      <c r="U91" s="3459"/>
    </row>
    <row r="92" spans="1:21" s="1010" customFormat="1" ht="14.25" customHeight="1">
      <c r="A92" s="3423" t="s">
        <v>1152</v>
      </c>
      <c r="B92" s="3423" t="s">
        <v>1012</v>
      </c>
      <c r="C92" s="3423">
        <v>15570</v>
      </c>
      <c r="D92" s="3423">
        <v>15500</v>
      </c>
      <c r="E92" s="3423">
        <v>17360</v>
      </c>
      <c r="F92" s="3429">
        <v>3510</v>
      </c>
      <c r="G92" s="3431">
        <v>10240</v>
      </c>
      <c r="I92" s="1023"/>
      <c r="J92" s="3459"/>
      <c r="K92" s="3459"/>
      <c r="L92" s="3459"/>
      <c r="M92" s="3459"/>
      <c r="N92" s="3459"/>
      <c r="O92" s="3459"/>
      <c r="P92" s="3459"/>
      <c r="Q92" s="3459"/>
      <c r="R92" s="3459"/>
      <c r="S92" s="3459"/>
      <c r="T92" s="3459"/>
      <c r="U92" s="3459"/>
    </row>
    <row r="93" spans="1:21" s="1010" customFormat="1" ht="14.25" customHeight="1">
      <c r="A93" s="3423" t="s">
        <v>1152</v>
      </c>
      <c r="B93" s="3423" t="s">
        <v>1018</v>
      </c>
      <c r="C93" s="3423">
        <v>14000</v>
      </c>
      <c r="D93" s="3423">
        <v>13930</v>
      </c>
      <c r="E93" s="3423">
        <v>18200</v>
      </c>
      <c r="F93" s="3429">
        <v>3640</v>
      </c>
      <c r="G93" s="3431">
        <v>9210</v>
      </c>
      <c r="I93" s="1023"/>
      <c r="J93" s="3459"/>
      <c r="K93" s="3459"/>
      <c r="L93" s="3459"/>
      <c r="M93" s="3459"/>
      <c r="N93" s="3459"/>
      <c r="O93" s="3459"/>
      <c r="P93" s="3459"/>
      <c r="Q93" s="3459"/>
      <c r="R93" s="3459"/>
      <c r="S93" s="3459"/>
      <c r="T93" s="3459"/>
      <c r="U93" s="3459"/>
    </row>
    <row r="94" spans="1:21" s="1010" customFormat="1" ht="14.25" customHeight="1">
      <c r="A94" s="3423" t="s">
        <v>1152</v>
      </c>
      <c r="B94" s="3423" t="s">
        <v>1025</v>
      </c>
      <c r="C94" s="3423">
        <v>14530</v>
      </c>
      <c r="D94" s="3423">
        <v>14470</v>
      </c>
      <c r="E94" s="3423">
        <v>18240</v>
      </c>
      <c r="F94" s="3429">
        <v>3180</v>
      </c>
      <c r="G94" s="3431">
        <v>9560</v>
      </c>
      <c r="I94" s="1023"/>
      <c r="J94" s="3459"/>
      <c r="K94" s="3459"/>
      <c r="L94" s="3459"/>
      <c r="M94" s="3459"/>
      <c r="N94" s="3459"/>
      <c r="O94" s="3459"/>
      <c r="P94" s="3459"/>
      <c r="Q94" s="3459"/>
      <c r="R94" s="3459"/>
      <c r="S94" s="3459"/>
      <c r="T94" s="3459"/>
      <c r="U94" s="3459"/>
    </row>
    <row r="95" spans="1:21" s="1010" customFormat="1" ht="14.25" customHeight="1">
      <c r="A95" s="3423" t="s">
        <v>1152</v>
      </c>
      <c r="B95" s="3423" t="s">
        <v>1035</v>
      </c>
      <c r="C95" s="3423">
        <v>17330</v>
      </c>
      <c r="D95" s="3423">
        <v>17260</v>
      </c>
      <c r="E95" s="3423">
        <v>18420</v>
      </c>
      <c r="F95" s="3429">
        <v>3060</v>
      </c>
      <c r="G95" s="3429">
        <v>11410</v>
      </c>
      <c r="I95" s="1023"/>
      <c r="J95" s="3459"/>
      <c r="K95" s="3459"/>
      <c r="L95" s="3459"/>
      <c r="M95" s="3459"/>
      <c r="N95" s="3459"/>
      <c r="O95" s="3459"/>
      <c r="P95" s="3459"/>
      <c r="Q95" s="3459"/>
      <c r="R95" s="3459"/>
      <c r="S95" s="3459"/>
      <c r="T95" s="3459"/>
      <c r="U95" s="3459"/>
    </row>
    <row r="96" spans="1:21" s="1010" customFormat="1" ht="14.25" customHeight="1">
      <c r="A96" s="3423" t="s">
        <v>1152</v>
      </c>
      <c r="B96" s="3423" t="s">
        <v>1044</v>
      </c>
      <c r="C96" s="3423">
        <v>15030</v>
      </c>
      <c r="D96" s="3423">
        <v>14970</v>
      </c>
      <c r="E96" s="3423">
        <v>17580</v>
      </c>
      <c r="F96" s="3429">
        <v>2970</v>
      </c>
      <c r="G96" s="3429">
        <v>9890</v>
      </c>
      <c r="I96" s="1023"/>
      <c r="J96" s="3459"/>
      <c r="K96" s="3459"/>
      <c r="L96" s="3459"/>
      <c r="M96" s="3459"/>
      <c r="N96" s="3459"/>
      <c r="O96" s="3459"/>
      <c r="P96" s="3459"/>
      <c r="Q96" s="3459"/>
      <c r="R96" s="3459"/>
      <c r="S96" s="3459"/>
      <c r="T96" s="3459"/>
      <c r="U96" s="3459"/>
    </row>
    <row r="97" spans="1:21" s="1010" customFormat="1" ht="14.25" customHeight="1">
      <c r="A97" s="3423" t="s">
        <v>1152</v>
      </c>
      <c r="B97" s="3423" t="s">
        <v>1051</v>
      </c>
      <c r="C97" s="3423">
        <v>17400</v>
      </c>
      <c r="D97" s="3423">
        <v>17330</v>
      </c>
      <c r="E97" s="3423">
        <v>16430</v>
      </c>
      <c r="F97" s="3429">
        <v>2950</v>
      </c>
      <c r="G97" s="3429">
        <v>11450</v>
      </c>
      <c r="I97" s="1023"/>
      <c r="J97" s="3459"/>
      <c r="K97" s="3459"/>
      <c r="L97" s="3459"/>
      <c r="M97" s="3459"/>
      <c r="N97" s="3459"/>
      <c r="O97" s="3459"/>
      <c r="P97" s="3459"/>
      <c r="Q97" s="3459"/>
      <c r="R97" s="3459"/>
      <c r="S97" s="3459"/>
      <c r="T97" s="3459"/>
      <c r="U97" s="3459"/>
    </row>
    <row r="98" spans="1:21" s="1010" customFormat="1" ht="14.25" customHeight="1">
      <c r="A98" s="3423" t="s">
        <v>1152</v>
      </c>
      <c r="B98" s="3423" t="s">
        <v>1058</v>
      </c>
      <c r="C98" s="3423">
        <v>15200</v>
      </c>
      <c r="D98" s="3423">
        <v>15120</v>
      </c>
      <c r="E98" s="3423">
        <v>17550</v>
      </c>
      <c r="F98" s="3429">
        <v>3080</v>
      </c>
      <c r="G98" s="3429">
        <v>9990</v>
      </c>
      <c r="I98" s="1023"/>
      <c r="J98" s="3459"/>
      <c r="K98" s="3459"/>
      <c r="L98" s="3459"/>
      <c r="M98" s="3459"/>
      <c r="N98" s="3459"/>
      <c r="O98" s="3459"/>
      <c r="P98" s="3459"/>
      <c r="Q98" s="3459"/>
      <c r="R98" s="3459"/>
      <c r="S98" s="3459"/>
      <c r="T98" s="3459"/>
      <c r="U98" s="3459"/>
    </row>
    <row r="99" spans="1:21" s="1010" customFormat="1" ht="14.25" customHeight="1">
      <c r="A99" s="3423" t="s">
        <v>1152</v>
      </c>
      <c r="B99" s="3423" t="s">
        <v>1065</v>
      </c>
      <c r="C99" s="3423">
        <v>17520</v>
      </c>
      <c r="D99" s="3423">
        <v>17430</v>
      </c>
      <c r="E99" s="3423">
        <v>16350</v>
      </c>
      <c r="F99" s="3429">
        <v>3260</v>
      </c>
      <c r="G99" s="3429">
        <v>11510</v>
      </c>
      <c r="I99" s="1023"/>
      <c r="J99" s="3459"/>
      <c r="K99" s="3459"/>
      <c r="L99" s="3459"/>
      <c r="M99" s="3459"/>
      <c r="N99" s="3459"/>
      <c r="O99" s="3459"/>
      <c r="P99" s="3459"/>
      <c r="Q99" s="3459"/>
      <c r="R99" s="3459"/>
      <c r="S99" s="3459"/>
      <c r="T99" s="3459"/>
      <c r="U99" s="3459"/>
    </row>
    <row r="100" spans="1:21" s="1010" customFormat="1" ht="14.25" customHeight="1">
      <c r="A100" s="3423" t="s">
        <v>1152</v>
      </c>
      <c r="B100" s="3423" t="s">
        <v>1073</v>
      </c>
      <c r="C100" s="3423">
        <v>15340</v>
      </c>
      <c r="D100" s="3423">
        <v>15260</v>
      </c>
      <c r="E100" s="3423">
        <v>15930</v>
      </c>
      <c r="F100" s="3429">
        <v>2740</v>
      </c>
      <c r="G100" s="3429">
        <v>10080</v>
      </c>
      <c r="I100" s="1023"/>
      <c r="J100" s="3459"/>
      <c r="K100" s="3459"/>
      <c r="L100" s="3459"/>
      <c r="M100" s="3459"/>
      <c r="N100" s="3459"/>
      <c r="O100" s="3459"/>
      <c r="P100" s="3459"/>
      <c r="Q100" s="3459"/>
      <c r="R100" s="3459"/>
      <c r="S100" s="3459"/>
      <c r="T100" s="3459"/>
      <c r="U100" s="3459"/>
    </row>
    <row r="101" spans="1:21" s="1010" customFormat="1" ht="14.25" customHeight="1">
      <c r="A101" s="3423" t="s">
        <v>1152</v>
      </c>
      <c r="B101" s="3423" t="s">
        <v>1081</v>
      </c>
      <c r="C101" s="3423">
        <v>14620</v>
      </c>
      <c r="D101" s="3423">
        <v>14560</v>
      </c>
      <c r="E101" s="3423">
        <v>15570</v>
      </c>
      <c r="F101" s="3429">
        <v>3500</v>
      </c>
      <c r="G101" s="3429">
        <v>9630</v>
      </c>
      <c r="I101" s="1023"/>
      <c r="J101" s="3459"/>
      <c r="K101" s="3459"/>
      <c r="L101" s="3459"/>
      <c r="M101" s="3459"/>
      <c r="N101" s="3459"/>
      <c r="O101" s="3459"/>
      <c r="P101" s="3459"/>
      <c r="Q101" s="3459"/>
      <c r="R101" s="3459"/>
      <c r="S101" s="3459"/>
      <c r="T101" s="3459"/>
      <c r="U101" s="3459"/>
    </row>
    <row r="102" spans="1:21" s="1010" customFormat="1" ht="14.25" customHeight="1">
      <c r="A102" s="3423" t="s">
        <v>1152</v>
      </c>
      <c r="B102" s="3423" t="s">
        <v>1086</v>
      </c>
      <c r="C102" s="3423">
        <v>13680</v>
      </c>
      <c r="D102" s="3423">
        <v>13610</v>
      </c>
      <c r="E102" s="3423">
        <v>15690</v>
      </c>
      <c r="F102" s="3429">
        <v>2870</v>
      </c>
      <c r="G102" s="3429">
        <v>8990</v>
      </c>
      <c r="I102" s="1023"/>
      <c r="J102" s="3459"/>
      <c r="K102" s="3459"/>
      <c r="L102" s="3459"/>
      <c r="M102" s="3459"/>
      <c r="N102" s="3459"/>
      <c r="O102" s="3459"/>
      <c r="P102" s="3459"/>
      <c r="Q102" s="3459"/>
      <c r="R102" s="3459"/>
      <c r="S102" s="3459"/>
      <c r="T102" s="3459"/>
      <c r="U102" s="3459"/>
    </row>
    <row r="103" spans="1:21" s="1010" customFormat="1" ht="14.25" customHeight="1">
      <c r="A103" s="3423" t="s">
        <v>1152</v>
      </c>
      <c r="B103" s="3423" t="s">
        <v>1095</v>
      </c>
      <c r="C103" s="3423">
        <v>14620</v>
      </c>
      <c r="D103" s="3423">
        <v>14540</v>
      </c>
      <c r="E103" s="3423">
        <v>15240</v>
      </c>
      <c r="F103" s="3429">
        <v>2840</v>
      </c>
      <c r="G103" s="3429">
        <v>9610</v>
      </c>
      <c r="I103" s="1023"/>
      <c r="J103" s="3459"/>
      <c r="K103" s="3459"/>
      <c r="L103" s="3459"/>
      <c r="M103" s="3459"/>
      <c r="N103" s="3459"/>
      <c r="O103" s="3459"/>
      <c r="P103" s="3459"/>
      <c r="Q103" s="3459"/>
      <c r="R103" s="3459"/>
      <c r="S103" s="3459"/>
      <c r="T103" s="3459"/>
      <c r="U103" s="3459"/>
    </row>
    <row r="104" spans="1:21" s="1010" customFormat="1" ht="14.25" customHeight="1">
      <c r="A104" s="3423" t="s">
        <v>1152</v>
      </c>
      <c r="B104" s="3423" t="s">
        <v>1102</v>
      </c>
      <c r="C104" s="3423">
        <v>13610</v>
      </c>
      <c r="D104" s="3423">
        <v>13540</v>
      </c>
      <c r="E104" s="3423">
        <v>15750</v>
      </c>
      <c r="F104" s="3429">
        <v>2770</v>
      </c>
      <c r="G104" s="3429">
        <v>8940</v>
      </c>
      <c r="I104" s="1023"/>
      <c r="J104" s="3459"/>
      <c r="K104" s="3459"/>
      <c r="L104" s="3459"/>
      <c r="M104" s="3459"/>
      <c r="N104" s="3459"/>
      <c r="O104" s="3459"/>
      <c r="P104" s="3459"/>
      <c r="Q104" s="3459"/>
      <c r="R104" s="3459"/>
      <c r="S104" s="3459"/>
      <c r="T104" s="3459"/>
      <c r="U104" s="3459"/>
    </row>
    <row r="105" spans="1:21" s="1010" customFormat="1" ht="14.25" customHeight="1">
      <c r="A105" s="3423" t="s">
        <v>1152</v>
      </c>
      <c r="B105" s="3423" t="s">
        <v>1110</v>
      </c>
      <c r="C105" s="3423">
        <v>13310</v>
      </c>
      <c r="D105" s="3423">
        <v>13240</v>
      </c>
      <c r="E105" s="3423">
        <v>16280</v>
      </c>
      <c r="F105" s="3429">
        <v>3210</v>
      </c>
      <c r="G105" s="3429">
        <v>8750</v>
      </c>
      <c r="I105" s="1023"/>
      <c r="J105" s="3459"/>
      <c r="K105" s="3459"/>
      <c r="L105" s="3459"/>
      <c r="M105" s="3459"/>
      <c r="N105" s="3459"/>
      <c r="O105" s="3459"/>
      <c r="P105" s="3459"/>
      <c r="Q105" s="3459"/>
      <c r="R105" s="3459"/>
      <c r="S105" s="3459"/>
      <c r="T105" s="3459"/>
      <c r="U105" s="3459"/>
    </row>
    <row r="106" spans="1:21" s="1010" customFormat="1" ht="14.25" customHeight="1">
      <c r="A106" s="3423" t="s">
        <v>1152</v>
      </c>
      <c r="B106" s="3423" t="s">
        <v>1117</v>
      </c>
      <c r="C106" s="3423">
        <v>13010</v>
      </c>
      <c r="D106" s="3423">
        <v>12930</v>
      </c>
      <c r="E106" s="3423">
        <v>14960</v>
      </c>
      <c r="F106" s="3429">
        <v>3530</v>
      </c>
      <c r="G106" s="3429">
        <v>8550</v>
      </c>
      <c r="I106" s="1023"/>
      <c r="J106" s="3459"/>
      <c r="K106" s="3459"/>
      <c r="L106" s="3459"/>
      <c r="M106" s="3459"/>
      <c r="N106" s="3459"/>
      <c r="O106" s="3459"/>
      <c r="P106" s="3459"/>
      <c r="Q106" s="3459"/>
      <c r="R106" s="3459"/>
      <c r="S106" s="3459"/>
      <c r="T106" s="3459"/>
      <c r="U106" s="3459"/>
    </row>
    <row r="107" spans="1:21" s="1010" customFormat="1" ht="14.25" customHeight="1">
      <c r="A107" s="3423" t="s">
        <v>1152</v>
      </c>
      <c r="B107" s="3423" t="s">
        <v>1121</v>
      </c>
      <c r="C107" s="3423">
        <v>13070</v>
      </c>
      <c r="D107" s="3423">
        <v>13000</v>
      </c>
      <c r="E107" s="3423">
        <v>15910</v>
      </c>
      <c r="F107" s="3429">
        <v>3990</v>
      </c>
      <c r="G107" s="3429">
        <v>8580</v>
      </c>
      <c r="I107" s="1023"/>
      <c r="J107" s="3459"/>
      <c r="K107" s="3459"/>
      <c r="L107" s="3459"/>
      <c r="M107" s="3459"/>
      <c r="N107" s="3459"/>
      <c r="O107" s="3459"/>
      <c r="P107" s="3459"/>
      <c r="Q107" s="3459"/>
      <c r="R107" s="3459"/>
      <c r="S107" s="3459"/>
      <c r="T107" s="3459"/>
      <c r="U107" s="3459"/>
    </row>
    <row r="108" spans="1:21" s="1010" customFormat="1" ht="14.25" customHeight="1">
      <c r="A108" s="3423" t="s">
        <v>1152</v>
      </c>
      <c r="B108" s="3423" t="s">
        <v>1128</v>
      </c>
      <c r="C108" s="3423">
        <v>12640</v>
      </c>
      <c r="D108" s="3423">
        <v>12580</v>
      </c>
      <c r="E108" s="3423">
        <v>15730</v>
      </c>
      <c r="F108" s="3429"/>
      <c r="G108" s="3429">
        <v>8310</v>
      </c>
      <c r="I108" s="1023"/>
      <c r="J108" s="3459"/>
      <c r="K108" s="3459"/>
      <c r="L108" s="3459"/>
      <c r="M108" s="3459"/>
      <c r="N108" s="3459"/>
      <c r="O108" s="3459"/>
      <c r="P108" s="3459"/>
      <c r="Q108" s="3459"/>
      <c r="R108" s="3459"/>
      <c r="S108" s="3459"/>
      <c r="T108" s="3459"/>
      <c r="U108" s="3459"/>
    </row>
    <row r="109" spans="1:21" s="1010" customFormat="1" ht="14.25" customHeight="1">
      <c r="A109" s="3423" t="s">
        <v>1152</v>
      </c>
      <c r="B109" s="3423" t="s">
        <v>1131</v>
      </c>
      <c r="C109" s="3423">
        <v>13130</v>
      </c>
      <c r="D109" s="3423">
        <v>13070</v>
      </c>
      <c r="E109" s="3423">
        <v>15000</v>
      </c>
      <c r="F109" s="3429"/>
      <c r="G109" s="3436">
        <v>8630</v>
      </c>
      <c r="I109" s="1023"/>
      <c r="J109" s="3459"/>
      <c r="K109" s="3459"/>
      <c r="L109" s="3459"/>
      <c r="M109" s="3459"/>
      <c r="N109" s="3459"/>
      <c r="O109" s="3459"/>
      <c r="P109" s="3459"/>
      <c r="Q109" s="3459"/>
      <c r="R109" s="3459"/>
      <c r="S109" s="3459"/>
      <c r="T109" s="3459"/>
      <c r="U109" s="3459"/>
    </row>
    <row r="110" spans="1:21" s="1010" customFormat="1" ht="14.25" customHeight="1">
      <c r="A110" s="3423" t="s">
        <v>1152</v>
      </c>
      <c r="B110" s="1288" t="s">
        <v>1133</v>
      </c>
      <c r="C110" s="1288">
        <v>13560</v>
      </c>
      <c r="D110" s="1288">
        <v>13490</v>
      </c>
      <c r="E110" s="1288">
        <v>16300</v>
      </c>
      <c r="F110" s="3424"/>
      <c r="G110" s="3424">
        <v>8920</v>
      </c>
      <c r="I110" s="1023"/>
      <c r="J110" s="3459"/>
      <c r="K110" s="3459"/>
      <c r="L110" s="3459"/>
      <c r="M110" s="3459"/>
      <c r="N110" s="3459"/>
      <c r="O110" s="3459"/>
      <c r="P110" s="3459"/>
      <c r="Q110" s="3459"/>
      <c r="R110" s="3459"/>
      <c r="S110" s="3459"/>
      <c r="T110" s="3459"/>
      <c r="U110" s="3459"/>
    </row>
    <row r="111" spans="1:21" s="1010" customFormat="1" ht="14.25" customHeight="1">
      <c r="A111" s="3423" t="s">
        <v>1152</v>
      </c>
      <c r="B111" s="3423" t="s">
        <v>1136</v>
      </c>
      <c r="C111" s="3423">
        <v>12440</v>
      </c>
      <c r="D111" s="3423">
        <v>12380</v>
      </c>
      <c r="E111" s="3423">
        <v>17850</v>
      </c>
      <c r="F111" s="3429"/>
      <c r="G111" s="3429">
        <v>8180</v>
      </c>
      <c r="I111" s="1023"/>
      <c r="J111" s="3459"/>
      <c r="K111" s="3459"/>
      <c r="L111" s="3459"/>
      <c r="M111" s="3459"/>
      <c r="N111" s="3459"/>
      <c r="O111" s="3459"/>
      <c r="P111" s="3459"/>
      <c r="Q111" s="3459"/>
      <c r="R111" s="3459"/>
      <c r="S111" s="3459"/>
      <c r="T111" s="3459"/>
      <c r="U111" s="3459"/>
    </row>
    <row r="112" spans="1:21" s="1010" customFormat="1" ht="14.25" customHeight="1">
      <c r="A112" s="3423" t="s">
        <v>1152</v>
      </c>
      <c r="B112" s="3423" t="s">
        <v>1140</v>
      </c>
      <c r="C112" s="3423">
        <v>13260</v>
      </c>
      <c r="D112" s="3423">
        <v>13180</v>
      </c>
      <c r="E112" s="3423">
        <v>19740</v>
      </c>
      <c r="F112" s="3429"/>
      <c r="G112" s="3429">
        <v>8710</v>
      </c>
      <c r="I112" s="1023"/>
      <c r="J112" s="3459"/>
      <c r="K112" s="3459"/>
      <c r="L112" s="3459"/>
      <c r="M112" s="3459"/>
      <c r="N112" s="3459"/>
      <c r="O112" s="3459"/>
      <c r="P112" s="3459"/>
      <c r="Q112" s="3459"/>
      <c r="R112" s="3459"/>
      <c r="S112" s="3459"/>
      <c r="T112" s="3459"/>
      <c r="U112" s="3459"/>
    </row>
    <row r="113" spans="1:21" s="1010" customFormat="1" ht="14.25" customHeight="1">
      <c r="A113" s="3423" t="s">
        <v>1152</v>
      </c>
      <c r="B113" s="3423" t="s">
        <v>2837</v>
      </c>
      <c r="C113" s="3423">
        <v>15520</v>
      </c>
      <c r="D113" s="3423">
        <v>15450</v>
      </c>
      <c r="E113" s="3423"/>
      <c r="F113" s="3429"/>
      <c r="G113" s="3429">
        <v>10210</v>
      </c>
      <c r="I113" s="1023"/>
      <c r="J113" s="3459"/>
      <c r="K113" s="3459"/>
      <c r="L113" s="3459"/>
      <c r="M113" s="3459"/>
      <c r="N113" s="3459"/>
      <c r="O113" s="3459"/>
      <c r="P113" s="3459"/>
      <c r="Q113" s="3459"/>
      <c r="R113" s="3459"/>
      <c r="S113" s="3459"/>
      <c r="T113" s="3459"/>
      <c r="U113" s="3459"/>
    </row>
    <row r="114" spans="1:21" s="1010" customFormat="1" ht="14.25" customHeight="1">
      <c r="A114" s="3423" t="s">
        <v>1152</v>
      </c>
      <c r="B114" s="3423" t="s">
        <v>2838</v>
      </c>
      <c r="C114" s="3423">
        <v>13110</v>
      </c>
      <c r="D114" s="3423">
        <v>13050</v>
      </c>
      <c r="E114" s="3423"/>
      <c r="F114" s="3429"/>
      <c r="G114" s="3429">
        <v>8620</v>
      </c>
      <c r="I114" s="1023"/>
      <c r="J114" s="3459"/>
      <c r="K114" s="3459"/>
      <c r="L114" s="3459"/>
      <c r="M114" s="3459"/>
      <c r="N114" s="3459"/>
      <c r="O114" s="3459"/>
      <c r="P114" s="3459"/>
      <c r="Q114" s="3459"/>
      <c r="R114" s="3459"/>
      <c r="S114" s="3459"/>
      <c r="T114" s="3459"/>
      <c r="U114" s="3459"/>
    </row>
    <row r="115" spans="1:21" s="1010" customFormat="1" ht="14.25" customHeight="1">
      <c r="A115" s="3423" t="s">
        <v>1152</v>
      </c>
      <c r="B115" s="3423" t="s">
        <v>2839</v>
      </c>
      <c r="C115" s="3423">
        <v>12460</v>
      </c>
      <c r="D115" s="3423">
        <v>12390</v>
      </c>
      <c r="E115" s="3423"/>
      <c r="F115" s="3429"/>
      <c r="G115" s="3429">
        <v>8190</v>
      </c>
      <c r="I115" s="1023"/>
      <c r="J115" s="3459"/>
      <c r="K115" s="3459"/>
      <c r="L115" s="3459"/>
      <c r="M115" s="3459"/>
      <c r="N115" s="3459"/>
      <c r="O115" s="3459"/>
      <c r="P115" s="3459"/>
      <c r="Q115" s="3459"/>
      <c r="R115" s="3459"/>
      <c r="S115" s="3459"/>
      <c r="T115" s="3459"/>
      <c r="U115" s="3459"/>
    </row>
    <row r="116" spans="1:21" s="1010" customFormat="1" ht="14.25" customHeight="1">
      <c r="A116" s="3423" t="s">
        <v>1152</v>
      </c>
      <c r="B116" s="3423" t="s">
        <v>2840</v>
      </c>
      <c r="C116" s="3423">
        <v>13580</v>
      </c>
      <c r="D116" s="3423">
        <v>13520</v>
      </c>
      <c r="E116" s="3423"/>
      <c r="F116" s="3429"/>
      <c r="G116" s="3429">
        <v>8930</v>
      </c>
      <c r="I116" s="1023"/>
      <c r="J116" s="3459"/>
      <c r="K116" s="3459"/>
      <c r="L116" s="3459"/>
      <c r="M116" s="3459"/>
      <c r="N116" s="3459"/>
      <c r="O116" s="3459"/>
      <c r="P116" s="3459"/>
      <c r="Q116" s="3459"/>
      <c r="R116" s="3459"/>
      <c r="S116" s="3459"/>
      <c r="T116" s="3459"/>
      <c r="U116" s="3459"/>
    </row>
    <row r="117" spans="1:21" s="1010" customFormat="1" ht="14.25" customHeight="1">
      <c r="A117" s="3423" t="s">
        <v>1152</v>
      </c>
      <c r="B117" s="3423" t="s">
        <v>2841</v>
      </c>
      <c r="C117" s="3423">
        <v>17120</v>
      </c>
      <c r="D117" s="3423">
        <v>17040</v>
      </c>
      <c r="E117" s="3423"/>
      <c r="F117" s="3429"/>
      <c r="G117" s="3429">
        <v>11260</v>
      </c>
      <c r="I117" s="1023"/>
      <c r="J117" s="3459"/>
      <c r="K117" s="3459"/>
      <c r="L117" s="3459"/>
      <c r="M117" s="3459"/>
      <c r="N117" s="3459"/>
      <c r="O117" s="3459"/>
      <c r="P117" s="3459"/>
      <c r="Q117" s="3459"/>
      <c r="R117" s="3459"/>
      <c r="S117" s="3459"/>
      <c r="T117" s="3459"/>
      <c r="U117" s="3459"/>
    </row>
    <row r="118" spans="1:21" s="1010" customFormat="1" ht="14.25" customHeight="1">
      <c r="A118" s="3423" t="s">
        <v>1152</v>
      </c>
      <c r="B118" s="3423" t="s">
        <v>2842</v>
      </c>
      <c r="C118" s="3423">
        <v>14860</v>
      </c>
      <c r="D118" s="3423">
        <v>14790</v>
      </c>
      <c r="E118" s="3423"/>
      <c r="F118" s="3429"/>
      <c r="G118" s="3429">
        <v>9780</v>
      </c>
      <c r="I118" s="1023"/>
      <c r="J118" s="3459"/>
      <c r="K118" s="3459"/>
      <c r="L118" s="3459"/>
      <c r="M118" s="3459"/>
      <c r="N118" s="3459"/>
      <c r="O118" s="3459"/>
      <c r="P118" s="3459"/>
      <c r="Q118" s="3459"/>
      <c r="R118" s="3459"/>
      <c r="S118" s="3459"/>
      <c r="T118" s="3459"/>
      <c r="U118" s="3459"/>
    </row>
    <row r="119" spans="1:21" s="1010" customFormat="1" ht="14.25" customHeight="1">
      <c r="A119" s="3423" t="s">
        <v>1152</v>
      </c>
      <c r="B119" s="3423" t="s">
        <v>2843</v>
      </c>
      <c r="C119" s="3423">
        <v>16470</v>
      </c>
      <c r="D119" s="3423">
        <v>16400</v>
      </c>
      <c r="E119" s="3423"/>
      <c r="F119" s="3429"/>
      <c r="G119" s="3429">
        <v>10840</v>
      </c>
      <c r="I119" s="1023"/>
      <c r="J119" s="3459"/>
      <c r="K119" s="3459"/>
      <c r="L119" s="3459"/>
      <c r="M119" s="3459"/>
      <c r="N119" s="3459"/>
      <c r="O119" s="3459"/>
      <c r="P119" s="3459"/>
      <c r="Q119" s="3459"/>
      <c r="R119" s="3459"/>
      <c r="S119" s="3459"/>
      <c r="T119" s="3459"/>
      <c r="U119" s="3459"/>
    </row>
    <row r="120" spans="1:21" s="1010" customFormat="1" ht="14.25" customHeight="1">
      <c r="A120" s="3423" t="s">
        <v>1152</v>
      </c>
      <c r="B120" s="3423" t="s">
        <v>2844</v>
      </c>
      <c r="C120" s="3423"/>
      <c r="D120" s="3423"/>
      <c r="E120" s="3423"/>
      <c r="F120" s="3429">
        <v>4160</v>
      </c>
      <c r="G120" s="3429"/>
      <c r="I120" s="1023"/>
      <c r="J120" s="3459"/>
      <c r="K120" s="3459"/>
      <c r="L120" s="3459"/>
      <c r="M120" s="3459"/>
      <c r="N120" s="3459"/>
      <c r="O120" s="3459"/>
      <c r="P120" s="3459"/>
      <c r="Q120" s="3459"/>
      <c r="R120" s="3459"/>
      <c r="S120" s="3459"/>
      <c r="T120" s="3459"/>
      <c r="U120" s="3459"/>
    </row>
    <row r="121" spans="1:21" s="1010" customFormat="1" ht="14.25" customHeight="1">
      <c r="A121" s="3423" t="s">
        <v>1152</v>
      </c>
      <c r="B121" s="3423" t="s">
        <v>2845</v>
      </c>
      <c r="C121" s="3423"/>
      <c r="D121" s="3423"/>
      <c r="E121" s="3423"/>
      <c r="F121" s="3429">
        <v>3880</v>
      </c>
      <c r="G121" s="3429"/>
      <c r="I121" s="1023"/>
      <c r="J121" s="3459"/>
      <c r="K121" s="3459"/>
      <c r="L121" s="3459"/>
      <c r="M121" s="3459"/>
      <c r="N121" s="3459"/>
      <c r="O121" s="3459"/>
      <c r="P121" s="3459"/>
      <c r="Q121" s="3459"/>
      <c r="R121" s="3459"/>
      <c r="S121" s="3459"/>
      <c r="T121" s="3459"/>
      <c r="U121" s="3459"/>
    </row>
    <row r="122" spans="1:21" s="1010" customFormat="1" ht="14.25" customHeight="1">
      <c r="A122" s="3423" t="s">
        <v>1152</v>
      </c>
      <c r="B122" s="3423" t="s">
        <v>2846</v>
      </c>
      <c r="C122" s="3423">
        <v>13750</v>
      </c>
      <c r="D122" s="3423">
        <v>13680</v>
      </c>
      <c r="E122" s="3423">
        <v>16460</v>
      </c>
      <c r="F122" s="3429">
        <v>2880</v>
      </c>
      <c r="G122" s="3429">
        <v>9040</v>
      </c>
      <c r="I122" s="1023"/>
      <c r="J122" s="3459"/>
      <c r="K122" s="3459"/>
      <c r="L122" s="3459"/>
      <c r="M122" s="3459"/>
      <c r="N122" s="3459"/>
      <c r="O122" s="3459"/>
      <c r="P122" s="3459"/>
      <c r="Q122" s="3459"/>
      <c r="R122" s="3459"/>
      <c r="S122" s="3459"/>
      <c r="T122" s="3459"/>
      <c r="U122" s="3459"/>
    </row>
    <row r="123" spans="1:21" s="1010" customFormat="1" ht="14.25" customHeight="1">
      <c r="A123" s="3423" t="s">
        <v>1152</v>
      </c>
      <c r="B123" s="3423" t="s">
        <v>2847</v>
      </c>
      <c r="C123" s="3423">
        <v>13590</v>
      </c>
      <c r="D123" s="3423">
        <v>13520</v>
      </c>
      <c r="E123" s="3423">
        <v>16290</v>
      </c>
      <c r="F123" s="3429">
        <v>2790</v>
      </c>
      <c r="G123" s="3429">
        <v>8930</v>
      </c>
      <c r="I123" s="1023"/>
      <c r="J123" s="3459"/>
      <c r="K123" s="3459"/>
      <c r="L123" s="3459"/>
      <c r="M123" s="3459"/>
      <c r="N123" s="3459"/>
      <c r="O123" s="3459"/>
      <c r="P123" s="3459"/>
      <c r="Q123" s="3459"/>
      <c r="R123" s="3459"/>
      <c r="S123" s="3459"/>
      <c r="T123" s="3459"/>
      <c r="U123" s="3459"/>
    </row>
    <row r="124" spans="1:21" s="1010" customFormat="1" ht="14.25" customHeight="1">
      <c r="A124" s="3423" t="s">
        <v>1152</v>
      </c>
      <c r="B124" s="3423" t="s">
        <v>2848</v>
      </c>
      <c r="C124" s="3423">
        <v>13400</v>
      </c>
      <c r="D124" s="3423">
        <v>13320</v>
      </c>
      <c r="E124" s="3423">
        <v>16100</v>
      </c>
      <c r="F124" s="3429">
        <v>2320</v>
      </c>
      <c r="G124" s="3431">
        <v>8800</v>
      </c>
      <c r="I124" s="1023"/>
      <c r="J124" s="3459"/>
      <c r="K124" s="3459"/>
      <c r="L124" s="3459"/>
      <c r="M124" s="3459"/>
      <c r="N124" s="3459"/>
      <c r="O124" s="3459"/>
      <c r="P124" s="3459"/>
      <c r="Q124" s="3459"/>
      <c r="R124" s="3459"/>
      <c r="S124" s="3459"/>
      <c r="T124" s="3459"/>
      <c r="U124" s="3459"/>
    </row>
    <row r="125" spans="1:21" s="1010" customFormat="1" ht="14.25" customHeight="1">
      <c r="A125" s="3423" t="s">
        <v>1152</v>
      </c>
      <c r="B125" s="1286" t="s">
        <v>2849</v>
      </c>
      <c r="C125" s="1286">
        <v>12860</v>
      </c>
      <c r="D125" s="1286">
        <v>12790</v>
      </c>
      <c r="E125" s="1286">
        <v>15370</v>
      </c>
      <c r="F125" s="3434">
        <v>2280</v>
      </c>
      <c r="G125" s="3441">
        <v>8450</v>
      </c>
      <c r="I125" s="1023"/>
      <c r="J125" s="3459"/>
      <c r="K125" s="3459"/>
      <c r="L125" s="3459"/>
      <c r="M125" s="3459"/>
      <c r="N125" s="3459"/>
      <c r="O125" s="3459"/>
      <c r="P125" s="3459"/>
      <c r="Q125" s="3459"/>
      <c r="R125" s="3459"/>
      <c r="S125" s="3459"/>
      <c r="T125" s="3459"/>
      <c r="U125" s="3459"/>
    </row>
    <row r="126" spans="1:21" s="1010" customFormat="1" ht="14.25" customHeight="1" thickBot="1">
      <c r="A126" s="3438" t="s">
        <v>1152</v>
      </c>
      <c r="B126" s="3426" t="s">
        <v>2850</v>
      </c>
      <c r="C126" s="3426">
        <v>12960</v>
      </c>
      <c r="D126" s="3426">
        <v>12890</v>
      </c>
      <c r="E126" s="3426">
        <v>15530</v>
      </c>
      <c r="F126" s="3427">
        <v>2910</v>
      </c>
      <c r="G126" s="3442">
        <v>8520</v>
      </c>
      <c r="I126" s="1023"/>
      <c r="J126" s="3459"/>
      <c r="K126" s="3459"/>
      <c r="L126" s="3459"/>
      <c r="M126" s="3459"/>
      <c r="N126" s="3459"/>
      <c r="O126" s="3459"/>
      <c r="P126" s="3459"/>
      <c r="Q126" s="3459"/>
      <c r="R126" s="3459"/>
      <c r="S126" s="3459"/>
      <c r="T126" s="3459"/>
      <c r="U126" s="3459"/>
    </row>
    <row r="127" spans="1:21" s="1010" customFormat="1" ht="14.25" customHeight="1">
      <c r="A127" s="3437" t="s">
        <v>1153</v>
      </c>
      <c r="B127" s="1288" t="s">
        <v>2851</v>
      </c>
      <c r="C127" s="1288">
        <v>12280</v>
      </c>
      <c r="D127" s="1288">
        <v>12250</v>
      </c>
      <c r="E127" s="1288">
        <v>15130</v>
      </c>
      <c r="F127" s="3424">
        <v>2710</v>
      </c>
      <c r="G127" s="3440">
        <v>7870</v>
      </c>
      <c r="I127" s="1023"/>
      <c r="J127" s="3459"/>
      <c r="K127" s="3459"/>
      <c r="L127" s="3459"/>
      <c r="M127" s="3459"/>
      <c r="N127" s="3459"/>
      <c r="O127" s="3459"/>
      <c r="P127" s="3459"/>
      <c r="Q127" s="3459"/>
      <c r="R127" s="3459"/>
      <c r="S127" s="3459"/>
      <c r="T127" s="3459"/>
      <c r="U127" s="3459"/>
    </row>
    <row r="128" spans="1:21" s="1010" customFormat="1" ht="14.25" customHeight="1">
      <c r="A128" s="3423" t="s">
        <v>1153</v>
      </c>
      <c r="B128" s="3423" t="s">
        <v>977</v>
      </c>
      <c r="C128" s="3423">
        <v>13180</v>
      </c>
      <c r="D128" s="3423">
        <v>13150</v>
      </c>
      <c r="E128" s="3423">
        <v>16190</v>
      </c>
      <c r="F128" s="3429">
        <v>2820</v>
      </c>
      <c r="G128" s="3431">
        <v>8460</v>
      </c>
      <c r="I128" s="1023"/>
      <c r="J128" s="3459"/>
      <c r="K128" s="3459"/>
      <c r="L128" s="3459"/>
      <c r="M128" s="3459"/>
      <c r="N128" s="3459"/>
      <c r="O128" s="3459"/>
      <c r="P128" s="3459"/>
      <c r="Q128" s="3459"/>
      <c r="R128" s="3459"/>
      <c r="S128" s="3459"/>
      <c r="T128" s="3459"/>
      <c r="U128" s="3459"/>
    </row>
    <row r="129" spans="1:21" s="1010" customFormat="1" ht="14.25" customHeight="1">
      <c r="A129" s="3423" t="s">
        <v>1153</v>
      </c>
      <c r="B129" s="3423" t="s">
        <v>987</v>
      </c>
      <c r="C129" s="3423">
        <v>10950</v>
      </c>
      <c r="D129" s="3423">
        <v>10920</v>
      </c>
      <c r="E129" s="3423">
        <v>13820</v>
      </c>
      <c r="F129" s="3429">
        <v>2500</v>
      </c>
      <c r="G129" s="3431">
        <v>7020</v>
      </c>
      <c r="I129" s="1023"/>
      <c r="J129" s="3459"/>
      <c r="K129" s="3459"/>
      <c r="L129" s="3459"/>
      <c r="M129" s="3459"/>
      <c r="N129" s="3459"/>
      <c r="O129" s="3459"/>
      <c r="P129" s="3459"/>
      <c r="Q129" s="3459"/>
      <c r="R129" s="3459"/>
      <c r="S129" s="3459"/>
      <c r="T129" s="3459"/>
      <c r="U129" s="3459"/>
    </row>
    <row r="130" spans="1:21" s="1010" customFormat="1" ht="14.25" customHeight="1">
      <c r="A130" s="3423" t="s">
        <v>1153</v>
      </c>
      <c r="B130" s="3423" t="s">
        <v>996</v>
      </c>
      <c r="C130" s="3423">
        <v>10910</v>
      </c>
      <c r="D130" s="3423">
        <v>10860</v>
      </c>
      <c r="E130" s="3423">
        <v>13730</v>
      </c>
      <c r="F130" s="3429">
        <v>2760</v>
      </c>
      <c r="G130" s="3431">
        <v>6990</v>
      </c>
      <c r="I130" s="1023"/>
      <c r="J130" s="3459"/>
      <c r="K130" s="3459"/>
      <c r="L130" s="3459"/>
      <c r="M130" s="3459"/>
      <c r="N130" s="3459"/>
      <c r="O130" s="3459"/>
      <c r="P130" s="3459"/>
      <c r="Q130" s="3459"/>
      <c r="R130" s="3459"/>
      <c r="S130" s="3459"/>
      <c r="T130" s="3459"/>
      <c r="U130" s="3459"/>
    </row>
    <row r="131" spans="1:21" s="1010" customFormat="1" ht="14.25" customHeight="1">
      <c r="A131" s="3423" t="s">
        <v>1153</v>
      </c>
      <c r="B131" s="3423" t="s">
        <v>1006</v>
      </c>
      <c r="C131" s="3423">
        <v>12910</v>
      </c>
      <c r="D131" s="3423">
        <v>12870</v>
      </c>
      <c r="E131" s="3423">
        <v>15720</v>
      </c>
      <c r="F131" s="3429">
        <v>2750</v>
      </c>
      <c r="G131" s="3431">
        <v>8280</v>
      </c>
      <c r="I131" s="1023"/>
      <c r="J131" s="3459"/>
      <c r="K131" s="3459"/>
      <c r="L131" s="3459"/>
      <c r="M131" s="3459"/>
      <c r="N131" s="3459"/>
      <c r="O131" s="3459"/>
      <c r="P131" s="3459"/>
      <c r="Q131" s="3459"/>
      <c r="R131" s="3459"/>
      <c r="S131" s="3459"/>
      <c r="T131" s="3459"/>
      <c r="U131" s="3459"/>
    </row>
    <row r="132" spans="1:21" s="1010" customFormat="1" ht="14.25" customHeight="1">
      <c r="A132" s="3423" t="s">
        <v>1153</v>
      </c>
      <c r="B132" s="3423" t="s">
        <v>1013</v>
      </c>
      <c r="C132" s="3423">
        <v>11910</v>
      </c>
      <c r="D132" s="3423">
        <v>11860</v>
      </c>
      <c r="E132" s="3423">
        <v>14730</v>
      </c>
      <c r="F132" s="3429">
        <v>2360</v>
      </c>
      <c r="G132" s="3431">
        <v>7630</v>
      </c>
      <c r="I132" s="1023"/>
      <c r="J132" s="3459"/>
      <c r="K132" s="3459"/>
      <c r="L132" s="3459"/>
      <c r="M132" s="3459"/>
      <c r="N132" s="3459"/>
      <c r="O132" s="3459"/>
      <c r="P132" s="3459"/>
      <c r="Q132" s="3459"/>
      <c r="R132" s="3459"/>
      <c r="S132" s="3459"/>
      <c r="T132" s="3459"/>
      <c r="U132" s="3459"/>
    </row>
    <row r="133" spans="1:21" s="1010" customFormat="1" ht="14.25" customHeight="1">
      <c r="A133" s="3423" t="s">
        <v>1153</v>
      </c>
      <c r="B133" s="3423" t="s">
        <v>1019</v>
      </c>
      <c r="C133" s="3423">
        <v>12270</v>
      </c>
      <c r="D133" s="3423">
        <v>12210</v>
      </c>
      <c r="E133" s="3423">
        <v>15010</v>
      </c>
      <c r="F133" s="3429">
        <v>2580</v>
      </c>
      <c r="G133" s="3431">
        <v>7860</v>
      </c>
      <c r="I133" s="1023"/>
      <c r="J133" s="3459"/>
      <c r="K133" s="3459"/>
      <c r="L133" s="3459"/>
      <c r="M133" s="3459"/>
      <c r="N133" s="3459"/>
      <c r="O133" s="3459"/>
      <c r="P133" s="3459"/>
      <c r="Q133" s="3459"/>
      <c r="R133" s="3459"/>
      <c r="S133" s="3459"/>
      <c r="T133" s="3459"/>
      <c r="U133" s="3459"/>
    </row>
    <row r="134" spans="1:21" s="1010" customFormat="1" ht="14.25" customHeight="1">
      <c r="A134" s="3423" t="s">
        <v>1153</v>
      </c>
      <c r="B134" s="3423" t="s">
        <v>1026</v>
      </c>
      <c r="C134" s="3423">
        <v>10800</v>
      </c>
      <c r="D134" s="3423">
        <v>10780</v>
      </c>
      <c r="E134" s="3423">
        <v>13640</v>
      </c>
      <c r="F134" s="3429">
        <v>2110</v>
      </c>
      <c r="G134" s="3429">
        <v>6930</v>
      </c>
      <c r="I134" s="1023"/>
      <c r="J134" s="3459"/>
      <c r="K134" s="3459"/>
      <c r="L134" s="3459"/>
      <c r="M134" s="3459"/>
      <c r="N134" s="3459"/>
      <c r="O134" s="3459"/>
      <c r="P134" s="3459"/>
      <c r="Q134" s="3459"/>
      <c r="R134" s="3459"/>
      <c r="S134" s="3459"/>
      <c r="T134" s="3459"/>
      <c r="U134" s="3459"/>
    </row>
    <row r="135" spans="1:21" s="1010" customFormat="1" ht="14.25" customHeight="1">
      <c r="A135" s="3423" t="s">
        <v>1153</v>
      </c>
      <c r="B135" s="3423" t="s">
        <v>1036</v>
      </c>
      <c r="C135" s="3423">
        <v>10430</v>
      </c>
      <c r="D135" s="3423">
        <v>10390</v>
      </c>
      <c r="E135" s="3423">
        <v>13140</v>
      </c>
      <c r="F135" s="3429">
        <v>2240</v>
      </c>
      <c r="G135" s="3431">
        <v>6680</v>
      </c>
      <c r="I135" s="1023"/>
      <c r="J135" s="3459"/>
      <c r="K135" s="3459"/>
      <c r="L135" s="3459"/>
      <c r="M135" s="3459"/>
      <c r="N135" s="3459"/>
      <c r="O135" s="3459"/>
      <c r="P135" s="3459"/>
      <c r="Q135" s="3459"/>
      <c r="R135" s="3459"/>
      <c r="S135" s="3459"/>
      <c r="T135" s="3459"/>
      <c r="U135" s="3459"/>
    </row>
    <row r="136" spans="1:21" s="1010" customFormat="1" ht="14.25" customHeight="1">
      <c r="A136" s="3423" t="s">
        <v>1153</v>
      </c>
      <c r="B136" s="3423" t="s">
        <v>1045</v>
      </c>
      <c r="C136" s="3423">
        <v>11930</v>
      </c>
      <c r="D136" s="3423">
        <v>11880</v>
      </c>
      <c r="E136" s="3423">
        <v>14770</v>
      </c>
      <c r="F136" s="3429">
        <v>1970</v>
      </c>
      <c r="G136" s="3431">
        <v>7640</v>
      </c>
      <c r="I136" s="1023"/>
      <c r="J136" s="3459"/>
      <c r="K136" s="3459"/>
      <c r="L136" s="3459"/>
      <c r="M136" s="3459"/>
      <c r="N136" s="3459"/>
      <c r="O136" s="3459"/>
      <c r="P136" s="3459"/>
      <c r="Q136" s="3459"/>
      <c r="R136" s="3459"/>
      <c r="S136" s="3459"/>
      <c r="T136" s="3459"/>
      <c r="U136" s="3459"/>
    </row>
    <row r="137" spans="1:21" s="1010" customFormat="1" ht="14.25" customHeight="1">
      <c r="A137" s="3423" t="s">
        <v>1153</v>
      </c>
      <c r="B137" s="3423" t="s">
        <v>1052</v>
      </c>
      <c r="C137" s="3423">
        <v>10470</v>
      </c>
      <c r="D137" s="3423">
        <v>10430</v>
      </c>
      <c r="E137" s="3423">
        <v>13190</v>
      </c>
      <c r="F137" s="3429">
        <v>1990</v>
      </c>
      <c r="G137" s="3431">
        <v>6710</v>
      </c>
      <c r="I137" s="1023"/>
      <c r="J137" s="3459"/>
      <c r="K137" s="3459"/>
      <c r="L137" s="3459"/>
      <c r="M137" s="3459"/>
      <c r="N137" s="3459"/>
      <c r="O137" s="3459"/>
      <c r="P137" s="3459"/>
      <c r="Q137" s="3459"/>
      <c r="R137" s="3459"/>
      <c r="S137" s="3459"/>
      <c r="T137" s="3459"/>
      <c r="U137" s="3459"/>
    </row>
    <row r="138" spans="1:21" s="1010" customFormat="1" ht="14.25" customHeight="1">
      <c r="A138" s="3423" t="s">
        <v>1153</v>
      </c>
      <c r="B138" s="3423" t="s">
        <v>1059</v>
      </c>
      <c r="C138" s="3423">
        <v>10410</v>
      </c>
      <c r="D138" s="3423">
        <v>10380</v>
      </c>
      <c r="E138" s="3423">
        <v>13130</v>
      </c>
      <c r="F138" s="3429">
        <v>2030</v>
      </c>
      <c r="G138" s="3431">
        <v>6680</v>
      </c>
      <c r="I138" s="1023"/>
      <c r="J138" s="3459"/>
      <c r="K138" s="3459"/>
      <c r="L138" s="3459"/>
      <c r="M138" s="3459"/>
      <c r="N138" s="3459"/>
      <c r="O138" s="3459"/>
      <c r="P138" s="3459"/>
      <c r="Q138" s="3459"/>
      <c r="R138" s="3459"/>
      <c r="S138" s="3459"/>
      <c r="T138" s="3459"/>
      <c r="U138" s="3459"/>
    </row>
    <row r="139" spans="1:21" s="1010" customFormat="1" ht="14.25" customHeight="1">
      <c r="A139" s="3423" t="s">
        <v>1153</v>
      </c>
      <c r="B139" s="3423" t="s">
        <v>1066</v>
      </c>
      <c r="C139" s="3423">
        <v>9460</v>
      </c>
      <c r="D139" s="3423">
        <v>9410</v>
      </c>
      <c r="E139" s="3423">
        <v>12050</v>
      </c>
      <c r="F139" s="3429">
        <v>2140</v>
      </c>
      <c r="G139" s="3429">
        <v>6050</v>
      </c>
      <c r="I139" s="1023"/>
      <c r="J139" s="3459"/>
      <c r="K139" s="3459"/>
      <c r="L139" s="3459"/>
      <c r="M139" s="3459"/>
      <c r="N139" s="3459"/>
      <c r="O139" s="3459"/>
      <c r="P139" s="3459"/>
      <c r="Q139" s="3459"/>
      <c r="R139" s="3459"/>
      <c r="S139" s="3459"/>
      <c r="T139" s="3459"/>
      <c r="U139" s="3459"/>
    </row>
    <row r="140" spans="1:21" s="1010" customFormat="1" ht="14.25" customHeight="1">
      <c r="A140" s="3423" t="s">
        <v>1153</v>
      </c>
      <c r="B140" s="3423" t="s">
        <v>1074</v>
      </c>
      <c r="C140" s="3423">
        <v>11030</v>
      </c>
      <c r="D140" s="3423">
        <v>10980</v>
      </c>
      <c r="E140" s="3423">
        <v>13880</v>
      </c>
      <c r="F140" s="3429">
        <v>2210</v>
      </c>
      <c r="G140" s="3429">
        <v>7060</v>
      </c>
      <c r="I140" s="1023"/>
      <c r="J140" s="3459"/>
      <c r="K140" s="3459"/>
      <c r="L140" s="3459"/>
      <c r="M140" s="3459"/>
      <c r="N140" s="3459"/>
      <c r="O140" s="3459"/>
      <c r="P140" s="3459"/>
      <c r="Q140" s="3459"/>
      <c r="R140" s="3459"/>
      <c r="S140" s="3459"/>
      <c r="T140" s="3459"/>
      <c r="U140" s="3459"/>
    </row>
    <row r="141" spans="1:21" s="1010" customFormat="1" ht="14.25" customHeight="1">
      <c r="A141" s="3423" t="s">
        <v>1153</v>
      </c>
      <c r="B141" s="3423" t="s">
        <v>1082</v>
      </c>
      <c r="C141" s="3423">
        <v>11200</v>
      </c>
      <c r="D141" s="3423">
        <v>11150</v>
      </c>
      <c r="E141" s="3423">
        <v>14100</v>
      </c>
      <c r="F141" s="3429">
        <v>2470</v>
      </c>
      <c r="G141" s="3431">
        <v>7170</v>
      </c>
      <c r="I141" s="1023"/>
      <c r="J141" s="3459"/>
      <c r="K141" s="3459"/>
      <c r="L141" s="3459"/>
      <c r="M141" s="3459"/>
      <c r="N141" s="3459"/>
      <c r="O141" s="3459"/>
      <c r="P141" s="3459"/>
      <c r="Q141" s="3459"/>
      <c r="R141" s="3459"/>
      <c r="S141" s="3459"/>
      <c r="T141" s="3459"/>
      <c r="U141" s="3459"/>
    </row>
    <row r="142" spans="1:21" s="1010" customFormat="1" ht="14.25" customHeight="1">
      <c r="A142" s="3423" t="s">
        <v>1153</v>
      </c>
      <c r="B142" s="3423" t="s">
        <v>1087</v>
      </c>
      <c r="C142" s="3423">
        <v>10780</v>
      </c>
      <c r="D142" s="3423">
        <v>10730</v>
      </c>
      <c r="E142" s="3423">
        <v>13540</v>
      </c>
      <c r="F142" s="3429">
        <v>2280</v>
      </c>
      <c r="G142" s="3431">
        <v>6900</v>
      </c>
      <c r="I142" s="1023"/>
      <c r="J142" s="3459"/>
      <c r="K142" s="3459"/>
      <c r="L142" s="3459"/>
      <c r="M142" s="3459"/>
      <c r="N142" s="3459"/>
      <c r="O142" s="3459"/>
      <c r="P142" s="3459"/>
      <c r="Q142" s="3459"/>
      <c r="R142" s="3459"/>
      <c r="S142" s="3459"/>
      <c r="T142" s="3459"/>
      <c r="U142" s="3459"/>
    </row>
    <row r="143" spans="1:21" s="1010" customFormat="1" ht="14.25" customHeight="1">
      <c r="A143" s="3423" t="s">
        <v>1153</v>
      </c>
      <c r="B143" s="3423" t="s">
        <v>1096</v>
      </c>
      <c r="C143" s="3423">
        <v>11550</v>
      </c>
      <c r="D143" s="3423">
        <v>11490</v>
      </c>
      <c r="E143" s="3423">
        <v>14480</v>
      </c>
      <c r="F143" s="3429">
        <v>2070</v>
      </c>
      <c r="G143" s="3431">
        <v>7390</v>
      </c>
      <c r="I143" s="1023"/>
      <c r="J143" s="3459"/>
      <c r="K143" s="3459"/>
      <c r="L143" s="3459"/>
      <c r="M143" s="3459"/>
      <c r="N143" s="3459"/>
      <c r="O143" s="3459"/>
      <c r="P143" s="3459"/>
      <c r="Q143" s="3459"/>
      <c r="R143" s="3459"/>
      <c r="S143" s="3459"/>
      <c r="T143" s="3459"/>
      <c r="U143" s="3459"/>
    </row>
    <row r="144" spans="1:21" s="1010" customFormat="1" ht="14.25" customHeight="1">
      <c r="A144" s="3423" t="s">
        <v>1153</v>
      </c>
      <c r="B144" s="3423" t="s">
        <v>1103</v>
      </c>
      <c r="C144" s="3423">
        <v>10720</v>
      </c>
      <c r="D144" s="3423">
        <v>10680</v>
      </c>
      <c r="E144" s="3423">
        <v>13480</v>
      </c>
      <c r="F144" s="3429">
        <v>2440</v>
      </c>
      <c r="G144" s="3431">
        <v>6870</v>
      </c>
      <c r="I144" s="1023"/>
      <c r="J144" s="3459"/>
      <c r="K144" s="3459"/>
      <c r="L144" s="3459"/>
      <c r="M144" s="3459"/>
      <c r="N144" s="3459"/>
      <c r="O144" s="3459"/>
      <c r="P144" s="3459"/>
      <c r="Q144" s="3459"/>
      <c r="R144" s="3459"/>
      <c r="S144" s="3459"/>
      <c r="T144" s="3459"/>
      <c r="U144" s="3459"/>
    </row>
    <row r="145" spans="1:21" s="1010" customFormat="1" ht="14.25" customHeight="1">
      <c r="A145" s="3423" t="s">
        <v>1153</v>
      </c>
      <c r="B145" s="3423" t="s">
        <v>1111</v>
      </c>
      <c r="C145" s="3423">
        <v>10340</v>
      </c>
      <c r="D145" s="3423">
        <v>10290</v>
      </c>
      <c r="E145" s="3423">
        <v>12880</v>
      </c>
      <c r="F145" s="3429">
        <v>2650</v>
      </c>
      <c r="G145" s="3429">
        <v>6620</v>
      </c>
      <c r="I145" s="1023"/>
      <c r="J145" s="3459"/>
      <c r="K145" s="3459"/>
      <c r="L145" s="3459"/>
      <c r="M145" s="3459"/>
      <c r="N145" s="3459"/>
      <c r="O145" s="3459"/>
      <c r="P145" s="3459"/>
      <c r="Q145" s="3459"/>
      <c r="R145" s="3459"/>
      <c r="S145" s="3459"/>
      <c r="T145" s="3459"/>
      <c r="U145" s="3459"/>
    </row>
    <row r="146" spans="1:21" s="1010" customFormat="1" ht="14.25" customHeight="1">
      <c r="A146" s="3423" t="s">
        <v>1153</v>
      </c>
      <c r="B146" s="3423" t="s">
        <v>1118</v>
      </c>
      <c r="C146" s="3423">
        <v>11890</v>
      </c>
      <c r="D146" s="3423">
        <v>11830</v>
      </c>
      <c r="E146" s="3423">
        <v>14670</v>
      </c>
      <c r="F146" s="3429"/>
      <c r="G146" s="3429">
        <v>7610</v>
      </c>
      <c r="I146" s="1023"/>
      <c r="J146" s="3459"/>
      <c r="K146" s="3459"/>
      <c r="L146" s="3459"/>
      <c r="M146" s="3459"/>
      <c r="N146" s="3459"/>
      <c r="O146" s="3459"/>
      <c r="P146" s="3459"/>
      <c r="Q146" s="3459"/>
      <c r="R146" s="3459"/>
      <c r="S146" s="3459"/>
      <c r="T146" s="3459"/>
      <c r="U146" s="3459"/>
    </row>
    <row r="147" spans="1:21" s="1010" customFormat="1" ht="14.25" customHeight="1">
      <c r="A147" s="3423" t="s">
        <v>1153</v>
      </c>
      <c r="B147" s="3423" t="s">
        <v>1122</v>
      </c>
      <c r="C147" s="3423">
        <v>12650</v>
      </c>
      <c r="D147" s="3423">
        <v>12600</v>
      </c>
      <c r="E147" s="3423">
        <v>15440</v>
      </c>
      <c r="F147" s="3429"/>
      <c r="G147" s="3429">
        <v>8110</v>
      </c>
      <c r="I147" s="1023"/>
      <c r="J147" s="3459"/>
      <c r="K147" s="3459"/>
      <c r="L147" s="3459"/>
      <c r="M147" s="3459"/>
      <c r="N147" s="3459"/>
      <c r="O147" s="3459"/>
      <c r="P147" s="3459"/>
      <c r="Q147" s="3459"/>
      <c r="R147" s="3459"/>
      <c r="S147" s="3459"/>
      <c r="T147" s="3459"/>
      <c r="U147" s="3459"/>
    </row>
    <row r="148" spans="1:21" s="1010" customFormat="1" ht="14.25" customHeight="1">
      <c r="A148" s="3423" t="s">
        <v>1153</v>
      </c>
      <c r="B148" s="3423" t="s">
        <v>2852</v>
      </c>
      <c r="C148" s="3423">
        <v>10370</v>
      </c>
      <c r="D148" s="3423">
        <v>10310</v>
      </c>
      <c r="E148" s="3423">
        <v>12970</v>
      </c>
      <c r="F148" s="3429"/>
      <c r="G148" s="3429">
        <v>6630</v>
      </c>
      <c r="I148" s="1023"/>
      <c r="J148" s="3459"/>
      <c r="K148" s="3459"/>
      <c r="L148" s="3459"/>
      <c r="M148" s="3459"/>
      <c r="N148" s="3459"/>
      <c r="O148" s="3459"/>
      <c r="P148" s="3459"/>
      <c r="Q148" s="3459"/>
      <c r="R148" s="3459"/>
      <c r="S148" s="3459"/>
      <c r="T148" s="3459"/>
      <c r="U148" s="3459"/>
    </row>
    <row r="149" spans="1:21" s="1010" customFormat="1" ht="14.25" customHeight="1">
      <c r="A149" s="3423" t="s">
        <v>1153</v>
      </c>
      <c r="B149" s="3423" t="s">
        <v>2853</v>
      </c>
      <c r="C149" s="3423">
        <v>11600</v>
      </c>
      <c r="D149" s="3423">
        <v>11560</v>
      </c>
      <c r="E149" s="3423">
        <v>14540</v>
      </c>
      <c r="F149" s="3429">
        <v>2390</v>
      </c>
      <c r="G149" s="3429">
        <v>7430</v>
      </c>
      <c r="I149" s="1023"/>
      <c r="J149" s="3459"/>
      <c r="K149" s="3459"/>
      <c r="L149" s="3459"/>
      <c r="M149" s="3459"/>
      <c r="N149" s="3459"/>
      <c r="O149" s="3459"/>
      <c r="P149" s="3459"/>
      <c r="Q149" s="3459"/>
      <c r="R149" s="3459"/>
      <c r="S149" s="3459"/>
      <c r="T149" s="3459"/>
      <c r="U149" s="3459"/>
    </row>
    <row r="150" spans="1:21" s="1010" customFormat="1" ht="14.25" customHeight="1">
      <c r="A150" s="3423" t="s">
        <v>1153</v>
      </c>
      <c r="B150" s="3423" t="s">
        <v>1141</v>
      </c>
      <c r="C150" s="3423">
        <v>9950</v>
      </c>
      <c r="D150" s="3423">
        <v>9890</v>
      </c>
      <c r="E150" s="3423">
        <v>12590</v>
      </c>
      <c r="F150" s="3429">
        <v>1970</v>
      </c>
      <c r="G150" s="3429">
        <v>6360</v>
      </c>
      <c r="I150" s="1023"/>
      <c r="J150" s="3459"/>
      <c r="K150" s="3459"/>
      <c r="L150" s="3459"/>
      <c r="M150" s="3459"/>
      <c r="N150" s="3459"/>
      <c r="O150" s="3459"/>
      <c r="P150" s="3459"/>
      <c r="Q150" s="3459"/>
      <c r="R150" s="3459"/>
      <c r="S150" s="3459"/>
      <c r="T150" s="3459"/>
      <c r="U150" s="3459"/>
    </row>
    <row r="151" spans="1:21" s="1010" customFormat="1" ht="14.25" customHeight="1">
      <c r="A151" s="3423" t="s">
        <v>1153</v>
      </c>
      <c r="B151" s="3423" t="s">
        <v>1143</v>
      </c>
      <c r="C151" s="3423">
        <v>10700</v>
      </c>
      <c r="D151" s="3423">
        <v>10650</v>
      </c>
      <c r="E151" s="3423">
        <v>13420</v>
      </c>
      <c r="F151" s="3429">
        <v>2020</v>
      </c>
      <c r="G151" s="3429">
        <v>6850</v>
      </c>
      <c r="I151" s="1023"/>
      <c r="J151" s="3459"/>
      <c r="K151" s="3459"/>
      <c r="L151" s="3459"/>
      <c r="M151" s="3459"/>
      <c r="N151" s="3459"/>
      <c r="O151" s="3459"/>
      <c r="P151" s="3459"/>
      <c r="Q151" s="3459"/>
      <c r="R151" s="3459"/>
      <c r="S151" s="3459"/>
      <c r="T151" s="3459"/>
      <c r="U151" s="3459"/>
    </row>
    <row r="152" spans="1:21" s="1010" customFormat="1" ht="14.25" customHeight="1">
      <c r="A152" s="3423" t="s">
        <v>1153</v>
      </c>
      <c r="B152" s="3423" t="s">
        <v>1146</v>
      </c>
      <c r="C152" s="3423">
        <v>10310</v>
      </c>
      <c r="D152" s="3423">
        <v>10260</v>
      </c>
      <c r="E152" s="3423">
        <v>12820</v>
      </c>
      <c r="F152" s="3429">
        <v>1980</v>
      </c>
      <c r="G152" s="3429">
        <v>6600</v>
      </c>
      <c r="I152" s="1023"/>
      <c r="J152" s="3459"/>
      <c r="K152" s="3459"/>
      <c r="L152" s="3459"/>
      <c r="M152" s="3459"/>
      <c r="N152" s="3459"/>
      <c r="O152" s="3459"/>
      <c r="P152" s="3459"/>
      <c r="Q152" s="3459"/>
      <c r="R152" s="3459"/>
      <c r="S152" s="3459"/>
      <c r="T152" s="3459"/>
      <c r="U152" s="3459"/>
    </row>
    <row r="153" spans="1:21" s="1010" customFormat="1" ht="14.25" customHeight="1">
      <c r="A153" s="3423" t="s">
        <v>1153</v>
      </c>
      <c r="B153" s="3423" t="s">
        <v>2854</v>
      </c>
      <c r="C153" s="3423">
        <v>10880</v>
      </c>
      <c r="D153" s="3423">
        <v>10820</v>
      </c>
      <c r="E153" s="3423">
        <v>13660</v>
      </c>
      <c r="F153" s="3429">
        <v>2260</v>
      </c>
      <c r="G153" s="3429">
        <v>6970</v>
      </c>
      <c r="I153" s="1023"/>
      <c r="J153" s="3459"/>
      <c r="K153" s="3459"/>
      <c r="L153" s="3459"/>
      <c r="M153" s="3459"/>
      <c r="N153" s="3459"/>
      <c r="O153" s="3459"/>
      <c r="P153" s="3459"/>
      <c r="Q153" s="3459"/>
      <c r="R153" s="3459"/>
      <c r="S153" s="3459"/>
      <c r="T153" s="3459"/>
      <c r="U153" s="3459"/>
    </row>
    <row r="154" spans="1:21" s="1010" customFormat="1" ht="14.25" customHeight="1">
      <c r="A154" s="3423" t="s">
        <v>1153</v>
      </c>
      <c r="B154" s="3423" t="s">
        <v>2855</v>
      </c>
      <c r="C154" s="3423">
        <v>11220</v>
      </c>
      <c r="D154" s="3423">
        <v>11160</v>
      </c>
      <c r="E154" s="3423">
        <v>14130</v>
      </c>
      <c r="F154" s="3429">
        <v>2230</v>
      </c>
      <c r="G154" s="3429">
        <v>7180</v>
      </c>
      <c r="I154" s="1023"/>
      <c r="J154" s="3459"/>
      <c r="K154" s="3459"/>
      <c r="L154" s="3459"/>
      <c r="M154" s="3459"/>
      <c r="N154" s="3459"/>
      <c r="O154" s="3459"/>
      <c r="P154" s="3459"/>
      <c r="Q154" s="3459"/>
      <c r="R154" s="3459"/>
      <c r="S154" s="3459"/>
      <c r="T154" s="3459"/>
      <c r="U154" s="3459"/>
    </row>
    <row r="155" spans="1:21" s="1010" customFormat="1" ht="14.25" customHeight="1">
      <c r="A155" s="3423" t="s">
        <v>1153</v>
      </c>
      <c r="B155" s="3423" t="s">
        <v>2856</v>
      </c>
      <c r="C155" s="3423">
        <v>10430</v>
      </c>
      <c r="D155" s="3423">
        <v>10380</v>
      </c>
      <c r="E155" s="3423">
        <v>13140</v>
      </c>
      <c r="F155" s="3429">
        <v>2080</v>
      </c>
      <c r="G155" s="3429">
        <v>6650</v>
      </c>
      <c r="I155" s="1023"/>
      <c r="J155" s="3459"/>
      <c r="K155" s="3459"/>
      <c r="L155" s="3459"/>
      <c r="M155" s="3459"/>
      <c r="N155" s="3459"/>
      <c r="O155" s="3459"/>
      <c r="P155" s="3459"/>
      <c r="Q155" s="3459"/>
      <c r="R155" s="3459"/>
      <c r="S155" s="3459"/>
      <c r="T155" s="3459"/>
      <c r="U155" s="3459"/>
    </row>
    <row r="156" spans="1:21" s="1010" customFormat="1" ht="14.25" customHeight="1">
      <c r="A156" s="3423" t="s">
        <v>1153</v>
      </c>
      <c r="B156" s="3423" t="s">
        <v>2857</v>
      </c>
      <c r="C156" s="3423">
        <v>10440</v>
      </c>
      <c r="D156" s="3423">
        <v>10400</v>
      </c>
      <c r="E156" s="3423">
        <v>13150</v>
      </c>
      <c r="F156" s="3429">
        <v>2490</v>
      </c>
      <c r="G156" s="3429">
        <v>6690</v>
      </c>
      <c r="I156" s="1023"/>
      <c r="J156" s="3459"/>
      <c r="K156" s="3459"/>
      <c r="L156" s="3459"/>
      <c r="M156" s="3459"/>
      <c r="N156" s="3459"/>
      <c r="O156" s="3459"/>
      <c r="P156" s="3459"/>
      <c r="Q156" s="3459"/>
      <c r="R156" s="3459"/>
      <c r="S156" s="3459"/>
      <c r="T156" s="3459"/>
      <c r="U156" s="3459"/>
    </row>
    <row r="157" spans="1:21" s="1010" customFormat="1" ht="14.25" customHeight="1">
      <c r="A157" s="3423" t="s">
        <v>1153</v>
      </c>
      <c r="B157" s="3423" t="s">
        <v>1149</v>
      </c>
      <c r="C157" s="3423">
        <v>10970</v>
      </c>
      <c r="D157" s="3423">
        <v>10920</v>
      </c>
      <c r="E157" s="3423">
        <v>13840</v>
      </c>
      <c r="F157" s="3429">
        <v>2420</v>
      </c>
      <c r="G157" s="3436">
        <v>7020</v>
      </c>
      <c r="I157" s="1023"/>
      <c r="J157" s="3459"/>
      <c r="K157" s="3459"/>
      <c r="L157" s="3459"/>
      <c r="M157" s="3459"/>
      <c r="N157" s="3459"/>
      <c r="O157" s="3459"/>
      <c r="P157" s="3459"/>
      <c r="Q157" s="3459"/>
      <c r="R157" s="3459"/>
      <c r="S157" s="3459"/>
      <c r="T157" s="3459"/>
      <c r="U157" s="3459"/>
    </row>
    <row r="158" spans="1:21" s="1010" customFormat="1" ht="14.25" customHeight="1">
      <c r="A158" s="1288" t="s">
        <v>1153</v>
      </c>
      <c r="B158" s="1288" t="s">
        <v>1150</v>
      </c>
      <c r="C158" s="1288">
        <v>9590</v>
      </c>
      <c r="D158" s="1288">
        <v>9540</v>
      </c>
      <c r="E158" s="1288">
        <v>12210</v>
      </c>
      <c r="F158" s="3424">
        <v>2100</v>
      </c>
      <c r="G158" s="3424">
        <v>6130</v>
      </c>
      <c r="I158" s="1023"/>
      <c r="J158" s="3459"/>
      <c r="K158" s="3459"/>
      <c r="L158" s="3459"/>
      <c r="M158" s="3459"/>
      <c r="N158" s="3459"/>
      <c r="O158" s="3459"/>
      <c r="P158" s="3459"/>
      <c r="Q158" s="3459"/>
      <c r="R158" s="3459"/>
      <c r="S158" s="3459"/>
      <c r="T158" s="3459"/>
      <c r="U158" s="3459"/>
    </row>
    <row r="159" spans="1:21" s="1010" customFormat="1" ht="14.25" customHeight="1">
      <c r="A159" s="3423" t="s">
        <v>1153</v>
      </c>
      <c r="B159" s="3423" t="s">
        <v>1151</v>
      </c>
      <c r="C159" s="3423">
        <v>11190</v>
      </c>
      <c r="D159" s="3423">
        <v>11140</v>
      </c>
      <c r="E159" s="3423">
        <v>14090</v>
      </c>
      <c r="F159" s="3429">
        <v>2470</v>
      </c>
      <c r="G159" s="3429">
        <v>7170</v>
      </c>
      <c r="I159" s="1023"/>
      <c r="J159" s="3459"/>
      <c r="K159" s="3459"/>
      <c r="L159" s="3459"/>
      <c r="M159" s="3459"/>
      <c r="N159" s="3459"/>
      <c r="O159" s="3459"/>
      <c r="P159" s="3459"/>
      <c r="Q159" s="3459"/>
      <c r="R159" s="3459"/>
      <c r="S159" s="3459"/>
      <c r="T159" s="3459"/>
      <c r="U159" s="3459"/>
    </row>
    <row r="160" spans="1:21" s="1010" customFormat="1" ht="14.25" customHeight="1">
      <c r="A160" s="3423" t="s">
        <v>1153</v>
      </c>
      <c r="B160" s="3423" t="s">
        <v>2858</v>
      </c>
      <c r="C160" s="3423">
        <v>11180</v>
      </c>
      <c r="D160" s="3423">
        <v>11140</v>
      </c>
      <c r="E160" s="3423">
        <v>14050</v>
      </c>
      <c r="F160" s="3429">
        <v>2270</v>
      </c>
      <c r="G160" s="3429">
        <v>7170</v>
      </c>
      <c r="I160" s="1023"/>
      <c r="J160" s="3459"/>
      <c r="K160" s="3459"/>
      <c r="L160" s="3459"/>
      <c r="M160" s="3459"/>
      <c r="N160" s="3459"/>
      <c r="O160" s="3459"/>
      <c r="P160" s="3459"/>
      <c r="Q160" s="3459"/>
      <c r="R160" s="3459"/>
      <c r="S160" s="3459"/>
      <c r="T160" s="3459"/>
      <c r="U160" s="3459"/>
    </row>
    <row r="161" spans="1:21" s="1010" customFormat="1" ht="14.25" customHeight="1">
      <c r="A161" s="3423" t="s">
        <v>1153</v>
      </c>
      <c r="B161" s="3423" t="s">
        <v>2859</v>
      </c>
      <c r="C161" s="3423">
        <v>11160</v>
      </c>
      <c r="D161" s="3423">
        <v>11120</v>
      </c>
      <c r="E161" s="3423">
        <v>14020</v>
      </c>
      <c r="F161" s="3429">
        <v>2150</v>
      </c>
      <c r="G161" s="3429">
        <v>7160</v>
      </c>
      <c r="I161" s="1023"/>
      <c r="J161" s="3459"/>
      <c r="K161" s="3459"/>
      <c r="L161" s="3459"/>
      <c r="M161" s="3459"/>
      <c r="N161" s="3459"/>
      <c r="O161" s="3459"/>
      <c r="P161" s="3459"/>
      <c r="Q161" s="3459"/>
      <c r="R161" s="3459"/>
      <c r="S161" s="3459"/>
      <c r="T161" s="3459"/>
      <c r="U161" s="3459"/>
    </row>
    <row r="162" spans="1:21" s="1010" customFormat="1" ht="14.25" customHeight="1">
      <c r="A162" s="3423" t="s">
        <v>1153</v>
      </c>
      <c r="B162" s="3423" t="s">
        <v>2860</v>
      </c>
      <c r="C162" s="3423">
        <v>9620</v>
      </c>
      <c r="D162" s="3423">
        <v>9570</v>
      </c>
      <c r="E162" s="3423">
        <v>12320</v>
      </c>
      <c r="F162" s="3429">
        <v>2010</v>
      </c>
      <c r="G162" s="3429">
        <v>6160</v>
      </c>
      <c r="I162" s="1023"/>
      <c r="J162" s="3459"/>
      <c r="K162" s="3459"/>
      <c r="L162" s="3459"/>
      <c r="M162" s="3459"/>
      <c r="N162" s="3459"/>
      <c r="O162" s="3459"/>
      <c r="P162" s="3459"/>
      <c r="Q162" s="3459"/>
      <c r="R162" s="3459"/>
      <c r="S162" s="3459"/>
      <c r="T162" s="3459"/>
      <c r="U162" s="3459"/>
    </row>
    <row r="163" spans="1:21" s="1010" customFormat="1" ht="14.25" customHeight="1">
      <c r="A163" s="3423" t="s">
        <v>1153</v>
      </c>
      <c r="B163" s="3423" t="s">
        <v>2861</v>
      </c>
      <c r="C163" s="3423">
        <v>9320</v>
      </c>
      <c r="D163" s="3423">
        <v>9270</v>
      </c>
      <c r="E163" s="3423">
        <v>11790</v>
      </c>
      <c r="F163" s="3429">
        <v>1920</v>
      </c>
      <c r="G163" s="3429">
        <v>5960</v>
      </c>
      <c r="I163" s="1023"/>
      <c r="J163" s="3459"/>
      <c r="K163" s="3459"/>
      <c r="L163" s="3459"/>
      <c r="M163" s="3459"/>
      <c r="N163" s="3459"/>
      <c r="O163" s="3459"/>
      <c r="P163" s="3459"/>
      <c r="Q163" s="3459"/>
      <c r="R163" s="3459"/>
      <c r="S163" s="3459"/>
      <c r="T163" s="3459"/>
      <c r="U163" s="3459"/>
    </row>
    <row r="164" spans="1:21" s="1010" customFormat="1" ht="14.25" customHeight="1">
      <c r="A164" s="3423" t="s">
        <v>1153</v>
      </c>
      <c r="B164" s="3423" t="s">
        <v>2862</v>
      </c>
      <c r="C164" s="3423"/>
      <c r="D164" s="3423"/>
      <c r="E164" s="3423"/>
      <c r="F164" s="3429">
        <v>1980</v>
      </c>
      <c r="G164" s="3429"/>
      <c r="I164" s="1023"/>
      <c r="J164" s="3459"/>
      <c r="K164" s="3459"/>
      <c r="L164" s="3459"/>
      <c r="M164" s="3459"/>
      <c r="N164" s="3459"/>
      <c r="O164" s="3459"/>
      <c r="P164" s="3459"/>
      <c r="Q164" s="3459"/>
      <c r="R164" s="3459"/>
      <c r="S164" s="3459"/>
      <c r="T164" s="3459"/>
      <c r="U164" s="3459"/>
    </row>
    <row r="165" spans="1:21" s="1010" customFormat="1" ht="14.25" customHeight="1">
      <c r="A165" s="3423" t="s">
        <v>1153</v>
      </c>
      <c r="B165" s="3423" t="s">
        <v>2863</v>
      </c>
      <c r="C165" s="3423">
        <v>11060</v>
      </c>
      <c r="D165" s="3423">
        <v>11030</v>
      </c>
      <c r="E165" s="3423">
        <v>13850</v>
      </c>
      <c r="F165" s="3429">
        <v>2170</v>
      </c>
      <c r="G165" s="3429">
        <v>7090</v>
      </c>
      <c r="I165" s="1023"/>
      <c r="J165" s="3459"/>
      <c r="K165" s="3459"/>
      <c r="L165" s="3459"/>
      <c r="M165" s="3459"/>
      <c r="N165" s="3459"/>
      <c r="O165" s="3459"/>
      <c r="P165" s="3459"/>
      <c r="Q165" s="3459"/>
      <c r="R165" s="3459"/>
      <c r="S165" s="3459"/>
      <c r="T165" s="3459"/>
      <c r="U165" s="3459"/>
    </row>
    <row r="166" spans="1:21" s="1010" customFormat="1" ht="14.25" customHeight="1">
      <c r="A166" s="3423" t="s">
        <v>1153</v>
      </c>
      <c r="B166" s="3423" t="s">
        <v>2864</v>
      </c>
      <c r="C166" s="3423">
        <v>11050</v>
      </c>
      <c r="D166" s="3423">
        <v>11010</v>
      </c>
      <c r="E166" s="3423">
        <v>13920</v>
      </c>
      <c r="F166" s="3429">
        <v>2140</v>
      </c>
      <c r="G166" s="3429">
        <v>7080</v>
      </c>
      <c r="I166" s="1023"/>
      <c r="J166" s="3459"/>
      <c r="K166" s="3459"/>
      <c r="L166" s="3459"/>
      <c r="M166" s="3459"/>
      <c r="N166" s="3459"/>
      <c r="O166" s="3459"/>
      <c r="P166" s="3459"/>
      <c r="Q166" s="3459"/>
      <c r="R166" s="3459"/>
      <c r="S166" s="3459"/>
      <c r="T166" s="3459"/>
      <c r="U166" s="3459"/>
    </row>
    <row r="167" spans="1:21" s="1010" customFormat="1" ht="14.25" customHeight="1">
      <c r="A167" s="3423" t="s">
        <v>1153</v>
      </c>
      <c r="B167" s="3423" t="s">
        <v>2865</v>
      </c>
      <c r="C167" s="3423">
        <v>10930</v>
      </c>
      <c r="D167" s="3423">
        <v>10890</v>
      </c>
      <c r="E167" s="3423">
        <v>13790</v>
      </c>
      <c r="F167" s="3429">
        <v>2010</v>
      </c>
      <c r="G167" s="3431">
        <v>7000</v>
      </c>
      <c r="I167" s="1023"/>
      <c r="J167" s="3459"/>
      <c r="K167" s="3459"/>
      <c r="L167" s="3459"/>
      <c r="M167" s="3459"/>
      <c r="N167" s="3459"/>
      <c r="O167" s="3459"/>
      <c r="P167" s="3459"/>
      <c r="Q167" s="3459"/>
      <c r="R167" s="3459"/>
      <c r="S167" s="3459"/>
      <c r="T167" s="3459"/>
      <c r="U167" s="3459"/>
    </row>
    <row r="168" spans="1:21" s="1010" customFormat="1" ht="14.25" customHeight="1">
      <c r="A168" s="3423" t="s">
        <v>1153</v>
      </c>
      <c r="B168" s="3423" t="s">
        <v>2866</v>
      </c>
      <c r="C168" s="3423">
        <v>9420</v>
      </c>
      <c r="D168" s="3423">
        <v>9380</v>
      </c>
      <c r="E168" s="3423">
        <v>11970</v>
      </c>
      <c r="F168" s="3429"/>
      <c r="G168" s="3431">
        <v>6040</v>
      </c>
      <c r="I168" s="1023"/>
      <c r="J168" s="3459"/>
      <c r="K168" s="3459"/>
      <c r="L168" s="3459"/>
      <c r="M168" s="3459"/>
      <c r="N168" s="3459"/>
      <c r="O168" s="3459"/>
      <c r="P168" s="3459"/>
      <c r="Q168" s="3459"/>
      <c r="R168" s="3459"/>
      <c r="S168" s="3459"/>
      <c r="T168" s="3459"/>
      <c r="U168" s="3459"/>
    </row>
    <row r="169" spans="1:21" s="1010" customFormat="1" ht="14.25" customHeight="1">
      <c r="A169" s="3423" t="s">
        <v>1153</v>
      </c>
      <c r="B169" s="3423" t="s">
        <v>2867</v>
      </c>
      <c r="C169" s="3423"/>
      <c r="D169" s="3423"/>
      <c r="E169" s="3423"/>
      <c r="F169" s="3429">
        <v>2880</v>
      </c>
      <c r="G169" s="3431"/>
      <c r="I169" s="1023"/>
      <c r="J169" s="3459"/>
      <c r="K169" s="3459"/>
      <c r="L169" s="3459"/>
      <c r="M169" s="3459"/>
      <c r="N169" s="3459"/>
      <c r="O169" s="3459"/>
      <c r="P169" s="3459"/>
      <c r="Q169" s="3459"/>
      <c r="R169" s="3459"/>
      <c r="S169" s="3459"/>
      <c r="T169" s="3459"/>
      <c r="U169" s="3459"/>
    </row>
    <row r="170" spans="1:21" s="1010" customFormat="1" ht="14.25" customHeight="1">
      <c r="A170" s="3423" t="s">
        <v>1153</v>
      </c>
      <c r="B170" s="3423" t="s">
        <v>2868</v>
      </c>
      <c r="C170" s="3423"/>
      <c r="D170" s="3423"/>
      <c r="E170" s="3423"/>
      <c r="F170" s="3429">
        <v>2880</v>
      </c>
      <c r="G170" s="3431"/>
      <c r="I170" s="1023"/>
      <c r="J170" s="3459"/>
      <c r="K170" s="3459"/>
      <c r="L170" s="3459"/>
      <c r="M170" s="3459"/>
      <c r="N170" s="3459"/>
      <c r="O170" s="3459"/>
      <c r="P170" s="3459"/>
      <c r="Q170" s="3459"/>
      <c r="R170" s="3459"/>
      <c r="S170" s="3459"/>
      <c r="T170" s="3459"/>
      <c r="U170" s="3459"/>
    </row>
    <row r="171" spans="1:21" s="1010" customFormat="1" ht="14.25" customHeight="1">
      <c r="A171" s="3423" t="s">
        <v>1153</v>
      </c>
      <c r="B171" s="3423" t="s">
        <v>2869</v>
      </c>
      <c r="C171" s="3423"/>
      <c r="D171" s="3423"/>
      <c r="E171" s="3423"/>
      <c r="F171" s="3429">
        <v>2880</v>
      </c>
      <c r="G171" s="3429"/>
      <c r="I171" s="1023"/>
      <c r="J171" s="3459"/>
      <c r="K171" s="3459"/>
      <c r="L171" s="3459"/>
      <c r="M171" s="3459"/>
      <c r="N171" s="3459"/>
      <c r="O171" s="3459"/>
      <c r="P171" s="3459"/>
      <c r="Q171" s="3459"/>
      <c r="R171" s="3459"/>
      <c r="S171" s="3459"/>
      <c r="T171" s="3459"/>
      <c r="U171" s="3459"/>
    </row>
    <row r="172" spans="1:21" s="1010" customFormat="1" ht="14.25" customHeight="1">
      <c r="A172" s="3423" t="s">
        <v>1153</v>
      </c>
      <c r="B172" s="3423" t="s">
        <v>2870</v>
      </c>
      <c r="C172" s="3423"/>
      <c r="D172" s="3423"/>
      <c r="E172" s="3423"/>
      <c r="F172" s="3429">
        <v>2880</v>
      </c>
      <c r="G172" s="3431"/>
      <c r="I172" s="1023"/>
      <c r="J172" s="3459"/>
      <c r="K172" s="3459"/>
      <c r="L172" s="3459"/>
      <c r="M172" s="3459"/>
      <c r="N172" s="3459"/>
      <c r="O172" s="3459"/>
      <c r="P172" s="3459"/>
      <c r="Q172" s="3459"/>
      <c r="R172" s="3459"/>
      <c r="S172" s="3459"/>
      <c r="T172" s="3459"/>
      <c r="U172" s="3459"/>
    </row>
    <row r="173" spans="1:21" s="1010" customFormat="1" ht="14.25" customHeight="1">
      <c r="A173" s="3423" t="s">
        <v>1153</v>
      </c>
      <c r="B173" s="3423" t="s">
        <v>2871</v>
      </c>
      <c r="C173" s="3423"/>
      <c r="D173" s="3423"/>
      <c r="E173" s="3423"/>
      <c r="F173" s="3429">
        <v>2150</v>
      </c>
      <c r="G173" s="3431"/>
      <c r="I173" s="1023"/>
      <c r="J173" s="3459"/>
      <c r="K173" s="3459"/>
      <c r="L173" s="3459"/>
      <c r="M173" s="3459"/>
      <c r="N173" s="3459"/>
      <c r="O173" s="3459"/>
      <c r="P173" s="3459"/>
      <c r="Q173" s="3459"/>
      <c r="R173" s="3459"/>
      <c r="S173" s="3459"/>
      <c r="T173" s="3459"/>
      <c r="U173" s="3459"/>
    </row>
    <row r="174" spans="1:21" s="1010" customFormat="1" ht="14.25" customHeight="1">
      <c r="A174" s="3423" t="s">
        <v>1153</v>
      </c>
      <c r="B174" s="3423" t="s">
        <v>2872</v>
      </c>
      <c r="C174" s="3423"/>
      <c r="D174" s="3423"/>
      <c r="E174" s="3423"/>
      <c r="F174" s="3429">
        <v>2030</v>
      </c>
      <c r="G174" s="3429"/>
      <c r="I174" s="1023"/>
      <c r="J174" s="3459"/>
      <c r="K174" s="3459"/>
      <c r="L174" s="3459"/>
      <c r="M174" s="3459"/>
      <c r="N174" s="3459"/>
      <c r="O174" s="3459"/>
      <c r="P174" s="3459"/>
      <c r="Q174" s="3459"/>
      <c r="R174" s="3459"/>
      <c r="S174" s="3459"/>
      <c r="T174" s="3459"/>
      <c r="U174" s="3459"/>
    </row>
    <row r="175" spans="1:21" s="1010" customFormat="1" ht="14.25" customHeight="1">
      <c r="A175" s="3423" t="s">
        <v>1153</v>
      </c>
      <c r="B175" s="3423" t="s">
        <v>2873</v>
      </c>
      <c r="C175" s="3423"/>
      <c r="D175" s="3423"/>
      <c r="E175" s="3423"/>
      <c r="F175" s="3429">
        <v>2780</v>
      </c>
      <c r="G175" s="3429"/>
      <c r="I175" s="1023"/>
      <c r="J175" s="3459"/>
      <c r="K175" s="3459"/>
      <c r="L175" s="3459"/>
      <c r="M175" s="3459"/>
      <c r="N175" s="3459"/>
      <c r="O175" s="3459"/>
      <c r="P175" s="3459"/>
      <c r="Q175" s="3459"/>
      <c r="R175" s="3459"/>
      <c r="S175" s="3459"/>
      <c r="T175" s="3459"/>
      <c r="U175" s="3459"/>
    </row>
    <row r="176" spans="1:21" s="1010" customFormat="1" ht="14.25" customHeight="1">
      <c r="A176" s="3423" t="s">
        <v>1153</v>
      </c>
      <c r="B176" s="3423" t="s">
        <v>2874</v>
      </c>
      <c r="C176" s="3423"/>
      <c r="D176" s="3423"/>
      <c r="E176" s="3423"/>
      <c r="F176" s="3429">
        <v>2780</v>
      </c>
      <c r="G176" s="3429"/>
      <c r="I176" s="1023"/>
      <c r="J176" s="3459"/>
      <c r="K176" s="3459"/>
      <c r="L176" s="3459"/>
      <c r="M176" s="3459"/>
      <c r="N176" s="3459"/>
      <c r="O176" s="3459"/>
      <c r="P176" s="3459"/>
      <c r="Q176" s="3459"/>
      <c r="R176" s="3459"/>
      <c r="S176" s="3459"/>
      <c r="T176" s="3459"/>
      <c r="U176" s="3459"/>
    </row>
    <row r="177" spans="1:21" s="1010" customFormat="1" ht="14.25" customHeight="1">
      <c r="A177" s="3423" t="s">
        <v>1153</v>
      </c>
      <c r="B177" s="3423" t="s">
        <v>2875</v>
      </c>
      <c r="C177" s="3423"/>
      <c r="D177" s="3423"/>
      <c r="E177" s="3423"/>
      <c r="F177" s="3429">
        <v>2780</v>
      </c>
      <c r="G177" s="3429"/>
      <c r="I177" s="1023"/>
      <c r="J177" s="3459"/>
      <c r="K177" s="3459"/>
      <c r="L177" s="3459"/>
      <c r="M177" s="3459"/>
      <c r="N177" s="3459"/>
      <c r="O177" s="3459"/>
      <c r="P177" s="3459"/>
      <c r="Q177" s="3459"/>
      <c r="R177" s="3459"/>
      <c r="S177" s="3459"/>
      <c r="T177" s="3459"/>
      <c r="U177" s="3459"/>
    </row>
    <row r="178" spans="1:21" s="1010" customFormat="1" ht="14.25" customHeight="1">
      <c r="A178" s="3423" t="s">
        <v>1153</v>
      </c>
      <c r="B178" s="3423" t="s">
        <v>2876</v>
      </c>
      <c r="C178" s="3423"/>
      <c r="D178" s="3423"/>
      <c r="E178" s="3423"/>
      <c r="F178" s="3429">
        <v>2060</v>
      </c>
      <c r="G178" s="3429"/>
      <c r="I178" s="1023"/>
      <c r="J178" s="3459"/>
      <c r="K178" s="3459"/>
      <c r="L178" s="3459"/>
      <c r="M178" s="3459"/>
      <c r="N178" s="3459"/>
      <c r="O178" s="3459"/>
      <c r="P178" s="3459"/>
      <c r="Q178" s="3459"/>
      <c r="R178" s="3459"/>
      <c r="S178" s="3459"/>
      <c r="T178" s="3459"/>
      <c r="U178" s="3459"/>
    </row>
    <row r="179" spans="1:21" s="1010" customFormat="1" ht="14.25" customHeight="1">
      <c r="A179" s="3423" t="s">
        <v>1153</v>
      </c>
      <c r="B179" s="3423" t="s">
        <v>2877</v>
      </c>
      <c r="C179" s="3423"/>
      <c r="D179" s="3423"/>
      <c r="E179" s="3423"/>
      <c r="F179" s="3429">
        <v>2120</v>
      </c>
      <c r="G179" s="3431"/>
      <c r="I179" s="1023"/>
      <c r="J179" s="3459"/>
      <c r="K179" s="3459"/>
      <c r="L179" s="3459"/>
      <c r="M179" s="3459"/>
      <c r="N179" s="3459"/>
      <c r="O179" s="3459"/>
      <c r="P179" s="3459"/>
      <c r="Q179" s="3459"/>
      <c r="R179" s="3459"/>
      <c r="S179" s="3459"/>
      <c r="T179" s="3459"/>
      <c r="U179" s="3459"/>
    </row>
    <row r="180" spans="1:21" s="1010" customFormat="1" ht="14.25" customHeight="1">
      <c r="A180" s="3423" t="s">
        <v>1153</v>
      </c>
      <c r="B180" s="3423" t="s">
        <v>2878</v>
      </c>
      <c r="C180" s="3423"/>
      <c r="D180" s="3423"/>
      <c r="E180" s="3423"/>
      <c r="F180" s="3429">
        <v>2340</v>
      </c>
      <c r="G180" s="3429"/>
      <c r="I180" s="1023"/>
      <c r="J180" s="3459"/>
      <c r="K180" s="3459"/>
      <c r="L180" s="3459"/>
      <c r="M180" s="3459"/>
      <c r="N180" s="3459"/>
      <c r="O180" s="3459"/>
      <c r="P180" s="3459"/>
      <c r="Q180" s="3459"/>
      <c r="R180" s="3459"/>
      <c r="S180" s="3459"/>
      <c r="T180" s="3459"/>
      <c r="U180" s="3459"/>
    </row>
    <row r="181" spans="1:21" s="1010" customFormat="1" ht="14.25" customHeight="1">
      <c r="A181" s="3423" t="s">
        <v>1153</v>
      </c>
      <c r="B181" s="3423" t="s">
        <v>2879</v>
      </c>
      <c r="C181" s="3423"/>
      <c r="D181" s="3423"/>
      <c r="E181" s="3423"/>
      <c r="F181" s="3429">
        <v>2340</v>
      </c>
      <c r="G181" s="3429"/>
      <c r="I181" s="1023"/>
      <c r="J181" s="3459"/>
      <c r="K181" s="3459"/>
      <c r="L181" s="3459"/>
      <c r="M181" s="3459"/>
      <c r="N181" s="3459"/>
      <c r="O181" s="3459"/>
      <c r="P181" s="3459"/>
      <c r="Q181" s="3459"/>
      <c r="R181" s="3459"/>
      <c r="S181" s="3459"/>
      <c r="T181" s="3459"/>
      <c r="U181" s="3459"/>
    </row>
    <row r="182" spans="1:21" s="1010" customFormat="1" ht="14.25" customHeight="1">
      <c r="A182" s="3423" t="s">
        <v>1153</v>
      </c>
      <c r="B182" s="3423" t="s">
        <v>2880</v>
      </c>
      <c r="C182" s="3423"/>
      <c r="D182" s="3423"/>
      <c r="E182" s="3423"/>
      <c r="F182" s="3429">
        <v>2340</v>
      </c>
      <c r="G182" s="3429"/>
      <c r="I182" s="1023"/>
      <c r="J182" s="3459"/>
      <c r="K182" s="3459"/>
      <c r="L182" s="3459"/>
      <c r="M182" s="3459"/>
      <c r="N182" s="3459"/>
      <c r="O182" s="3459"/>
      <c r="P182" s="3459"/>
      <c r="Q182" s="3459"/>
      <c r="R182" s="3459"/>
      <c r="S182" s="3459"/>
      <c r="T182" s="3459"/>
      <c r="U182" s="3459"/>
    </row>
    <row r="183" spans="1:21" s="1010" customFormat="1" ht="14.25" customHeight="1">
      <c r="A183" s="3423" t="s">
        <v>1153</v>
      </c>
      <c r="B183" s="3423" t="s">
        <v>2881</v>
      </c>
      <c r="C183" s="3423"/>
      <c r="D183" s="3423"/>
      <c r="E183" s="3423"/>
      <c r="F183" s="3429">
        <v>2340</v>
      </c>
      <c r="G183" s="3431"/>
      <c r="I183" s="1023"/>
      <c r="J183" s="3459"/>
      <c r="K183" s="3459"/>
      <c r="L183" s="3459"/>
      <c r="M183" s="3459"/>
      <c r="N183" s="3459"/>
      <c r="O183" s="3459"/>
      <c r="P183" s="3459"/>
      <c r="Q183" s="3459"/>
      <c r="R183" s="3459"/>
      <c r="S183" s="3459"/>
      <c r="T183" s="3459"/>
      <c r="U183" s="3459"/>
    </row>
    <row r="184" spans="1:21" s="1010" customFormat="1" ht="14.25" customHeight="1">
      <c r="A184" s="3423" t="s">
        <v>1153</v>
      </c>
      <c r="B184" s="3423" t="s">
        <v>2882</v>
      </c>
      <c r="C184" s="3423"/>
      <c r="D184" s="3423"/>
      <c r="E184" s="3423"/>
      <c r="F184" s="3429">
        <v>2340</v>
      </c>
      <c r="G184" s="3431"/>
      <c r="I184" s="1023"/>
      <c r="J184" s="3459"/>
      <c r="K184" s="3459"/>
      <c r="L184" s="3459"/>
      <c r="M184" s="3459"/>
      <c r="N184" s="3459"/>
      <c r="O184" s="3459"/>
      <c r="P184" s="3459"/>
      <c r="Q184" s="3459"/>
      <c r="R184" s="3459"/>
      <c r="S184" s="3459"/>
      <c r="T184" s="3459"/>
      <c r="U184" s="3459"/>
    </row>
    <row r="185" spans="1:21" s="1010" customFormat="1" ht="14.25" customHeight="1">
      <c r="A185" s="3423" t="s">
        <v>1153</v>
      </c>
      <c r="B185" s="3423" t="s">
        <v>2883</v>
      </c>
      <c r="C185" s="3423"/>
      <c r="D185" s="3423"/>
      <c r="E185" s="3423"/>
      <c r="F185" s="3429">
        <v>2530</v>
      </c>
      <c r="G185" s="3429"/>
      <c r="I185" s="1023"/>
      <c r="J185" s="3459"/>
      <c r="K185" s="3459"/>
      <c r="L185" s="3459"/>
      <c r="M185" s="3459"/>
      <c r="N185" s="3459"/>
      <c r="O185" s="3459"/>
      <c r="P185" s="3459"/>
      <c r="Q185" s="3459"/>
      <c r="R185" s="3459"/>
      <c r="S185" s="3459"/>
      <c r="T185" s="3459"/>
      <c r="U185" s="3459"/>
    </row>
    <row r="186" spans="1:21" s="1010" customFormat="1" ht="14.25" customHeight="1">
      <c r="A186" s="3423" t="s">
        <v>1153</v>
      </c>
      <c r="B186" s="3423" t="s">
        <v>2884</v>
      </c>
      <c r="C186" s="3423"/>
      <c r="D186" s="3423"/>
      <c r="E186" s="3423"/>
      <c r="F186" s="3429">
        <v>2550</v>
      </c>
      <c r="G186" s="3429"/>
      <c r="I186" s="1023"/>
      <c r="J186" s="3459"/>
      <c r="K186" s="3459"/>
      <c r="L186" s="3459"/>
      <c r="M186" s="3459"/>
      <c r="N186" s="3459"/>
      <c r="O186" s="3459"/>
      <c r="P186" s="3459"/>
      <c r="Q186" s="3459"/>
      <c r="R186" s="3459"/>
      <c r="S186" s="3459"/>
      <c r="T186" s="3459"/>
      <c r="U186" s="3459"/>
    </row>
    <row r="187" spans="1:21" s="1010" customFormat="1" ht="14.25" customHeight="1">
      <c r="A187" s="3423" t="s">
        <v>1153</v>
      </c>
      <c r="B187" s="3423" t="s">
        <v>2885</v>
      </c>
      <c r="C187" s="3423"/>
      <c r="D187" s="3423"/>
      <c r="E187" s="3423"/>
      <c r="F187" s="3429">
        <v>2070</v>
      </c>
      <c r="G187" s="3429"/>
      <c r="I187" s="1023"/>
      <c r="J187" s="3459"/>
      <c r="K187" s="3459"/>
      <c r="L187" s="3459"/>
      <c r="M187" s="3459"/>
      <c r="N187" s="3459"/>
      <c r="O187" s="3459"/>
      <c r="P187" s="3459"/>
      <c r="Q187" s="3459"/>
      <c r="R187" s="3459"/>
      <c r="S187" s="3459"/>
      <c r="T187" s="3459"/>
      <c r="U187" s="3459"/>
    </row>
    <row r="188" spans="1:21" s="1010" customFormat="1" ht="14.25" customHeight="1">
      <c r="A188" s="3423" t="s">
        <v>1153</v>
      </c>
      <c r="B188" s="3423" t="s">
        <v>2886</v>
      </c>
      <c r="C188" s="3423"/>
      <c r="D188" s="3423"/>
      <c r="E188" s="3423"/>
      <c r="F188" s="3429">
        <v>2340</v>
      </c>
      <c r="G188" s="3429"/>
      <c r="I188" s="1023"/>
      <c r="J188" s="3459"/>
      <c r="K188" s="3459"/>
      <c r="L188" s="3459"/>
      <c r="M188" s="3459"/>
      <c r="N188" s="3459"/>
      <c r="O188" s="3459"/>
      <c r="P188" s="3459"/>
      <c r="Q188" s="3459"/>
      <c r="R188" s="3459"/>
      <c r="S188" s="3459"/>
      <c r="T188" s="3459"/>
      <c r="U188" s="3459"/>
    </row>
    <row r="189" spans="1:21" s="1010" customFormat="1" ht="14.25" customHeight="1" thickBot="1">
      <c r="A189" s="3438" t="s">
        <v>1153</v>
      </c>
      <c r="B189" s="3426" t="s">
        <v>2887</v>
      </c>
      <c r="C189" s="3426"/>
      <c r="D189" s="3426"/>
      <c r="E189" s="3426"/>
      <c r="F189" s="3427">
        <v>2050</v>
      </c>
      <c r="G189" s="3439"/>
      <c r="I189" s="1023"/>
      <c r="J189" s="3459"/>
      <c r="K189" s="3459"/>
      <c r="L189" s="3459"/>
      <c r="M189" s="3459"/>
      <c r="N189" s="3459"/>
      <c r="O189" s="3459"/>
      <c r="P189" s="3459"/>
      <c r="Q189" s="3459"/>
      <c r="R189" s="3459"/>
      <c r="S189" s="3459"/>
      <c r="T189" s="3459"/>
      <c r="U189" s="3459"/>
    </row>
    <row r="190" spans="1:21" s="1010" customFormat="1" ht="14.25" customHeight="1">
      <c r="A190" s="3437" t="s">
        <v>1154</v>
      </c>
      <c r="B190" s="1288" t="s">
        <v>2888</v>
      </c>
      <c r="C190" s="1288">
        <v>8830</v>
      </c>
      <c r="D190" s="1288">
        <v>8790</v>
      </c>
      <c r="E190" s="1288">
        <v>11630</v>
      </c>
      <c r="F190" s="3424">
        <v>1790</v>
      </c>
      <c r="G190" s="3424">
        <v>5550</v>
      </c>
      <c r="I190" s="1023"/>
      <c r="J190" s="3459"/>
      <c r="K190" s="3459"/>
      <c r="L190" s="3459"/>
      <c r="M190" s="3459"/>
      <c r="N190" s="3459"/>
      <c r="O190" s="3459"/>
      <c r="P190" s="3459"/>
      <c r="Q190" s="3459"/>
      <c r="R190" s="3459"/>
      <c r="S190" s="3459"/>
      <c r="T190" s="3459"/>
      <c r="U190" s="3459"/>
    </row>
    <row r="191" spans="1:21" s="1010" customFormat="1" ht="14.25" customHeight="1">
      <c r="A191" s="3423" t="s">
        <v>1154</v>
      </c>
      <c r="B191" s="3423" t="s">
        <v>978</v>
      </c>
      <c r="C191" s="3423">
        <v>9780</v>
      </c>
      <c r="D191" s="3423">
        <v>9710</v>
      </c>
      <c r="E191" s="3423">
        <v>12550</v>
      </c>
      <c r="F191" s="3429">
        <v>1980</v>
      </c>
      <c r="G191" s="3429">
        <v>6130</v>
      </c>
      <c r="I191" s="1023"/>
      <c r="J191" s="3459"/>
      <c r="K191" s="3459"/>
      <c r="L191" s="3459"/>
      <c r="M191" s="3459"/>
      <c r="N191" s="3459"/>
      <c r="O191" s="3459"/>
      <c r="P191" s="3459"/>
      <c r="Q191" s="3459"/>
      <c r="R191" s="3459"/>
      <c r="S191" s="3459"/>
      <c r="T191" s="3459"/>
      <c r="U191" s="3459"/>
    </row>
    <row r="192" spans="1:21" s="1010" customFormat="1" ht="14.25" customHeight="1">
      <c r="A192" s="3423" t="s">
        <v>1154</v>
      </c>
      <c r="B192" s="3423" t="s">
        <v>988</v>
      </c>
      <c r="C192" s="3423">
        <v>8180</v>
      </c>
      <c r="D192" s="3423">
        <v>8140</v>
      </c>
      <c r="E192" s="3423">
        <v>10870</v>
      </c>
      <c r="F192" s="3429">
        <v>1690</v>
      </c>
      <c r="G192" s="3429">
        <v>5140</v>
      </c>
      <c r="I192" s="1023"/>
      <c r="J192" s="3459"/>
      <c r="K192" s="3459"/>
      <c r="L192" s="3459"/>
      <c r="M192" s="3459"/>
      <c r="N192" s="3459"/>
      <c r="O192" s="3459"/>
      <c r="P192" s="3459"/>
      <c r="Q192" s="3459"/>
      <c r="R192" s="3459"/>
      <c r="S192" s="3459"/>
      <c r="T192" s="3459"/>
      <c r="U192" s="3459"/>
    </row>
    <row r="193" spans="1:21" s="1010" customFormat="1" ht="14.25" customHeight="1">
      <c r="A193" s="3423" t="s">
        <v>1154</v>
      </c>
      <c r="B193" s="3423" t="s">
        <v>997</v>
      </c>
      <c r="C193" s="3423">
        <v>8440</v>
      </c>
      <c r="D193" s="3423">
        <v>8390</v>
      </c>
      <c r="E193" s="3423">
        <v>11210</v>
      </c>
      <c r="F193" s="3429">
        <v>1600</v>
      </c>
      <c r="G193" s="3429">
        <v>5300</v>
      </c>
      <c r="I193" s="1023"/>
      <c r="J193" s="3459"/>
      <c r="K193" s="3459"/>
      <c r="L193" s="3459"/>
      <c r="M193" s="3459"/>
      <c r="N193" s="3459"/>
      <c r="O193" s="3459"/>
      <c r="P193" s="3459"/>
      <c r="Q193" s="3459"/>
      <c r="R193" s="3459"/>
      <c r="S193" s="3459"/>
      <c r="T193" s="3459"/>
      <c r="U193" s="3459"/>
    </row>
    <row r="194" spans="1:21" s="1010" customFormat="1" ht="14.25" customHeight="1">
      <c r="A194" s="3423" t="s">
        <v>1154</v>
      </c>
      <c r="B194" s="3423" t="s">
        <v>1007</v>
      </c>
      <c r="C194" s="3423">
        <v>8780</v>
      </c>
      <c r="D194" s="3423">
        <v>8730</v>
      </c>
      <c r="E194" s="3423">
        <v>11550</v>
      </c>
      <c r="F194" s="3429">
        <v>1660</v>
      </c>
      <c r="G194" s="3429">
        <v>5520</v>
      </c>
      <c r="I194" s="1023"/>
      <c r="J194" s="3459"/>
      <c r="K194" s="3459"/>
      <c r="L194" s="3459"/>
      <c r="M194" s="3459"/>
      <c r="N194" s="3459"/>
      <c r="O194" s="3459"/>
      <c r="P194" s="3459"/>
      <c r="Q194" s="3459"/>
      <c r="R194" s="3459"/>
      <c r="S194" s="3459"/>
      <c r="T194" s="3459"/>
      <c r="U194" s="3459"/>
    </row>
    <row r="195" spans="1:21" s="1010" customFormat="1" ht="14.25" customHeight="1">
      <c r="A195" s="3423" t="s">
        <v>1154</v>
      </c>
      <c r="B195" s="3423" t="s">
        <v>1014</v>
      </c>
      <c r="C195" s="3423">
        <v>8720</v>
      </c>
      <c r="D195" s="3423">
        <v>8670</v>
      </c>
      <c r="E195" s="3423">
        <v>11450</v>
      </c>
      <c r="F195" s="3429">
        <v>1720</v>
      </c>
      <c r="G195" s="3429">
        <v>5480</v>
      </c>
      <c r="I195" s="1023"/>
      <c r="J195" s="3459"/>
      <c r="K195" s="3459"/>
      <c r="L195" s="3459"/>
      <c r="M195" s="3459"/>
      <c r="N195" s="3459"/>
      <c r="O195" s="3459"/>
      <c r="P195" s="3459"/>
      <c r="Q195" s="3459"/>
      <c r="R195" s="3459"/>
      <c r="S195" s="3459"/>
      <c r="T195" s="3459"/>
      <c r="U195" s="3459"/>
    </row>
    <row r="196" spans="1:21" s="1010" customFormat="1" ht="14.25" customHeight="1">
      <c r="A196" s="3423" t="s">
        <v>1154</v>
      </c>
      <c r="B196" s="3423" t="s">
        <v>1020</v>
      </c>
      <c r="C196" s="3423">
        <v>8460</v>
      </c>
      <c r="D196" s="3423">
        <v>8410</v>
      </c>
      <c r="E196" s="3423">
        <v>11230</v>
      </c>
      <c r="F196" s="3429">
        <v>1730</v>
      </c>
      <c r="G196" s="3429">
        <v>5310</v>
      </c>
      <c r="I196" s="1023"/>
      <c r="J196" s="3459"/>
      <c r="K196" s="3459"/>
      <c r="L196" s="3459"/>
      <c r="M196" s="3459"/>
      <c r="N196" s="3459"/>
      <c r="O196" s="3459"/>
      <c r="P196" s="3459"/>
      <c r="Q196" s="3459"/>
      <c r="R196" s="3459"/>
      <c r="S196" s="3459"/>
      <c r="T196" s="3459"/>
      <c r="U196" s="3459"/>
    </row>
    <row r="197" spans="1:21" s="1010" customFormat="1" ht="14.25" customHeight="1">
      <c r="A197" s="3423" t="s">
        <v>1154</v>
      </c>
      <c r="B197" s="3423" t="s">
        <v>1027</v>
      </c>
      <c r="C197" s="3423">
        <v>8790</v>
      </c>
      <c r="D197" s="3423">
        <v>8730</v>
      </c>
      <c r="E197" s="3423">
        <v>11560</v>
      </c>
      <c r="F197" s="3429">
        <v>1750</v>
      </c>
      <c r="G197" s="3429">
        <v>5520</v>
      </c>
      <c r="I197" s="1023"/>
      <c r="J197" s="3459"/>
      <c r="K197" s="3459"/>
      <c r="L197" s="3459"/>
      <c r="M197" s="3459"/>
      <c r="N197" s="3459"/>
      <c r="O197" s="3459"/>
      <c r="P197" s="3459"/>
      <c r="Q197" s="3459"/>
      <c r="R197" s="3459"/>
      <c r="S197" s="3459"/>
      <c r="T197" s="3459"/>
      <c r="U197" s="3459"/>
    </row>
    <row r="198" spans="1:21" s="1010" customFormat="1" ht="14.25" customHeight="1">
      <c r="A198" s="3423" t="s">
        <v>1154</v>
      </c>
      <c r="B198" s="3423" t="s">
        <v>1037</v>
      </c>
      <c r="C198" s="3423">
        <v>8720</v>
      </c>
      <c r="D198" s="3423">
        <v>8680</v>
      </c>
      <c r="E198" s="3423">
        <v>11470</v>
      </c>
      <c r="F198" s="3429"/>
      <c r="G198" s="3429">
        <v>5480</v>
      </c>
      <c r="I198" s="1023"/>
      <c r="J198" s="3459"/>
      <c r="K198" s="3459"/>
      <c r="L198" s="3459"/>
      <c r="M198" s="3459"/>
      <c r="N198" s="3459"/>
      <c r="O198" s="3459"/>
      <c r="P198" s="3459"/>
      <c r="Q198" s="3459"/>
      <c r="R198" s="3459"/>
      <c r="S198" s="3459"/>
      <c r="T198" s="3459"/>
      <c r="U198" s="3459"/>
    </row>
    <row r="199" spans="1:21" s="1010" customFormat="1" ht="14.25" customHeight="1">
      <c r="A199" s="3423" t="s">
        <v>1154</v>
      </c>
      <c r="B199" s="3423" t="s">
        <v>2889</v>
      </c>
      <c r="C199" s="3423">
        <v>8690</v>
      </c>
      <c r="D199" s="3423">
        <v>8630</v>
      </c>
      <c r="E199" s="3423">
        <v>11350</v>
      </c>
      <c r="F199" s="3429">
        <v>1600</v>
      </c>
      <c r="G199" s="3429">
        <v>5450</v>
      </c>
      <c r="I199" s="1023"/>
      <c r="J199" s="3459"/>
      <c r="K199" s="3459"/>
      <c r="L199" s="3459"/>
      <c r="M199" s="3459"/>
      <c r="N199" s="3459"/>
      <c r="O199" s="3459"/>
      <c r="P199" s="3459"/>
      <c r="Q199" s="3459"/>
      <c r="R199" s="3459"/>
      <c r="S199" s="3459"/>
      <c r="T199" s="3459"/>
      <c r="U199" s="3459"/>
    </row>
    <row r="200" spans="1:21" s="1010" customFormat="1" ht="14.25" customHeight="1">
      <c r="A200" s="3423" t="s">
        <v>1154</v>
      </c>
      <c r="B200" s="3423" t="s">
        <v>2890</v>
      </c>
      <c r="C200" s="3423"/>
      <c r="D200" s="3423"/>
      <c r="E200" s="3423"/>
      <c r="F200" s="3429">
        <v>1510</v>
      </c>
      <c r="G200" s="3429"/>
      <c r="I200" s="1023"/>
      <c r="J200" s="3459"/>
      <c r="K200" s="3459"/>
      <c r="L200" s="3459"/>
      <c r="M200" s="3459"/>
      <c r="N200" s="3459"/>
      <c r="O200" s="3459"/>
      <c r="P200" s="3459"/>
      <c r="Q200" s="3459"/>
      <c r="R200" s="3459"/>
      <c r="S200" s="3459"/>
      <c r="T200" s="3459"/>
      <c r="U200" s="3459"/>
    </row>
    <row r="201" spans="1:21" s="1010" customFormat="1" ht="14.25" customHeight="1">
      <c r="A201" s="3423" t="s">
        <v>1154</v>
      </c>
      <c r="B201" s="3423" t="s">
        <v>2891</v>
      </c>
      <c r="C201" s="3423">
        <v>8440</v>
      </c>
      <c r="D201" s="3423">
        <v>8390</v>
      </c>
      <c r="E201" s="3423">
        <v>10930</v>
      </c>
      <c r="F201" s="3429">
        <v>1500</v>
      </c>
      <c r="G201" s="3429">
        <v>5300</v>
      </c>
      <c r="I201" s="1023"/>
      <c r="J201" s="3459"/>
      <c r="K201" s="3459"/>
      <c r="L201" s="3459"/>
      <c r="M201" s="3459"/>
      <c r="N201" s="3459"/>
      <c r="O201" s="3459"/>
      <c r="P201" s="3459"/>
      <c r="Q201" s="3459"/>
      <c r="R201" s="3459"/>
      <c r="S201" s="3459"/>
      <c r="T201" s="3459"/>
      <c r="U201" s="3459"/>
    </row>
    <row r="202" spans="1:21" s="1010" customFormat="1" ht="14.25" customHeight="1">
      <c r="A202" s="3423" t="s">
        <v>1154</v>
      </c>
      <c r="B202" s="3423" t="s">
        <v>1088</v>
      </c>
      <c r="C202" s="3423">
        <v>8530</v>
      </c>
      <c r="D202" s="3423">
        <v>8490</v>
      </c>
      <c r="E202" s="3423">
        <v>11160</v>
      </c>
      <c r="F202" s="3429">
        <v>1580</v>
      </c>
      <c r="G202" s="3429">
        <v>5360</v>
      </c>
      <c r="I202" s="1023"/>
      <c r="J202" s="3459"/>
      <c r="K202" s="3459"/>
      <c r="L202" s="3459"/>
      <c r="M202" s="3459"/>
      <c r="N202" s="3459"/>
      <c r="O202" s="3459"/>
      <c r="P202" s="3459"/>
      <c r="Q202" s="3459"/>
      <c r="R202" s="3459"/>
      <c r="S202" s="3459"/>
      <c r="T202" s="3459"/>
      <c r="U202" s="3459"/>
    </row>
    <row r="203" spans="1:21" s="1010" customFormat="1" ht="14.25" customHeight="1">
      <c r="A203" s="3423" t="s">
        <v>1154</v>
      </c>
      <c r="B203" s="3423" t="s">
        <v>2892</v>
      </c>
      <c r="C203" s="3423">
        <v>8130</v>
      </c>
      <c r="D203" s="3423">
        <v>8070</v>
      </c>
      <c r="E203" s="3423">
        <v>10820</v>
      </c>
      <c r="F203" s="3429">
        <v>1690</v>
      </c>
      <c r="G203" s="3429">
        <v>5100</v>
      </c>
      <c r="I203" s="1023"/>
      <c r="J203" s="3459"/>
      <c r="K203" s="3459"/>
      <c r="L203" s="3459"/>
      <c r="M203" s="3459"/>
      <c r="N203" s="3459"/>
      <c r="O203" s="3459"/>
      <c r="P203" s="3459"/>
      <c r="Q203" s="3459"/>
      <c r="R203" s="3459"/>
      <c r="S203" s="3459"/>
      <c r="T203" s="3459"/>
      <c r="U203" s="3459"/>
    </row>
    <row r="204" spans="1:21" s="1010" customFormat="1" ht="14.25" customHeight="1">
      <c r="A204" s="3423" t="s">
        <v>1154</v>
      </c>
      <c r="B204" s="3423" t="s">
        <v>2893</v>
      </c>
      <c r="C204" s="3423">
        <v>8350</v>
      </c>
      <c r="D204" s="3423">
        <v>8290</v>
      </c>
      <c r="E204" s="3423">
        <v>11080</v>
      </c>
      <c r="F204" s="3429">
        <v>1450</v>
      </c>
      <c r="G204" s="3429">
        <v>5240</v>
      </c>
      <c r="I204" s="1023"/>
      <c r="J204" s="3459"/>
      <c r="K204" s="3459"/>
      <c r="L204" s="3459"/>
      <c r="M204" s="3459"/>
      <c r="N204" s="3459"/>
      <c r="O204" s="3459"/>
      <c r="P204" s="3459"/>
      <c r="Q204" s="3459"/>
      <c r="R204" s="3459"/>
      <c r="S204" s="3459"/>
      <c r="T204" s="3459"/>
      <c r="U204" s="3459"/>
    </row>
    <row r="205" spans="1:21" s="1010" customFormat="1" ht="14.25" customHeight="1">
      <c r="A205" s="3423" t="s">
        <v>1154</v>
      </c>
      <c r="B205" s="3423" t="s">
        <v>2894</v>
      </c>
      <c r="C205" s="3423">
        <v>7190</v>
      </c>
      <c r="D205" s="3423">
        <v>7130</v>
      </c>
      <c r="E205" s="3423">
        <v>9490</v>
      </c>
      <c r="F205" s="3429">
        <v>1470</v>
      </c>
      <c r="G205" s="3436">
        <v>4510</v>
      </c>
      <c r="I205" s="1023"/>
      <c r="J205" s="3459"/>
      <c r="K205" s="3459"/>
      <c r="L205" s="3459"/>
      <c r="M205" s="3459"/>
      <c r="N205" s="3459"/>
      <c r="O205" s="3459"/>
      <c r="P205" s="3459"/>
      <c r="Q205" s="3459"/>
      <c r="R205" s="3459"/>
      <c r="S205" s="3459"/>
      <c r="T205" s="3459"/>
      <c r="U205" s="3459"/>
    </row>
    <row r="206" spans="1:21" s="1010" customFormat="1" ht="14.25" customHeight="1">
      <c r="A206" s="1288" t="s">
        <v>1154</v>
      </c>
      <c r="B206" s="1288" t="s">
        <v>2895</v>
      </c>
      <c r="C206" s="1288">
        <v>7000</v>
      </c>
      <c r="D206" s="1288">
        <v>6950</v>
      </c>
      <c r="E206" s="1288">
        <v>9170</v>
      </c>
      <c r="F206" s="3424">
        <v>1400</v>
      </c>
      <c r="G206" s="3424">
        <v>4380</v>
      </c>
      <c r="I206" s="1023"/>
      <c r="J206" s="3459"/>
      <c r="K206" s="3459"/>
      <c r="L206" s="3459"/>
      <c r="M206" s="3459"/>
      <c r="N206" s="3459"/>
      <c r="O206" s="3459"/>
      <c r="P206" s="3459"/>
      <c r="Q206" s="3459"/>
      <c r="R206" s="3459"/>
      <c r="S206" s="3459"/>
      <c r="T206" s="3459"/>
      <c r="U206" s="3459"/>
    </row>
    <row r="207" spans="1:21" s="1010" customFormat="1" ht="14.25" customHeight="1">
      <c r="A207" s="3423" t="s">
        <v>1154</v>
      </c>
      <c r="B207" s="3423" t="s">
        <v>2896</v>
      </c>
      <c r="C207" s="3423">
        <v>6950</v>
      </c>
      <c r="D207" s="3423">
        <v>6900</v>
      </c>
      <c r="E207" s="3423">
        <v>9110</v>
      </c>
      <c r="F207" s="3429">
        <v>1790</v>
      </c>
      <c r="G207" s="3429">
        <v>4360</v>
      </c>
      <c r="I207" s="1023"/>
      <c r="J207" s="3459"/>
      <c r="K207" s="3459"/>
      <c r="L207" s="3459"/>
      <c r="M207" s="3459"/>
      <c r="N207" s="3459"/>
      <c r="O207" s="3459"/>
      <c r="P207" s="3459"/>
      <c r="Q207" s="3459"/>
      <c r="R207" s="3459"/>
      <c r="S207" s="3459"/>
      <c r="T207" s="3459"/>
      <c r="U207" s="3459"/>
    </row>
    <row r="208" spans="1:21" s="1010" customFormat="1" ht="14.25" customHeight="1">
      <c r="A208" s="3423" t="s">
        <v>1154</v>
      </c>
      <c r="B208" s="3423" t="s">
        <v>2897</v>
      </c>
      <c r="C208" s="3423">
        <v>9470</v>
      </c>
      <c r="D208" s="3423">
        <v>9410</v>
      </c>
      <c r="E208" s="3423">
        <v>12330</v>
      </c>
      <c r="F208" s="3429">
        <v>1770</v>
      </c>
      <c r="G208" s="3429">
        <v>5940</v>
      </c>
      <c r="I208" s="1023"/>
      <c r="J208" s="3459"/>
      <c r="K208" s="3459"/>
      <c r="L208" s="3459"/>
      <c r="M208" s="3459"/>
      <c r="N208" s="3459"/>
      <c r="O208" s="3459"/>
      <c r="P208" s="3459"/>
      <c r="Q208" s="3459"/>
      <c r="R208" s="3459"/>
      <c r="S208" s="3459"/>
      <c r="T208" s="3459"/>
      <c r="U208" s="3459"/>
    </row>
    <row r="209" spans="1:21" s="1010" customFormat="1" ht="14.25" customHeight="1">
      <c r="A209" s="3423" t="s">
        <v>1154</v>
      </c>
      <c r="B209" s="3423" t="s">
        <v>1112</v>
      </c>
      <c r="C209" s="3423">
        <v>8740</v>
      </c>
      <c r="D209" s="3423">
        <v>8700</v>
      </c>
      <c r="E209" s="3423">
        <v>11500</v>
      </c>
      <c r="F209" s="3429">
        <v>1730</v>
      </c>
      <c r="G209" s="3429">
        <v>5490</v>
      </c>
      <c r="I209" s="1023"/>
      <c r="J209" s="3459"/>
      <c r="K209" s="3459"/>
      <c r="L209" s="3459"/>
      <c r="M209" s="3459"/>
      <c r="N209" s="3459"/>
      <c r="O209" s="3459"/>
      <c r="P209" s="3459"/>
      <c r="Q209" s="3459"/>
      <c r="R209" s="3459"/>
      <c r="S209" s="3459"/>
      <c r="T209" s="3459"/>
      <c r="U209" s="3459"/>
    </row>
    <row r="210" spans="1:21" s="1010" customFormat="1" ht="14.25" customHeight="1">
      <c r="A210" s="3423" t="s">
        <v>1154</v>
      </c>
      <c r="B210" s="3423" t="s">
        <v>2898</v>
      </c>
      <c r="C210" s="3423">
        <v>8710</v>
      </c>
      <c r="D210" s="3423">
        <v>8660</v>
      </c>
      <c r="E210" s="3423">
        <v>11440</v>
      </c>
      <c r="F210" s="3429">
        <v>1740</v>
      </c>
      <c r="G210" s="3429">
        <v>5470</v>
      </c>
      <c r="I210" s="1023"/>
      <c r="J210" s="3459"/>
      <c r="K210" s="3459"/>
      <c r="L210" s="3459"/>
      <c r="M210" s="3459"/>
      <c r="N210" s="3459"/>
      <c r="O210" s="3459"/>
      <c r="P210" s="3459"/>
      <c r="Q210" s="3459"/>
      <c r="R210" s="3459"/>
      <c r="S210" s="3459"/>
      <c r="T210" s="3459"/>
      <c r="U210" s="3459"/>
    </row>
    <row r="211" spans="1:21" s="1010" customFormat="1" ht="14.25" customHeight="1">
      <c r="A211" s="3423" t="s">
        <v>1154</v>
      </c>
      <c r="B211" s="3423" t="s">
        <v>2899</v>
      </c>
      <c r="C211" s="3423">
        <v>9480</v>
      </c>
      <c r="D211" s="3423">
        <v>9430</v>
      </c>
      <c r="E211" s="3423">
        <v>12360</v>
      </c>
      <c r="F211" s="3429">
        <v>1820</v>
      </c>
      <c r="G211" s="3429">
        <v>5950</v>
      </c>
      <c r="I211" s="1023"/>
      <c r="J211" s="3459"/>
      <c r="K211" s="3459"/>
      <c r="L211" s="3459"/>
      <c r="M211" s="3459"/>
      <c r="N211" s="3459"/>
      <c r="O211" s="3459"/>
      <c r="P211" s="3459"/>
      <c r="Q211" s="3459"/>
      <c r="R211" s="3459"/>
      <c r="S211" s="3459"/>
      <c r="T211" s="3459"/>
      <c r="U211" s="3459"/>
    </row>
    <row r="212" spans="1:21" s="1010" customFormat="1" ht="14.25" customHeight="1">
      <c r="A212" s="3423" t="s">
        <v>1154</v>
      </c>
      <c r="B212" s="3423" t="s">
        <v>1134</v>
      </c>
      <c r="C212" s="3423">
        <v>9070</v>
      </c>
      <c r="D212" s="3423">
        <v>9020</v>
      </c>
      <c r="E212" s="3423">
        <v>11720</v>
      </c>
      <c r="F212" s="3429">
        <v>1850</v>
      </c>
      <c r="G212" s="3429">
        <v>5700</v>
      </c>
      <c r="I212" s="1023"/>
      <c r="J212" s="3459"/>
      <c r="K212" s="3459"/>
      <c r="L212" s="3459"/>
      <c r="M212" s="3459"/>
      <c r="N212" s="3459"/>
      <c r="O212" s="3459"/>
      <c r="P212" s="3459"/>
      <c r="Q212" s="3459"/>
      <c r="R212" s="3459"/>
      <c r="S212" s="3459"/>
      <c r="T212" s="3459"/>
      <c r="U212" s="3459"/>
    </row>
    <row r="213" spans="1:21" s="1010" customFormat="1" ht="14.25" customHeight="1">
      <c r="A213" s="3423" t="s">
        <v>1154</v>
      </c>
      <c r="B213" s="3423" t="s">
        <v>1137</v>
      </c>
      <c r="C213" s="3423">
        <v>9030</v>
      </c>
      <c r="D213" s="3423">
        <v>8980</v>
      </c>
      <c r="E213" s="3423">
        <v>11670</v>
      </c>
      <c r="F213" s="3429">
        <v>1690</v>
      </c>
      <c r="G213" s="3429">
        <v>5670</v>
      </c>
      <c r="I213" s="1023"/>
      <c r="J213" s="3459"/>
      <c r="K213" s="3459"/>
      <c r="L213" s="3459"/>
      <c r="M213" s="3459"/>
      <c r="N213" s="3459"/>
      <c r="O213" s="3459"/>
      <c r="P213" s="3459"/>
      <c r="Q213" s="3459"/>
      <c r="R213" s="3459"/>
      <c r="S213" s="3459"/>
      <c r="T213" s="3459"/>
      <c r="U213" s="3459"/>
    </row>
    <row r="214" spans="1:21" s="1010" customFormat="1" ht="14.25" customHeight="1">
      <c r="A214" s="3423" t="s">
        <v>1154</v>
      </c>
      <c r="B214" s="3423" t="s">
        <v>2900</v>
      </c>
      <c r="C214" s="3423">
        <v>8090</v>
      </c>
      <c r="D214" s="3423">
        <v>8030</v>
      </c>
      <c r="E214" s="3423">
        <v>10780</v>
      </c>
      <c r="F214" s="3429">
        <v>1570</v>
      </c>
      <c r="G214" s="3431">
        <v>5070</v>
      </c>
      <c r="I214" s="1023"/>
      <c r="J214" s="3459"/>
      <c r="K214" s="3459"/>
      <c r="L214" s="3459"/>
      <c r="M214" s="3459"/>
      <c r="N214" s="3459"/>
      <c r="O214" s="3459"/>
      <c r="P214" s="3459"/>
      <c r="Q214" s="3459"/>
      <c r="R214" s="3459"/>
      <c r="S214" s="3459"/>
      <c r="T214" s="3459"/>
      <c r="U214" s="3459"/>
    </row>
    <row r="215" spans="1:21" s="1010" customFormat="1" ht="14.25" customHeight="1">
      <c r="A215" s="3423" t="s">
        <v>1154</v>
      </c>
      <c r="B215" s="3423" t="s">
        <v>1123</v>
      </c>
      <c r="C215" s="3423">
        <v>7950</v>
      </c>
      <c r="D215" s="3423">
        <v>7900</v>
      </c>
      <c r="E215" s="3423">
        <v>10560</v>
      </c>
      <c r="F215" s="3429">
        <v>1630</v>
      </c>
      <c r="G215" s="3429">
        <v>4990</v>
      </c>
      <c r="I215" s="1023"/>
      <c r="J215" s="3459"/>
      <c r="K215" s="3459"/>
      <c r="L215" s="3459"/>
      <c r="M215" s="3459"/>
      <c r="N215" s="3459"/>
      <c r="O215" s="3459"/>
      <c r="P215" s="3459"/>
      <c r="Q215" s="3459"/>
      <c r="R215" s="3459"/>
      <c r="S215" s="3459"/>
      <c r="T215" s="3459"/>
      <c r="U215" s="3459"/>
    </row>
    <row r="216" spans="1:21" s="1010" customFormat="1" ht="14.25" customHeight="1">
      <c r="A216" s="3423" t="s">
        <v>1154</v>
      </c>
      <c r="B216" s="3423" t="s">
        <v>2901</v>
      </c>
      <c r="C216" s="3423">
        <v>8490</v>
      </c>
      <c r="D216" s="3423">
        <v>8440</v>
      </c>
      <c r="E216" s="3423">
        <v>11260</v>
      </c>
      <c r="F216" s="3429">
        <v>1690</v>
      </c>
      <c r="G216" s="3429">
        <v>5330</v>
      </c>
      <c r="I216" s="1023"/>
      <c r="J216" s="3459"/>
      <c r="K216" s="3459"/>
      <c r="L216" s="3459"/>
      <c r="M216" s="3459"/>
      <c r="N216" s="3459"/>
      <c r="O216" s="3459"/>
      <c r="P216" s="3459"/>
      <c r="Q216" s="3459"/>
      <c r="R216" s="3459"/>
      <c r="S216" s="3459"/>
      <c r="T216" s="3459"/>
      <c r="U216" s="3459"/>
    </row>
    <row r="217" spans="1:21" s="1010" customFormat="1" ht="14.25" customHeight="1">
      <c r="A217" s="3423" t="s">
        <v>1154</v>
      </c>
      <c r="B217" s="3423" t="s">
        <v>2902</v>
      </c>
      <c r="C217" s="3423">
        <v>8200</v>
      </c>
      <c r="D217" s="3423">
        <v>8150</v>
      </c>
      <c r="E217" s="3423">
        <v>10910</v>
      </c>
      <c r="F217" s="3429">
        <v>1670</v>
      </c>
      <c r="G217" s="3429">
        <v>5150</v>
      </c>
      <c r="I217" s="1023"/>
      <c r="J217" s="3459"/>
      <c r="K217" s="3459"/>
      <c r="L217" s="3459"/>
      <c r="M217" s="3459"/>
      <c r="N217" s="3459"/>
      <c r="O217" s="3459"/>
      <c r="P217" s="3459"/>
      <c r="Q217" s="3459"/>
      <c r="R217" s="3459"/>
      <c r="S217" s="3459"/>
      <c r="T217" s="3459"/>
      <c r="U217" s="3459"/>
    </row>
    <row r="218" spans="1:21" s="1010" customFormat="1" ht="14.25" customHeight="1">
      <c r="A218" s="3423" t="s">
        <v>1154</v>
      </c>
      <c r="B218" s="3423" t="s">
        <v>2903</v>
      </c>
      <c r="C218" s="3423"/>
      <c r="D218" s="3423"/>
      <c r="E218" s="3423"/>
      <c r="F218" s="3429">
        <v>2040</v>
      </c>
      <c r="G218" s="3429"/>
      <c r="I218" s="1023"/>
      <c r="J218" s="3459"/>
      <c r="K218" s="3459"/>
      <c r="L218" s="3459"/>
      <c r="M218" s="3459"/>
      <c r="N218" s="3459"/>
      <c r="O218" s="3459"/>
      <c r="P218" s="3459"/>
      <c r="Q218" s="3459"/>
      <c r="R218" s="3459"/>
      <c r="S218" s="3459"/>
      <c r="T218" s="3459"/>
      <c r="U218" s="3459"/>
    </row>
    <row r="219" spans="1:21" s="1010" customFormat="1" ht="14.25" customHeight="1">
      <c r="A219" s="3423" t="s">
        <v>1154</v>
      </c>
      <c r="B219" s="3423" t="s">
        <v>2904</v>
      </c>
      <c r="C219" s="3423"/>
      <c r="D219" s="3423"/>
      <c r="E219" s="3423"/>
      <c r="F219" s="3429">
        <v>2040</v>
      </c>
      <c r="G219" s="3429"/>
      <c r="I219" s="1023"/>
      <c r="J219" s="3459"/>
      <c r="K219" s="3459"/>
      <c r="L219" s="3459"/>
      <c r="M219" s="3459"/>
      <c r="N219" s="3459"/>
      <c r="O219" s="3459"/>
      <c r="P219" s="3459"/>
      <c r="Q219" s="3459"/>
      <c r="R219" s="3459"/>
      <c r="S219" s="3459"/>
      <c r="T219" s="3459"/>
      <c r="U219" s="3459"/>
    </row>
    <row r="220" spans="1:21" s="1010" customFormat="1" ht="14.25" customHeight="1">
      <c r="A220" s="3423" t="s">
        <v>1154</v>
      </c>
      <c r="B220" s="3423" t="s">
        <v>2905</v>
      </c>
      <c r="C220" s="3423"/>
      <c r="D220" s="3423"/>
      <c r="E220" s="3423"/>
      <c r="F220" s="3429">
        <v>2040</v>
      </c>
      <c r="G220" s="3429"/>
      <c r="I220" s="1023"/>
      <c r="J220" s="3459"/>
      <c r="K220" s="3459"/>
      <c r="L220" s="3459"/>
      <c r="M220" s="3459"/>
      <c r="N220" s="3459"/>
      <c r="O220" s="3459"/>
      <c r="P220" s="3459"/>
      <c r="Q220" s="3459"/>
      <c r="R220" s="3459"/>
      <c r="S220" s="3459"/>
      <c r="T220" s="3459"/>
      <c r="U220" s="3459"/>
    </row>
    <row r="221" spans="1:21" s="1010" customFormat="1" ht="14.25" customHeight="1">
      <c r="A221" s="3423" t="s">
        <v>1154</v>
      </c>
      <c r="B221" s="3423" t="s">
        <v>2906</v>
      </c>
      <c r="C221" s="3432"/>
      <c r="D221" s="3432"/>
      <c r="E221" s="3432"/>
      <c r="F221" s="3431">
        <v>2040</v>
      </c>
      <c r="G221" s="3429"/>
      <c r="I221" s="1023"/>
      <c r="J221" s="3459"/>
      <c r="K221" s="3459"/>
      <c r="L221" s="3459"/>
      <c r="M221" s="3459"/>
      <c r="N221" s="3459"/>
      <c r="O221" s="3459"/>
      <c r="P221" s="3459"/>
      <c r="Q221" s="3459"/>
      <c r="R221" s="3459"/>
      <c r="S221" s="3459"/>
      <c r="T221" s="3459"/>
      <c r="U221" s="3459"/>
    </row>
    <row r="222" spans="1:21" s="1010" customFormat="1" ht="14.25" customHeight="1">
      <c r="A222" s="3423" t="s">
        <v>1154</v>
      </c>
      <c r="B222" s="3423" t="s">
        <v>2907</v>
      </c>
      <c r="C222" s="3432"/>
      <c r="D222" s="3432"/>
      <c r="E222" s="3432"/>
      <c r="F222" s="3431">
        <v>2040</v>
      </c>
      <c r="G222" s="3429"/>
      <c r="I222" s="1023"/>
      <c r="J222" s="3459"/>
      <c r="K222" s="3459"/>
      <c r="L222" s="3459"/>
      <c r="M222" s="3459"/>
      <c r="N222" s="3459"/>
      <c r="O222" s="3459"/>
      <c r="P222" s="3459"/>
      <c r="Q222" s="3459"/>
      <c r="R222" s="3459"/>
      <c r="S222" s="3459"/>
      <c r="T222" s="3459"/>
      <c r="U222" s="3459"/>
    </row>
    <row r="223" spans="1:21" s="1010" customFormat="1" ht="14.25" customHeight="1">
      <c r="A223" s="3423" t="s">
        <v>1154</v>
      </c>
      <c r="B223" s="3423" t="s">
        <v>2908</v>
      </c>
      <c r="C223" s="3432"/>
      <c r="D223" s="3432"/>
      <c r="E223" s="3432"/>
      <c r="F223" s="3431">
        <v>1930</v>
      </c>
      <c r="G223" s="3429"/>
      <c r="I223" s="1023"/>
      <c r="J223" s="3459"/>
      <c r="K223" s="3459"/>
      <c r="L223" s="3459"/>
      <c r="M223" s="3459"/>
      <c r="N223" s="3459"/>
      <c r="O223" s="3459"/>
      <c r="P223" s="3459"/>
      <c r="Q223" s="3459"/>
      <c r="R223" s="3459"/>
      <c r="S223" s="3459"/>
      <c r="T223" s="3459"/>
      <c r="U223" s="3459"/>
    </row>
    <row r="224" spans="1:21" s="1010" customFormat="1" ht="14.25" customHeight="1">
      <c r="A224" s="3423" t="s">
        <v>1154</v>
      </c>
      <c r="B224" s="3423" t="s">
        <v>2909</v>
      </c>
      <c r="C224" s="3432"/>
      <c r="D224" s="3432"/>
      <c r="E224" s="3432"/>
      <c r="F224" s="3431">
        <v>1930</v>
      </c>
      <c r="G224" s="3429"/>
      <c r="I224" s="1023"/>
      <c r="J224" s="3459"/>
      <c r="K224" s="3459"/>
      <c r="L224" s="3459"/>
      <c r="M224" s="3459"/>
      <c r="N224" s="3459"/>
      <c r="O224" s="3459"/>
      <c r="P224" s="3459"/>
      <c r="Q224" s="3459"/>
      <c r="R224" s="3459"/>
      <c r="S224" s="3459"/>
      <c r="T224" s="3459"/>
      <c r="U224" s="3459"/>
    </row>
    <row r="225" spans="1:21" s="1010" customFormat="1" ht="14.25" customHeight="1">
      <c r="A225" s="3423" t="s">
        <v>1154</v>
      </c>
      <c r="B225" s="3423" t="s">
        <v>2910</v>
      </c>
      <c r="C225" s="3423"/>
      <c r="D225" s="3423"/>
      <c r="E225" s="3423"/>
      <c r="F225" s="3429">
        <v>1930</v>
      </c>
      <c r="G225" s="3429"/>
      <c r="I225" s="1023"/>
      <c r="J225" s="3459"/>
      <c r="K225" s="3459"/>
      <c r="L225" s="3459"/>
      <c r="M225" s="3459"/>
      <c r="N225" s="3459"/>
      <c r="O225" s="3459"/>
      <c r="P225" s="3459"/>
      <c r="Q225" s="3459"/>
      <c r="R225" s="3459"/>
      <c r="S225" s="3459"/>
      <c r="T225" s="3459"/>
      <c r="U225" s="3459"/>
    </row>
    <row r="226" spans="1:21" s="1010" customFormat="1" ht="14.25" customHeight="1">
      <c r="A226" s="3423" t="s">
        <v>1154</v>
      </c>
      <c r="B226" s="3423" t="s">
        <v>2911</v>
      </c>
      <c r="C226" s="3423"/>
      <c r="D226" s="3423"/>
      <c r="E226" s="3423"/>
      <c r="F226" s="3429">
        <v>1700</v>
      </c>
      <c r="G226" s="3429"/>
      <c r="I226" s="1023"/>
      <c r="J226" s="3459"/>
      <c r="K226" s="3459"/>
      <c r="L226" s="3459"/>
      <c r="M226" s="3459"/>
      <c r="N226" s="3459"/>
      <c r="O226" s="3459"/>
      <c r="P226" s="3459"/>
      <c r="Q226" s="3459"/>
      <c r="R226" s="3459"/>
      <c r="S226" s="3459"/>
      <c r="T226" s="3459"/>
      <c r="U226" s="3459"/>
    </row>
    <row r="227" spans="1:21" s="1010" customFormat="1" ht="14.25" customHeight="1">
      <c r="A227" s="3423" t="s">
        <v>1154</v>
      </c>
      <c r="B227" s="3423" t="s">
        <v>2912</v>
      </c>
      <c r="C227" s="3423"/>
      <c r="D227" s="3423"/>
      <c r="E227" s="3423"/>
      <c r="F227" s="3429">
        <v>1520</v>
      </c>
      <c r="G227" s="3429"/>
      <c r="I227" s="1023"/>
      <c r="J227" s="3459"/>
      <c r="K227" s="3459"/>
      <c r="L227" s="3459"/>
      <c r="M227" s="3459"/>
      <c r="N227" s="3459"/>
      <c r="O227" s="3459"/>
      <c r="P227" s="3459"/>
      <c r="Q227" s="3459"/>
      <c r="R227" s="3459"/>
      <c r="S227" s="3459"/>
      <c r="T227" s="3459"/>
      <c r="U227" s="3459"/>
    </row>
    <row r="228" spans="1:21" s="1010" customFormat="1" ht="14.25" customHeight="1">
      <c r="A228" s="3423" t="s">
        <v>1154</v>
      </c>
      <c r="B228" s="3423" t="s">
        <v>2913</v>
      </c>
      <c r="C228" s="3423"/>
      <c r="D228" s="3423"/>
      <c r="E228" s="3423"/>
      <c r="F228" s="3429">
        <v>1520</v>
      </c>
      <c r="G228" s="3429"/>
      <c r="I228" s="1023"/>
      <c r="J228" s="3459"/>
      <c r="K228" s="3459"/>
      <c r="L228" s="3459"/>
      <c r="M228" s="3459"/>
      <c r="N228" s="3459"/>
      <c r="O228" s="3459"/>
      <c r="P228" s="3459"/>
      <c r="Q228" s="3459"/>
      <c r="R228" s="3459"/>
      <c r="S228" s="3459"/>
      <c r="T228" s="3459"/>
      <c r="U228" s="3459"/>
    </row>
    <row r="229" spans="1:21" s="1010" customFormat="1" ht="14.25" customHeight="1">
      <c r="A229" s="3423" t="s">
        <v>1154</v>
      </c>
      <c r="B229" s="3423" t="s">
        <v>2914</v>
      </c>
      <c r="C229" s="3423"/>
      <c r="D229" s="3423"/>
      <c r="E229" s="3423"/>
      <c r="F229" s="3429">
        <v>1520</v>
      </c>
      <c r="G229" s="3431"/>
      <c r="I229" s="1023"/>
      <c r="J229" s="3459"/>
      <c r="K229" s="3459"/>
      <c r="L229" s="3459"/>
      <c r="M229" s="3459"/>
      <c r="N229" s="3459"/>
      <c r="O229" s="3459"/>
      <c r="P229" s="3459"/>
      <c r="Q229" s="3459"/>
      <c r="R229" s="3459"/>
      <c r="S229" s="3459"/>
      <c r="T229" s="3459"/>
      <c r="U229" s="3459"/>
    </row>
    <row r="230" spans="1:21" s="1010" customFormat="1" ht="14.25" customHeight="1">
      <c r="A230" s="3423" t="s">
        <v>1154</v>
      </c>
      <c r="B230" s="3423" t="s">
        <v>2915</v>
      </c>
      <c r="C230" s="3423"/>
      <c r="D230" s="3423"/>
      <c r="E230" s="3423"/>
      <c r="F230" s="3429">
        <v>1820</v>
      </c>
      <c r="G230" s="3431"/>
      <c r="I230" s="1023"/>
      <c r="J230" s="3459"/>
      <c r="K230" s="3459"/>
      <c r="L230" s="3459"/>
      <c r="M230" s="3459"/>
      <c r="N230" s="3459"/>
      <c r="O230" s="3459"/>
      <c r="P230" s="3459"/>
      <c r="Q230" s="3459"/>
      <c r="R230" s="3459"/>
      <c r="S230" s="3459"/>
      <c r="T230" s="3459"/>
      <c r="U230" s="3459"/>
    </row>
    <row r="231" spans="1:21" s="1010" customFormat="1" ht="14.25" customHeight="1">
      <c r="A231" s="3423" t="s">
        <v>1154</v>
      </c>
      <c r="B231" s="3423" t="s">
        <v>2916</v>
      </c>
      <c r="C231" s="3423"/>
      <c r="D231" s="3423"/>
      <c r="E231" s="3423"/>
      <c r="F231" s="3429">
        <v>1760</v>
      </c>
      <c r="G231" s="3431"/>
      <c r="I231" s="1023"/>
      <c r="J231" s="3459"/>
      <c r="K231" s="3459"/>
      <c r="L231" s="3459"/>
      <c r="M231" s="3459"/>
      <c r="N231" s="3459"/>
      <c r="O231" s="3459"/>
      <c r="P231" s="3459"/>
      <c r="Q231" s="3459"/>
      <c r="R231" s="3459"/>
      <c r="S231" s="3459"/>
      <c r="T231" s="3459"/>
      <c r="U231" s="3459"/>
    </row>
    <row r="232" spans="1:21" s="1010" customFormat="1" ht="14.25" customHeight="1">
      <c r="A232" s="3423" t="s">
        <v>1154</v>
      </c>
      <c r="B232" s="3423" t="s">
        <v>2917</v>
      </c>
      <c r="C232" s="3423"/>
      <c r="D232" s="3423"/>
      <c r="E232" s="3423"/>
      <c r="F232" s="3429">
        <v>1840</v>
      </c>
      <c r="G232" s="3429"/>
      <c r="I232" s="1023"/>
      <c r="J232" s="3459"/>
      <c r="K232" s="3459"/>
      <c r="L232" s="3459"/>
      <c r="M232" s="3459"/>
      <c r="N232" s="3459"/>
      <c r="O232" s="3459"/>
      <c r="P232" s="3459"/>
      <c r="Q232" s="3459"/>
      <c r="R232" s="3459"/>
      <c r="S232" s="3459"/>
      <c r="T232" s="3459"/>
      <c r="U232" s="3459"/>
    </row>
    <row r="233" spans="1:21" s="1010" customFormat="1" ht="14.25" customHeight="1" thickBot="1">
      <c r="A233" s="3438" t="s">
        <v>1154</v>
      </c>
      <c r="B233" s="3426" t="s">
        <v>2918</v>
      </c>
      <c r="C233" s="3426"/>
      <c r="D233" s="3426"/>
      <c r="E233" s="3426"/>
      <c r="F233" s="3427">
        <v>1770</v>
      </c>
      <c r="G233" s="3442"/>
      <c r="I233" s="1023"/>
      <c r="J233" s="3459"/>
      <c r="K233" s="3459"/>
      <c r="L233" s="3459"/>
      <c r="M233" s="3459"/>
      <c r="N233" s="3459"/>
      <c r="O233" s="3459"/>
      <c r="P233" s="3459"/>
      <c r="Q233" s="3459"/>
      <c r="R233" s="3459"/>
      <c r="S233" s="3459"/>
      <c r="T233" s="3459"/>
      <c r="U233" s="3459"/>
    </row>
    <row r="234" spans="1:21" s="1010" customFormat="1" ht="14.25" customHeight="1">
      <c r="A234" s="3437" t="s">
        <v>1155</v>
      </c>
      <c r="B234" s="1288" t="s">
        <v>2919</v>
      </c>
      <c r="C234" s="1288">
        <v>6980</v>
      </c>
      <c r="D234" s="1288">
        <v>6970</v>
      </c>
      <c r="E234" s="1288">
        <v>8720</v>
      </c>
      <c r="F234" s="3424">
        <v>1350</v>
      </c>
      <c r="G234" s="3440">
        <v>4280</v>
      </c>
      <c r="I234" s="1023"/>
      <c r="J234" s="3459"/>
      <c r="K234" s="3459"/>
      <c r="L234" s="3459"/>
      <c r="M234" s="3459"/>
      <c r="N234" s="3459"/>
      <c r="O234" s="3459"/>
      <c r="P234" s="3459"/>
      <c r="Q234" s="3459"/>
      <c r="R234" s="3459"/>
      <c r="S234" s="3459"/>
      <c r="T234" s="3459"/>
      <c r="U234" s="3459"/>
    </row>
    <row r="235" spans="1:21" s="1010" customFormat="1" ht="14.25" customHeight="1">
      <c r="A235" s="3423" t="s">
        <v>1155</v>
      </c>
      <c r="B235" s="3423" t="s">
        <v>979</v>
      </c>
      <c r="C235" s="3423">
        <v>7620</v>
      </c>
      <c r="D235" s="3423">
        <v>7580</v>
      </c>
      <c r="E235" s="3423">
        <v>9360</v>
      </c>
      <c r="F235" s="3429">
        <v>1490</v>
      </c>
      <c r="G235" s="3429">
        <v>4650</v>
      </c>
      <c r="I235" s="1023"/>
      <c r="J235" s="3459"/>
      <c r="K235" s="3459"/>
      <c r="L235" s="3459"/>
      <c r="M235" s="3459"/>
      <c r="N235" s="3459"/>
      <c r="O235" s="3459"/>
      <c r="P235" s="3459"/>
      <c r="Q235" s="3459"/>
      <c r="R235" s="3459"/>
      <c r="S235" s="3459"/>
      <c r="T235" s="3459"/>
      <c r="U235" s="3459"/>
    </row>
    <row r="236" spans="1:21" s="1010" customFormat="1" ht="14.25" customHeight="1">
      <c r="A236" s="3423" t="s">
        <v>1155</v>
      </c>
      <c r="B236" s="3423" t="s">
        <v>989</v>
      </c>
      <c r="C236" s="3423">
        <v>6650</v>
      </c>
      <c r="D236" s="3423">
        <v>6630</v>
      </c>
      <c r="E236" s="3423">
        <v>8330</v>
      </c>
      <c r="F236" s="3429">
        <v>1250</v>
      </c>
      <c r="G236" s="3429">
        <v>4070</v>
      </c>
      <c r="I236" s="1023"/>
      <c r="J236" s="3459"/>
      <c r="K236" s="3459"/>
      <c r="L236" s="3459"/>
      <c r="M236" s="3459"/>
      <c r="N236" s="3459"/>
      <c r="O236" s="3459"/>
      <c r="P236" s="3459"/>
      <c r="Q236" s="3459"/>
      <c r="R236" s="3459"/>
      <c r="S236" s="3459"/>
      <c r="T236" s="3459"/>
      <c r="U236" s="3459"/>
    </row>
    <row r="237" spans="1:21" s="1010" customFormat="1" ht="14.25" customHeight="1">
      <c r="A237" s="3423" t="s">
        <v>1155</v>
      </c>
      <c r="B237" s="3423" t="s">
        <v>998</v>
      </c>
      <c r="C237" s="3423">
        <v>5850</v>
      </c>
      <c r="D237" s="3423">
        <v>5820</v>
      </c>
      <c r="E237" s="3423">
        <v>7260</v>
      </c>
      <c r="F237" s="3429">
        <v>1140</v>
      </c>
      <c r="G237" s="3429">
        <v>3570</v>
      </c>
      <c r="I237" s="1023"/>
      <c r="J237" s="3459"/>
      <c r="K237" s="3459"/>
      <c r="L237" s="3459"/>
      <c r="M237" s="3459"/>
      <c r="N237" s="3459"/>
      <c r="O237" s="3459"/>
      <c r="P237" s="3459"/>
      <c r="Q237" s="3459"/>
      <c r="R237" s="3459"/>
      <c r="S237" s="3459"/>
      <c r="T237" s="3459"/>
      <c r="U237" s="3459"/>
    </row>
    <row r="238" spans="1:21" s="1010" customFormat="1" ht="14.25" customHeight="1">
      <c r="A238" s="3423" t="s">
        <v>1155</v>
      </c>
      <c r="B238" s="3423" t="s">
        <v>2920</v>
      </c>
      <c r="C238" s="3423">
        <v>6920</v>
      </c>
      <c r="D238" s="3423">
        <v>6890</v>
      </c>
      <c r="E238" s="3423">
        <v>8640</v>
      </c>
      <c r="F238" s="3429">
        <v>1310</v>
      </c>
      <c r="G238" s="3429">
        <v>4230</v>
      </c>
      <c r="I238" s="1023"/>
      <c r="J238" s="3459"/>
      <c r="K238" s="3459"/>
      <c r="L238" s="3459"/>
      <c r="M238" s="3459"/>
      <c r="N238" s="3459"/>
      <c r="O238" s="3459"/>
      <c r="P238" s="3459"/>
      <c r="Q238" s="3459"/>
      <c r="R238" s="3459"/>
      <c r="S238" s="3459"/>
      <c r="T238" s="3459"/>
      <c r="U238" s="3459"/>
    </row>
    <row r="239" spans="1:21" s="1010" customFormat="1" ht="14.25" customHeight="1">
      <c r="A239" s="3423" t="s">
        <v>1155</v>
      </c>
      <c r="B239" s="3423" t="s">
        <v>2921</v>
      </c>
      <c r="C239" s="3423">
        <v>6780</v>
      </c>
      <c r="D239" s="3423">
        <v>6750</v>
      </c>
      <c r="E239" s="3423">
        <v>8440</v>
      </c>
      <c r="F239" s="3429">
        <v>1160</v>
      </c>
      <c r="G239" s="3429">
        <v>4140</v>
      </c>
      <c r="I239" s="1023"/>
      <c r="J239" s="3459"/>
      <c r="K239" s="3459"/>
      <c r="L239" s="3459"/>
      <c r="M239" s="3459"/>
      <c r="N239" s="3459"/>
      <c r="O239" s="3459"/>
      <c r="P239" s="3459"/>
      <c r="Q239" s="3459"/>
      <c r="R239" s="3459"/>
      <c r="S239" s="3459"/>
      <c r="T239" s="3459"/>
      <c r="U239" s="3459"/>
    </row>
    <row r="240" spans="1:21" s="1010" customFormat="1" ht="14.25" customHeight="1">
      <c r="A240" s="3423" t="s">
        <v>1155</v>
      </c>
      <c r="B240" s="3423" t="s">
        <v>2922</v>
      </c>
      <c r="C240" s="3423">
        <v>5420</v>
      </c>
      <c r="D240" s="3423">
        <v>5380</v>
      </c>
      <c r="E240" s="3423">
        <v>6640</v>
      </c>
      <c r="F240" s="3429">
        <v>1020</v>
      </c>
      <c r="G240" s="3429">
        <v>3300</v>
      </c>
      <c r="I240" s="1023"/>
      <c r="J240" s="3459"/>
      <c r="K240" s="3459"/>
      <c r="L240" s="3459"/>
      <c r="M240" s="3459"/>
      <c r="N240" s="3459"/>
      <c r="O240" s="3459"/>
      <c r="P240" s="3459"/>
      <c r="Q240" s="3459"/>
      <c r="R240" s="3459"/>
      <c r="S240" s="3459"/>
      <c r="T240" s="3459"/>
      <c r="U240" s="3459"/>
    </row>
    <row r="241" spans="1:21" s="1010" customFormat="1" ht="14.25" customHeight="1">
      <c r="A241" s="3423" t="s">
        <v>1155</v>
      </c>
      <c r="B241" s="3423" t="s">
        <v>2923</v>
      </c>
      <c r="C241" s="3423">
        <v>6660</v>
      </c>
      <c r="D241" s="3423">
        <v>6640</v>
      </c>
      <c r="E241" s="3423">
        <v>8340</v>
      </c>
      <c r="F241" s="3429">
        <v>1130</v>
      </c>
      <c r="G241" s="3429">
        <v>4080</v>
      </c>
      <c r="I241" s="1023"/>
      <c r="J241" s="3459"/>
      <c r="K241" s="3459"/>
      <c r="L241" s="3459"/>
      <c r="M241" s="3459"/>
      <c r="N241" s="3459"/>
      <c r="O241" s="3459"/>
      <c r="P241" s="3459"/>
      <c r="Q241" s="3459"/>
      <c r="R241" s="3459"/>
      <c r="S241" s="3459"/>
      <c r="T241" s="3459"/>
      <c r="U241" s="3459"/>
    </row>
    <row r="242" spans="1:21" s="1010" customFormat="1" ht="14.25" customHeight="1">
      <c r="A242" s="3423" t="s">
        <v>1155</v>
      </c>
      <c r="B242" s="3423" t="s">
        <v>1028</v>
      </c>
      <c r="C242" s="3423">
        <v>6580</v>
      </c>
      <c r="D242" s="3423">
        <v>6550</v>
      </c>
      <c r="E242" s="3423">
        <v>8090</v>
      </c>
      <c r="F242" s="3429">
        <v>1240</v>
      </c>
      <c r="G242" s="3429">
        <v>4020</v>
      </c>
      <c r="I242" s="1023"/>
      <c r="J242" s="3459"/>
      <c r="K242" s="3459"/>
      <c r="L242" s="3459"/>
      <c r="M242" s="3459"/>
      <c r="N242" s="3459"/>
      <c r="O242" s="3459"/>
      <c r="P242" s="3459"/>
      <c r="Q242" s="3459"/>
      <c r="R242" s="3459"/>
      <c r="S242" s="3459"/>
      <c r="T242" s="3459"/>
      <c r="U242" s="3459"/>
    </row>
    <row r="243" spans="1:21" s="1010" customFormat="1" ht="14.25" customHeight="1">
      <c r="A243" s="3423" t="s">
        <v>1155</v>
      </c>
      <c r="B243" s="3423" t="s">
        <v>1038</v>
      </c>
      <c r="C243" s="3423">
        <v>6000</v>
      </c>
      <c r="D243" s="3423">
        <v>5970</v>
      </c>
      <c r="E243" s="3423">
        <v>7370</v>
      </c>
      <c r="F243" s="3429">
        <v>1070</v>
      </c>
      <c r="G243" s="3429">
        <v>3670</v>
      </c>
      <c r="I243" s="1023"/>
      <c r="J243" s="3459"/>
      <c r="K243" s="3459"/>
      <c r="L243" s="3459"/>
      <c r="M243" s="3459"/>
      <c r="N243" s="3459"/>
      <c r="O243" s="3459"/>
      <c r="P243" s="3459"/>
      <c r="Q243" s="3459"/>
      <c r="R243" s="3459"/>
      <c r="S243" s="3459"/>
      <c r="T243" s="3459"/>
      <c r="U243" s="3459"/>
    </row>
    <row r="244" spans="1:21" s="1010" customFormat="1" ht="14.25" customHeight="1">
      <c r="A244" s="3423" t="s">
        <v>1155</v>
      </c>
      <c r="B244" s="3423" t="s">
        <v>2924</v>
      </c>
      <c r="C244" s="3423">
        <v>5840</v>
      </c>
      <c r="D244" s="3423">
        <v>5810</v>
      </c>
      <c r="E244" s="3423">
        <v>7240</v>
      </c>
      <c r="F244" s="3429">
        <v>1100</v>
      </c>
      <c r="G244" s="3436">
        <v>3560</v>
      </c>
      <c r="I244" s="1023"/>
      <c r="J244" s="3459"/>
      <c r="K244" s="3459"/>
      <c r="L244" s="3459"/>
      <c r="M244" s="3459"/>
      <c r="N244" s="3459"/>
      <c r="O244" s="3459"/>
      <c r="P244" s="3459"/>
      <c r="Q244" s="3459"/>
      <c r="R244" s="3459"/>
      <c r="S244" s="3459"/>
      <c r="T244" s="3459"/>
      <c r="U244" s="3459"/>
    </row>
    <row r="245" spans="1:21" s="1010" customFormat="1" ht="14.25" customHeight="1">
      <c r="A245" s="1288" t="s">
        <v>1155</v>
      </c>
      <c r="B245" s="1288" t="s">
        <v>1053</v>
      </c>
      <c r="C245" s="1288">
        <v>6040</v>
      </c>
      <c r="D245" s="1288">
        <v>6000</v>
      </c>
      <c r="E245" s="1288">
        <v>7420</v>
      </c>
      <c r="F245" s="3424">
        <v>1140</v>
      </c>
      <c r="G245" s="3424">
        <v>3690</v>
      </c>
      <c r="I245" s="1023"/>
      <c r="J245" s="3459"/>
      <c r="K245" s="3459"/>
      <c r="L245" s="3459"/>
      <c r="M245" s="3459"/>
      <c r="N245" s="3459"/>
      <c r="O245" s="3459"/>
      <c r="P245" s="3459"/>
      <c r="Q245" s="3459"/>
      <c r="R245" s="3459"/>
      <c r="S245" s="3459"/>
      <c r="T245" s="3459"/>
      <c r="U245" s="3459"/>
    </row>
    <row r="246" spans="1:21" s="1010" customFormat="1" ht="14.25" customHeight="1">
      <c r="A246" s="3423" t="s">
        <v>1155</v>
      </c>
      <c r="B246" s="3423" t="s">
        <v>1060</v>
      </c>
      <c r="C246" s="3423">
        <v>5890</v>
      </c>
      <c r="D246" s="3423">
        <v>5860</v>
      </c>
      <c r="E246" s="3423">
        <v>7300</v>
      </c>
      <c r="F246" s="3429">
        <v>1110</v>
      </c>
      <c r="G246" s="3429">
        <v>3590</v>
      </c>
      <c r="I246" s="1023"/>
      <c r="J246" s="3459"/>
      <c r="K246" s="3459"/>
      <c r="L246" s="3459"/>
      <c r="M246" s="3459"/>
      <c r="N246" s="3459"/>
      <c r="O246" s="3459"/>
      <c r="P246" s="3459"/>
      <c r="Q246" s="3459"/>
      <c r="R246" s="3459"/>
      <c r="S246" s="3459"/>
      <c r="T246" s="3459"/>
      <c r="U246" s="3459"/>
    </row>
    <row r="247" spans="1:21" s="1010" customFormat="1" ht="14.25" customHeight="1">
      <c r="A247" s="3423" t="s">
        <v>1155</v>
      </c>
      <c r="B247" s="3423" t="s">
        <v>2925</v>
      </c>
      <c r="C247" s="3423">
        <v>6480</v>
      </c>
      <c r="D247" s="3423">
        <v>6450</v>
      </c>
      <c r="E247" s="3423">
        <v>8010</v>
      </c>
      <c r="F247" s="3429">
        <v>1170</v>
      </c>
      <c r="G247" s="3429">
        <v>3960</v>
      </c>
      <c r="I247" s="1023"/>
      <c r="J247" s="3459"/>
      <c r="K247" s="3459"/>
      <c r="L247" s="3459"/>
      <c r="M247" s="3459"/>
      <c r="N247" s="3459"/>
      <c r="O247" s="3459"/>
      <c r="P247" s="3459"/>
      <c r="Q247" s="3459"/>
      <c r="R247" s="3459"/>
      <c r="S247" s="3459"/>
      <c r="T247" s="3459"/>
      <c r="U247" s="3459"/>
    </row>
    <row r="248" spans="1:21" s="1010" customFormat="1" ht="14.25" customHeight="1">
      <c r="A248" s="3423" t="s">
        <v>1155</v>
      </c>
      <c r="B248" s="3423" t="s">
        <v>1075</v>
      </c>
      <c r="C248" s="3423">
        <v>6860</v>
      </c>
      <c r="D248" s="3423">
        <v>6840</v>
      </c>
      <c r="E248" s="3423">
        <v>8520</v>
      </c>
      <c r="F248" s="3429">
        <v>1240</v>
      </c>
      <c r="G248" s="3429">
        <v>4200</v>
      </c>
      <c r="I248" s="1023"/>
      <c r="J248" s="3459"/>
      <c r="K248" s="3459"/>
      <c r="L248" s="3459"/>
      <c r="M248" s="3459"/>
      <c r="N248" s="3459"/>
      <c r="O248" s="3459"/>
      <c r="P248" s="3459"/>
      <c r="Q248" s="3459"/>
      <c r="R248" s="3459"/>
      <c r="S248" s="3459"/>
      <c r="T248" s="3459"/>
      <c r="U248" s="3459"/>
    </row>
    <row r="249" spans="1:21" s="1010" customFormat="1" ht="14.25" customHeight="1">
      <c r="A249" s="3423" t="s">
        <v>1155</v>
      </c>
      <c r="B249" s="3423" t="s">
        <v>2926</v>
      </c>
      <c r="C249" s="3423">
        <v>7180</v>
      </c>
      <c r="D249" s="3423">
        <v>7140</v>
      </c>
      <c r="E249" s="3423">
        <v>8900</v>
      </c>
      <c r="F249" s="3429">
        <v>1350</v>
      </c>
      <c r="G249" s="3429">
        <v>4380</v>
      </c>
      <c r="I249" s="1023"/>
      <c r="J249" s="3459"/>
      <c r="K249" s="3459"/>
      <c r="L249" s="3459"/>
      <c r="M249" s="3459"/>
      <c r="N249" s="3459"/>
      <c r="O249" s="3459"/>
      <c r="P249" s="3459"/>
      <c r="Q249" s="3459"/>
      <c r="R249" s="3459"/>
      <c r="S249" s="3459"/>
      <c r="T249" s="3459"/>
      <c r="U249" s="3459"/>
    </row>
    <row r="250" spans="1:21" s="1010" customFormat="1" ht="14.25" customHeight="1">
      <c r="A250" s="3423" t="s">
        <v>1155</v>
      </c>
      <c r="B250" s="3423" t="s">
        <v>1089</v>
      </c>
      <c r="C250" s="3423">
        <v>6880</v>
      </c>
      <c r="D250" s="3423">
        <v>6860</v>
      </c>
      <c r="E250" s="3423">
        <v>8550</v>
      </c>
      <c r="F250" s="3429">
        <v>1220</v>
      </c>
      <c r="G250" s="3429">
        <v>4210</v>
      </c>
      <c r="I250" s="1023"/>
      <c r="J250" s="3459"/>
      <c r="K250" s="3459"/>
      <c r="L250" s="3459"/>
      <c r="M250" s="3459"/>
      <c r="N250" s="3459"/>
      <c r="O250" s="3459"/>
      <c r="P250" s="3459"/>
      <c r="Q250" s="3459"/>
      <c r="R250" s="3459"/>
      <c r="S250" s="3459"/>
      <c r="T250" s="3459"/>
      <c r="U250" s="3459"/>
    </row>
    <row r="251" spans="1:21" s="1010" customFormat="1" ht="14.25" customHeight="1">
      <c r="A251" s="3423" t="s">
        <v>1155</v>
      </c>
      <c r="B251" s="3423" t="s">
        <v>1097</v>
      </c>
      <c r="C251" s="3423"/>
      <c r="D251" s="3423"/>
      <c r="E251" s="3423"/>
      <c r="F251" s="3429">
        <v>1100</v>
      </c>
      <c r="G251" s="3429"/>
      <c r="I251" s="1023"/>
      <c r="J251" s="3459"/>
      <c r="K251" s="3459"/>
      <c r="L251" s="3459"/>
      <c r="M251" s="3459"/>
      <c r="N251" s="3459"/>
      <c r="O251" s="3459"/>
      <c r="P251" s="3459"/>
      <c r="Q251" s="3459"/>
      <c r="R251" s="3459"/>
      <c r="S251" s="3459"/>
      <c r="T251" s="3459"/>
      <c r="U251" s="3459"/>
    </row>
    <row r="252" spans="1:21" s="1010" customFormat="1" ht="14.25" customHeight="1">
      <c r="A252" s="3423" t="s">
        <v>1155</v>
      </c>
      <c r="B252" s="3423" t="s">
        <v>2927</v>
      </c>
      <c r="C252" s="3423">
        <v>7240</v>
      </c>
      <c r="D252" s="3423">
        <v>7200</v>
      </c>
      <c r="E252" s="3423">
        <v>9040</v>
      </c>
      <c r="F252" s="3429">
        <v>1380</v>
      </c>
      <c r="G252" s="3429">
        <v>4420</v>
      </c>
      <c r="I252" s="1023"/>
      <c r="J252" s="3459"/>
      <c r="K252" s="3459"/>
      <c r="L252" s="3459"/>
      <c r="M252" s="3459"/>
      <c r="N252" s="3459"/>
      <c r="O252" s="3459"/>
      <c r="P252" s="3459"/>
      <c r="Q252" s="3459"/>
      <c r="R252" s="3459"/>
      <c r="S252" s="3459"/>
      <c r="T252" s="3459"/>
      <c r="U252" s="3459"/>
    </row>
    <row r="253" spans="1:21" s="1010" customFormat="1" ht="14.25" customHeight="1">
      <c r="A253" s="3423" t="s">
        <v>1155</v>
      </c>
      <c r="B253" s="3423" t="s">
        <v>1132</v>
      </c>
      <c r="C253" s="3423">
        <v>6670</v>
      </c>
      <c r="D253" s="3423">
        <v>6650</v>
      </c>
      <c r="E253" s="3423">
        <v>8350</v>
      </c>
      <c r="F253" s="3429">
        <v>1260</v>
      </c>
      <c r="G253" s="3429">
        <v>4080</v>
      </c>
      <c r="I253" s="1023"/>
      <c r="J253" s="3459"/>
      <c r="K253" s="3459"/>
      <c r="L253" s="3459"/>
      <c r="M253" s="3459"/>
      <c r="N253" s="3459"/>
      <c r="O253" s="3459"/>
      <c r="P253" s="3459"/>
      <c r="Q253" s="3459"/>
      <c r="R253" s="3459"/>
      <c r="S253" s="3459"/>
      <c r="T253" s="3459"/>
      <c r="U253" s="3459"/>
    </row>
    <row r="254" spans="1:21" s="1010" customFormat="1" ht="14.25" customHeight="1">
      <c r="A254" s="3423" t="s">
        <v>1155</v>
      </c>
      <c r="B254" s="3423" t="s">
        <v>1135</v>
      </c>
      <c r="C254" s="3432">
        <v>7630</v>
      </c>
      <c r="D254" s="3432">
        <v>7590</v>
      </c>
      <c r="E254" s="3432">
        <v>9380</v>
      </c>
      <c r="F254" s="3431">
        <v>1320</v>
      </c>
      <c r="G254" s="3429">
        <v>4660</v>
      </c>
      <c r="I254" s="1023"/>
      <c r="J254" s="3459"/>
      <c r="K254" s="3459"/>
      <c r="L254" s="3459"/>
      <c r="M254" s="3459"/>
      <c r="N254" s="3459"/>
      <c r="O254" s="3459"/>
      <c r="P254" s="3459"/>
      <c r="Q254" s="3459"/>
      <c r="R254" s="3459"/>
      <c r="S254" s="3459"/>
      <c r="T254" s="3459"/>
      <c r="U254" s="3459"/>
    </row>
    <row r="255" spans="1:21" s="1010" customFormat="1" ht="14.25" customHeight="1">
      <c r="A255" s="3423" t="s">
        <v>1155</v>
      </c>
      <c r="B255" s="3423" t="s">
        <v>1138</v>
      </c>
      <c r="C255" s="3432">
        <v>6940</v>
      </c>
      <c r="D255" s="3432">
        <v>6890</v>
      </c>
      <c r="E255" s="3432">
        <v>8650</v>
      </c>
      <c r="F255" s="3431">
        <v>1210</v>
      </c>
      <c r="G255" s="3429">
        <v>4230</v>
      </c>
      <c r="I255" s="1023"/>
      <c r="J255" s="3459"/>
      <c r="K255" s="3459"/>
      <c r="L255" s="3459"/>
      <c r="M255" s="3459"/>
      <c r="N255" s="3459"/>
      <c r="O255" s="3459"/>
      <c r="P255" s="3459"/>
      <c r="Q255" s="3459"/>
      <c r="R255" s="3459"/>
      <c r="S255" s="3459"/>
      <c r="T255" s="3459"/>
      <c r="U255" s="3459"/>
    </row>
    <row r="256" spans="1:21" s="1010" customFormat="1" ht="14.25" customHeight="1">
      <c r="A256" s="3423" t="s">
        <v>1155</v>
      </c>
      <c r="B256" s="3423" t="s">
        <v>2928</v>
      </c>
      <c r="C256" s="3423">
        <v>7520</v>
      </c>
      <c r="D256" s="3423">
        <v>7490</v>
      </c>
      <c r="E256" s="3423">
        <v>9240</v>
      </c>
      <c r="F256" s="3429">
        <v>1270</v>
      </c>
      <c r="G256" s="3429">
        <v>4590</v>
      </c>
      <c r="I256" s="1023"/>
      <c r="J256" s="3459"/>
      <c r="K256" s="3459"/>
      <c r="L256" s="3459"/>
      <c r="M256" s="3459"/>
      <c r="N256" s="3459"/>
      <c r="O256" s="3459"/>
      <c r="P256" s="3459"/>
      <c r="Q256" s="3459"/>
      <c r="R256" s="3459"/>
      <c r="S256" s="3459"/>
      <c r="T256" s="3459"/>
      <c r="U256" s="3459"/>
    </row>
    <row r="257" spans="1:21" s="1010" customFormat="1" ht="14.25" customHeight="1">
      <c r="A257" s="3423" t="s">
        <v>1155</v>
      </c>
      <c r="B257" s="3423" t="s">
        <v>1124</v>
      </c>
      <c r="C257" s="3423">
        <v>6280</v>
      </c>
      <c r="D257" s="3423">
        <v>6230</v>
      </c>
      <c r="E257" s="3423">
        <v>7740</v>
      </c>
      <c r="F257" s="3429">
        <v>1080</v>
      </c>
      <c r="G257" s="3429">
        <v>3830</v>
      </c>
      <c r="I257" s="1023"/>
      <c r="J257" s="3459"/>
      <c r="K257" s="3459"/>
      <c r="L257" s="3459"/>
      <c r="M257" s="3459"/>
      <c r="N257" s="3459"/>
      <c r="O257" s="3459"/>
      <c r="P257" s="3459"/>
      <c r="Q257" s="3459"/>
      <c r="R257" s="3459"/>
      <c r="S257" s="3459"/>
      <c r="T257" s="3459"/>
      <c r="U257" s="3459"/>
    </row>
    <row r="258" spans="1:21" s="1010" customFormat="1" ht="14.25" customHeight="1">
      <c r="A258" s="3423" t="s">
        <v>1155</v>
      </c>
      <c r="B258" s="3423" t="s">
        <v>2929</v>
      </c>
      <c r="C258" s="3423">
        <v>6190</v>
      </c>
      <c r="D258" s="3423">
        <v>6160</v>
      </c>
      <c r="E258" s="3423">
        <v>7680</v>
      </c>
      <c r="F258" s="3429">
        <v>1170</v>
      </c>
      <c r="G258" s="3429">
        <v>3780</v>
      </c>
      <c r="I258" s="1023"/>
      <c r="J258" s="3459"/>
      <c r="K258" s="3459"/>
      <c r="L258" s="3459"/>
      <c r="M258" s="3459"/>
      <c r="N258" s="3459"/>
      <c r="O258" s="3459"/>
      <c r="P258" s="3459"/>
      <c r="Q258" s="3459"/>
      <c r="R258" s="3459"/>
      <c r="S258" s="3459"/>
      <c r="T258" s="3459"/>
      <c r="U258" s="3459"/>
    </row>
    <row r="259" spans="1:21" s="1010" customFormat="1" ht="14.25" customHeight="1">
      <c r="A259" s="3423" t="s">
        <v>1155</v>
      </c>
      <c r="B259" s="3423" t="s">
        <v>2930</v>
      </c>
      <c r="C259" s="3423">
        <v>7610</v>
      </c>
      <c r="D259" s="3423">
        <v>7570</v>
      </c>
      <c r="E259" s="3423">
        <v>9350</v>
      </c>
      <c r="F259" s="3429">
        <v>1350</v>
      </c>
      <c r="G259" s="3429">
        <v>4650</v>
      </c>
      <c r="I259" s="1023"/>
      <c r="J259" s="3459"/>
      <c r="K259" s="3459"/>
      <c r="L259" s="3459"/>
      <c r="M259" s="3459"/>
      <c r="N259" s="3459"/>
      <c r="O259" s="3459"/>
      <c r="P259" s="3459"/>
      <c r="Q259" s="3459"/>
      <c r="R259" s="3459"/>
      <c r="S259" s="3459"/>
      <c r="T259" s="3459"/>
      <c r="U259" s="3459"/>
    </row>
    <row r="260" spans="1:21" s="1010" customFormat="1" ht="14.25" customHeight="1">
      <c r="A260" s="3423" t="s">
        <v>1155</v>
      </c>
      <c r="B260" s="3423" t="s">
        <v>2931</v>
      </c>
      <c r="C260" s="3423">
        <v>6920</v>
      </c>
      <c r="D260" s="3423">
        <v>6880</v>
      </c>
      <c r="E260" s="3423">
        <v>8380</v>
      </c>
      <c r="F260" s="3429">
        <v>1160</v>
      </c>
      <c r="G260" s="3429">
        <v>4220</v>
      </c>
      <c r="I260" s="1023"/>
      <c r="J260" s="3459"/>
      <c r="K260" s="3459"/>
      <c r="L260" s="3459"/>
      <c r="M260" s="3459"/>
      <c r="N260" s="3459"/>
      <c r="O260" s="3459"/>
      <c r="P260" s="3459"/>
      <c r="Q260" s="3459"/>
      <c r="R260" s="3459"/>
      <c r="S260" s="3459"/>
      <c r="T260" s="3459"/>
      <c r="U260" s="3459"/>
    </row>
    <row r="261" spans="1:21" s="1010" customFormat="1" ht="14.25" customHeight="1">
      <c r="A261" s="3423" t="s">
        <v>1155</v>
      </c>
      <c r="B261" s="3423" t="s">
        <v>2932</v>
      </c>
      <c r="C261" s="3423">
        <v>6850</v>
      </c>
      <c r="D261" s="3423">
        <v>6810</v>
      </c>
      <c r="E261" s="3423">
        <v>8290</v>
      </c>
      <c r="F261" s="3429">
        <v>1130</v>
      </c>
      <c r="G261" s="3429">
        <v>4180</v>
      </c>
      <c r="I261" s="1023"/>
      <c r="J261" s="3459"/>
      <c r="K261" s="3459"/>
      <c r="L261" s="3459"/>
      <c r="M261" s="3459"/>
      <c r="N261" s="3459"/>
      <c r="O261" s="3459"/>
      <c r="P261" s="3459"/>
      <c r="Q261" s="3459"/>
      <c r="R261" s="3459"/>
      <c r="S261" s="3459"/>
      <c r="T261" s="3459"/>
      <c r="U261" s="3459"/>
    </row>
    <row r="262" spans="1:21" s="1010" customFormat="1" ht="14.25" customHeight="1">
      <c r="A262" s="3423" t="s">
        <v>1155</v>
      </c>
      <c r="B262" s="3423" t="s">
        <v>2933</v>
      </c>
      <c r="C262" s="3423">
        <v>5860</v>
      </c>
      <c r="D262" s="3423">
        <v>5820</v>
      </c>
      <c r="E262" s="3423">
        <v>7640</v>
      </c>
      <c r="F262" s="3429">
        <v>1070</v>
      </c>
      <c r="G262" s="3431">
        <v>3570</v>
      </c>
      <c r="I262" s="1023"/>
      <c r="J262" s="3459"/>
      <c r="K262" s="3459"/>
      <c r="L262" s="3459"/>
      <c r="M262" s="3459"/>
      <c r="N262" s="3459"/>
      <c r="O262" s="3459"/>
      <c r="P262" s="3459"/>
      <c r="Q262" s="3459"/>
      <c r="R262" s="3459"/>
      <c r="S262" s="3459"/>
      <c r="T262" s="3459"/>
      <c r="U262" s="3459"/>
    </row>
    <row r="263" spans="1:21" s="1010" customFormat="1" ht="14.25" customHeight="1">
      <c r="A263" s="3423" t="s">
        <v>1155</v>
      </c>
      <c r="B263" s="3423" t="s">
        <v>2934</v>
      </c>
      <c r="C263" s="3423">
        <v>5870</v>
      </c>
      <c r="D263" s="3423">
        <v>5840</v>
      </c>
      <c r="E263" s="3423">
        <v>7270</v>
      </c>
      <c r="F263" s="3429">
        <v>1190</v>
      </c>
      <c r="G263" s="3429">
        <v>3580</v>
      </c>
      <c r="I263" s="1023"/>
      <c r="J263" s="3459"/>
      <c r="K263" s="3459"/>
      <c r="L263" s="3459"/>
      <c r="M263" s="3459"/>
      <c r="N263" s="3459"/>
      <c r="O263" s="3459"/>
      <c r="P263" s="3459"/>
      <c r="Q263" s="3459"/>
      <c r="R263" s="3459"/>
      <c r="S263" s="3459"/>
      <c r="T263" s="3459"/>
      <c r="U263" s="3459"/>
    </row>
    <row r="264" spans="1:21" s="1010" customFormat="1" ht="14.25" customHeight="1">
      <c r="A264" s="3423" t="s">
        <v>1155</v>
      </c>
      <c r="B264" s="3423" t="s">
        <v>1148</v>
      </c>
      <c r="C264" s="3423">
        <v>6190</v>
      </c>
      <c r="D264" s="3423">
        <v>6150</v>
      </c>
      <c r="E264" s="3423">
        <v>7660</v>
      </c>
      <c r="F264" s="3429">
        <v>1160</v>
      </c>
      <c r="G264" s="3429">
        <v>3770</v>
      </c>
      <c r="I264" s="1023"/>
      <c r="J264" s="3459"/>
      <c r="K264" s="3459"/>
      <c r="L264" s="3459"/>
      <c r="M264" s="3459"/>
      <c r="N264" s="3459"/>
      <c r="O264" s="3459"/>
      <c r="P264" s="3459"/>
      <c r="Q264" s="3459"/>
      <c r="R264" s="3459"/>
      <c r="S264" s="3459"/>
      <c r="T264" s="3459"/>
      <c r="U264" s="3459"/>
    </row>
    <row r="265" spans="1:21" s="1010" customFormat="1" ht="14.25" customHeight="1">
      <c r="A265" s="3423" t="s">
        <v>1155</v>
      </c>
      <c r="B265" s="3423" t="s">
        <v>2935</v>
      </c>
      <c r="C265" s="3423"/>
      <c r="D265" s="3423"/>
      <c r="E265" s="3423"/>
      <c r="F265" s="3429">
        <v>1500</v>
      </c>
      <c r="G265" s="3429"/>
      <c r="I265" s="1023"/>
      <c r="J265" s="3459"/>
      <c r="K265" s="3459"/>
      <c r="L265" s="3459"/>
      <c r="M265" s="3459"/>
      <c r="N265" s="3459"/>
      <c r="O265" s="3459"/>
      <c r="P265" s="3459"/>
      <c r="Q265" s="3459"/>
      <c r="R265" s="3459"/>
      <c r="S265" s="3459"/>
      <c r="T265" s="3459"/>
      <c r="U265" s="3459"/>
    </row>
    <row r="266" spans="1:21" s="1010" customFormat="1" ht="14.25" customHeight="1">
      <c r="A266" s="3423" t="s">
        <v>1155</v>
      </c>
      <c r="B266" s="3423" t="s">
        <v>2936</v>
      </c>
      <c r="C266" s="3423"/>
      <c r="D266" s="3423"/>
      <c r="E266" s="3423"/>
      <c r="F266" s="3429">
        <v>1500</v>
      </c>
      <c r="G266" s="3429"/>
      <c r="I266" s="1023"/>
      <c r="J266" s="3459"/>
      <c r="K266" s="3459"/>
      <c r="L266" s="3459"/>
      <c r="M266" s="3459"/>
      <c r="N266" s="3459"/>
      <c r="O266" s="3459"/>
      <c r="P266" s="3459"/>
      <c r="Q266" s="3459"/>
      <c r="R266" s="3459"/>
      <c r="S266" s="3459"/>
      <c r="T266" s="3459"/>
      <c r="U266" s="3459"/>
    </row>
    <row r="267" spans="1:21" s="1010" customFormat="1" ht="14.25" customHeight="1">
      <c r="A267" s="3423" t="s">
        <v>1155</v>
      </c>
      <c r="B267" s="3423" t="s">
        <v>2937</v>
      </c>
      <c r="C267" s="3423"/>
      <c r="D267" s="3423"/>
      <c r="E267" s="3423"/>
      <c r="F267" s="3429">
        <v>1500</v>
      </c>
      <c r="G267" s="3431"/>
      <c r="I267" s="1023"/>
      <c r="J267" s="3459"/>
      <c r="K267" s="3459"/>
      <c r="L267" s="3459"/>
      <c r="M267" s="3459"/>
      <c r="N267" s="3459"/>
      <c r="O267" s="3459"/>
      <c r="P267" s="3459"/>
      <c r="Q267" s="3459"/>
      <c r="R267" s="3459"/>
      <c r="S267" s="3459"/>
      <c r="T267" s="3459"/>
      <c r="U267" s="3459"/>
    </row>
    <row r="268" spans="1:21" s="1010" customFormat="1" ht="14.25" customHeight="1">
      <c r="A268" s="3423" t="s">
        <v>1155</v>
      </c>
      <c r="B268" s="3423" t="s">
        <v>2938</v>
      </c>
      <c r="C268" s="3423"/>
      <c r="D268" s="3423"/>
      <c r="E268" s="3423"/>
      <c r="F268" s="3429">
        <v>1290</v>
      </c>
      <c r="G268" s="3429"/>
      <c r="I268" s="1023"/>
      <c r="J268" s="3459"/>
      <c r="K268" s="3459"/>
      <c r="L268" s="3459"/>
      <c r="M268" s="3459"/>
      <c r="N268" s="3459"/>
      <c r="O268" s="3459"/>
      <c r="P268" s="3459"/>
      <c r="Q268" s="3459"/>
      <c r="R268" s="3459"/>
      <c r="S268" s="3459"/>
      <c r="T268" s="3459"/>
      <c r="U268" s="3459"/>
    </row>
    <row r="269" spans="1:21" s="1010" customFormat="1" ht="14.25" customHeight="1">
      <c r="A269" s="3423" t="s">
        <v>1155</v>
      </c>
      <c r="B269" s="3423" t="s">
        <v>2939</v>
      </c>
      <c r="C269" s="3423"/>
      <c r="D269" s="3423"/>
      <c r="E269" s="3423"/>
      <c r="F269" s="3429">
        <v>1150</v>
      </c>
      <c r="G269" s="3429"/>
      <c r="I269" s="1023"/>
      <c r="J269" s="3459"/>
      <c r="K269" s="3459"/>
      <c r="L269" s="3459"/>
      <c r="M269" s="3459"/>
      <c r="N269" s="3459"/>
      <c r="O269" s="3459"/>
      <c r="P269" s="3459"/>
      <c r="Q269" s="3459"/>
      <c r="R269" s="3459"/>
      <c r="S269" s="3459"/>
      <c r="T269" s="3459"/>
      <c r="U269" s="3459"/>
    </row>
    <row r="270" spans="1:21" s="1010" customFormat="1" ht="14.25" customHeight="1">
      <c r="A270" s="3423" t="s">
        <v>1155</v>
      </c>
      <c r="B270" s="3423" t="s">
        <v>2940</v>
      </c>
      <c r="C270" s="3423"/>
      <c r="D270" s="3423"/>
      <c r="E270" s="3423"/>
      <c r="F270" s="3429">
        <v>1380</v>
      </c>
      <c r="G270" s="3429"/>
      <c r="I270" s="1023"/>
      <c r="J270" s="3459"/>
      <c r="K270" s="3459"/>
      <c r="L270" s="3459"/>
      <c r="M270" s="3459"/>
      <c r="N270" s="3459"/>
      <c r="O270" s="3459"/>
      <c r="P270" s="3459"/>
      <c r="Q270" s="3459"/>
      <c r="R270" s="3459"/>
      <c r="S270" s="3459"/>
      <c r="T270" s="3459"/>
      <c r="U270" s="3459"/>
    </row>
    <row r="271" spans="1:21" s="1010" customFormat="1" ht="14.25" customHeight="1">
      <c r="A271" s="3423" t="s">
        <v>1155</v>
      </c>
      <c r="B271" s="3423" t="s">
        <v>2941</v>
      </c>
      <c r="C271" s="3423"/>
      <c r="D271" s="3423"/>
      <c r="E271" s="3423"/>
      <c r="F271" s="3429">
        <v>1460</v>
      </c>
      <c r="G271" s="3429"/>
      <c r="I271" s="1023"/>
      <c r="J271" s="3459"/>
      <c r="K271" s="3459"/>
      <c r="L271" s="3459"/>
      <c r="M271" s="3459"/>
      <c r="N271" s="3459"/>
      <c r="O271" s="3459"/>
      <c r="P271" s="3459"/>
      <c r="Q271" s="3459"/>
      <c r="R271" s="3459"/>
      <c r="S271" s="3459"/>
      <c r="T271" s="3459"/>
      <c r="U271" s="3459"/>
    </row>
    <row r="272" spans="1:21" s="1010" customFormat="1" ht="14.25" customHeight="1">
      <c r="A272" s="3423" t="s">
        <v>1155</v>
      </c>
      <c r="B272" s="3423" t="s">
        <v>2942</v>
      </c>
      <c r="C272" s="3432"/>
      <c r="D272" s="3432"/>
      <c r="E272" s="3432"/>
      <c r="F272" s="3431">
        <v>1460</v>
      </c>
      <c r="G272" s="3429"/>
      <c r="I272" s="1023"/>
      <c r="J272" s="3459"/>
      <c r="K272" s="3459"/>
      <c r="L272" s="3459"/>
      <c r="M272" s="3459"/>
      <c r="N272" s="3459"/>
      <c r="O272" s="3459"/>
      <c r="P272" s="3459"/>
      <c r="Q272" s="3459"/>
      <c r="R272" s="3459"/>
      <c r="S272" s="3459"/>
      <c r="T272" s="3459"/>
      <c r="U272" s="3459"/>
    </row>
    <row r="273" spans="1:21" s="1010" customFormat="1" ht="14.25" customHeight="1">
      <c r="A273" s="3423" t="s">
        <v>1155</v>
      </c>
      <c r="B273" s="3423" t="s">
        <v>2943</v>
      </c>
      <c r="C273" s="3423"/>
      <c r="D273" s="3423"/>
      <c r="E273" s="3423"/>
      <c r="F273" s="3429">
        <v>1490</v>
      </c>
      <c r="G273" s="3429"/>
      <c r="I273" s="1023"/>
      <c r="J273" s="3459"/>
      <c r="K273" s="3459"/>
      <c r="L273" s="3459"/>
      <c r="M273" s="3459"/>
      <c r="N273" s="3459"/>
      <c r="O273" s="3459"/>
      <c r="P273" s="3459"/>
      <c r="Q273" s="3459"/>
      <c r="R273" s="3459"/>
      <c r="S273" s="3459"/>
      <c r="T273" s="3459"/>
      <c r="U273" s="3459"/>
    </row>
    <row r="274" spans="1:21" s="1010" customFormat="1" ht="14.25" customHeight="1">
      <c r="A274" s="3423" t="s">
        <v>1155</v>
      </c>
      <c r="B274" s="3423" t="s">
        <v>2944</v>
      </c>
      <c r="C274" s="3423"/>
      <c r="D274" s="3423"/>
      <c r="E274" s="3423"/>
      <c r="F274" s="3429">
        <v>1490</v>
      </c>
      <c r="G274" s="3429"/>
      <c r="I274" s="1023"/>
      <c r="J274" s="3459"/>
      <c r="K274" s="3459"/>
      <c r="L274" s="3459"/>
      <c r="M274" s="3459"/>
      <c r="N274" s="3459"/>
      <c r="O274" s="3459"/>
      <c r="P274" s="3459"/>
      <c r="Q274" s="3459"/>
      <c r="R274" s="3459"/>
      <c r="S274" s="3459"/>
      <c r="T274" s="3459"/>
      <c r="U274" s="3459"/>
    </row>
    <row r="275" spans="1:21" s="1010" customFormat="1" ht="14.25" customHeight="1">
      <c r="A275" s="3423" t="s">
        <v>1155</v>
      </c>
      <c r="B275" s="3423" t="s">
        <v>2945</v>
      </c>
      <c r="C275" s="3423"/>
      <c r="D275" s="3423"/>
      <c r="E275" s="3423"/>
      <c r="F275" s="3429">
        <v>1220</v>
      </c>
      <c r="G275" s="3429"/>
      <c r="I275" s="1023"/>
      <c r="J275" s="3459"/>
      <c r="K275" s="3459"/>
      <c r="L275" s="3459"/>
      <c r="M275" s="3459"/>
      <c r="N275" s="3459"/>
      <c r="O275" s="3459"/>
      <c r="P275" s="3459"/>
      <c r="Q275" s="3459"/>
      <c r="R275" s="3459"/>
      <c r="S275" s="3459"/>
      <c r="T275" s="3459"/>
      <c r="U275" s="3459"/>
    </row>
    <row r="276" spans="1:21" s="1010" customFormat="1" ht="14.25" customHeight="1" thickBot="1">
      <c r="A276" s="3438" t="s">
        <v>1155</v>
      </c>
      <c r="B276" s="3426" t="s">
        <v>2946</v>
      </c>
      <c r="C276" s="3426"/>
      <c r="D276" s="3426"/>
      <c r="E276" s="3426"/>
      <c r="F276" s="3427">
        <v>1380</v>
      </c>
      <c r="G276" s="3439"/>
      <c r="I276" s="1023"/>
      <c r="J276" s="3459"/>
      <c r="K276" s="3459"/>
      <c r="L276" s="3459"/>
      <c r="M276" s="3459"/>
      <c r="N276" s="3459"/>
      <c r="O276" s="3459"/>
      <c r="P276" s="3459"/>
      <c r="Q276" s="3459"/>
      <c r="R276" s="3459"/>
      <c r="S276" s="3459"/>
      <c r="T276" s="3459"/>
      <c r="U276" s="3459"/>
    </row>
    <row r="277" spans="1:21" s="1010" customFormat="1" ht="14.25" customHeight="1">
      <c r="A277" s="3437" t="s">
        <v>1156</v>
      </c>
      <c r="B277" s="1288" t="s">
        <v>2947</v>
      </c>
      <c r="C277" s="1288">
        <v>5790</v>
      </c>
      <c r="D277" s="1288">
        <v>5740</v>
      </c>
      <c r="E277" s="1288">
        <v>6730</v>
      </c>
      <c r="F277" s="3424">
        <v>1110</v>
      </c>
      <c r="G277" s="3424">
        <v>3460</v>
      </c>
      <c r="I277" s="1023"/>
      <c r="J277" s="3459"/>
      <c r="K277" s="3459"/>
      <c r="L277" s="3459"/>
      <c r="M277" s="3459"/>
      <c r="N277" s="3459"/>
      <c r="O277" s="3459"/>
      <c r="P277" s="3459"/>
      <c r="Q277" s="3459"/>
      <c r="R277" s="3459"/>
      <c r="S277" s="3459"/>
      <c r="T277" s="3459"/>
      <c r="U277" s="3459"/>
    </row>
    <row r="278" spans="1:21" s="1010" customFormat="1" ht="14.25" customHeight="1">
      <c r="A278" s="3423" t="s">
        <v>1156</v>
      </c>
      <c r="B278" s="3423" t="s">
        <v>980</v>
      </c>
      <c r="C278" s="3423">
        <v>5740</v>
      </c>
      <c r="D278" s="3423">
        <v>5670</v>
      </c>
      <c r="E278" s="3423">
        <v>6680</v>
      </c>
      <c r="F278" s="3429">
        <v>1070</v>
      </c>
      <c r="G278" s="3429">
        <v>3420</v>
      </c>
      <c r="I278" s="1023"/>
      <c r="J278" s="3459"/>
      <c r="K278" s="3459"/>
      <c r="L278" s="3459"/>
      <c r="M278" s="3459"/>
      <c r="N278" s="3459"/>
      <c r="O278" s="3459"/>
      <c r="P278" s="3459"/>
      <c r="Q278" s="3459"/>
      <c r="R278" s="3459"/>
      <c r="S278" s="3459"/>
      <c r="T278" s="3459"/>
      <c r="U278" s="3459"/>
    </row>
    <row r="279" spans="1:21" s="1010" customFormat="1" ht="14.25" customHeight="1">
      <c r="A279" s="3423" t="s">
        <v>1156</v>
      </c>
      <c r="B279" s="3423" t="s">
        <v>2948</v>
      </c>
      <c r="C279" s="3423">
        <v>4760</v>
      </c>
      <c r="D279" s="3423">
        <v>4720</v>
      </c>
      <c r="E279" s="3423">
        <v>5540</v>
      </c>
      <c r="F279" s="3429">
        <v>810</v>
      </c>
      <c r="G279" s="3429">
        <v>2850</v>
      </c>
      <c r="I279" s="1023"/>
      <c r="J279" s="3459"/>
      <c r="K279" s="3459"/>
      <c r="L279" s="3459"/>
      <c r="M279" s="3459"/>
      <c r="N279" s="3459"/>
      <c r="O279" s="3459"/>
      <c r="P279" s="3459"/>
      <c r="Q279" s="3459"/>
      <c r="R279" s="3459"/>
      <c r="S279" s="3459"/>
      <c r="T279" s="3459"/>
      <c r="U279" s="3459"/>
    </row>
    <row r="280" spans="1:21" s="1010" customFormat="1" ht="14.25" customHeight="1">
      <c r="A280" s="3423" t="s">
        <v>1156</v>
      </c>
      <c r="B280" s="3423" t="s">
        <v>2949</v>
      </c>
      <c r="C280" s="3423">
        <v>4010</v>
      </c>
      <c r="D280" s="3423">
        <v>3950</v>
      </c>
      <c r="E280" s="3423">
        <v>4710</v>
      </c>
      <c r="F280" s="3429">
        <v>800</v>
      </c>
      <c r="G280" s="3429">
        <v>2390</v>
      </c>
      <c r="I280" s="1023"/>
      <c r="J280" s="3459"/>
      <c r="K280" s="3459"/>
      <c r="L280" s="3459"/>
      <c r="M280" s="3459"/>
      <c r="N280" s="3459"/>
      <c r="O280" s="3459"/>
      <c r="P280" s="3459"/>
      <c r="Q280" s="3459"/>
      <c r="R280" s="3459"/>
      <c r="S280" s="3459"/>
      <c r="T280" s="3459"/>
      <c r="U280" s="3459"/>
    </row>
    <row r="281" spans="1:21" s="1010" customFormat="1" ht="14.25" customHeight="1">
      <c r="A281" s="3423" t="s">
        <v>1156</v>
      </c>
      <c r="B281" s="3423" t="s">
        <v>2950</v>
      </c>
      <c r="C281" s="3423">
        <v>4480</v>
      </c>
      <c r="D281" s="3423">
        <v>4420</v>
      </c>
      <c r="E281" s="3423">
        <v>5230</v>
      </c>
      <c r="F281" s="3429">
        <v>870</v>
      </c>
      <c r="G281" s="3429">
        <v>2660</v>
      </c>
      <c r="I281" s="1023"/>
      <c r="J281" s="3459"/>
      <c r="K281" s="3459"/>
      <c r="L281" s="3459"/>
      <c r="M281" s="3459"/>
      <c r="N281" s="3459"/>
      <c r="O281" s="3459"/>
      <c r="P281" s="3459"/>
      <c r="Q281" s="3459"/>
      <c r="R281" s="3459"/>
      <c r="S281" s="3459"/>
      <c r="T281" s="3459"/>
      <c r="U281" s="3459"/>
    </row>
    <row r="282" spans="1:21" s="1010" customFormat="1" ht="14.25" customHeight="1">
      <c r="A282" s="3423" t="s">
        <v>1156</v>
      </c>
      <c r="B282" s="3423" t="s">
        <v>2951</v>
      </c>
      <c r="C282" s="3423">
        <v>5360</v>
      </c>
      <c r="D282" s="3423">
        <v>5300</v>
      </c>
      <c r="E282" s="3423">
        <v>6190</v>
      </c>
      <c r="F282" s="3429">
        <v>950</v>
      </c>
      <c r="G282" s="3429">
        <v>3190</v>
      </c>
      <c r="I282" s="1023"/>
      <c r="J282" s="3459"/>
      <c r="K282" s="3459"/>
      <c r="L282" s="3459"/>
      <c r="M282" s="3459"/>
      <c r="N282" s="3459"/>
      <c r="O282" s="3459"/>
      <c r="P282" s="3459"/>
      <c r="Q282" s="3459"/>
      <c r="R282" s="3459"/>
      <c r="S282" s="3459"/>
      <c r="T282" s="3459"/>
      <c r="U282" s="3459"/>
    </row>
    <row r="283" spans="1:21" s="1010" customFormat="1" ht="14.25" customHeight="1">
      <c r="A283" s="3423" t="s">
        <v>1156</v>
      </c>
      <c r="B283" s="3423" t="s">
        <v>1021</v>
      </c>
      <c r="C283" s="3423">
        <v>4950</v>
      </c>
      <c r="D283" s="3423">
        <v>4900</v>
      </c>
      <c r="E283" s="3423">
        <v>5720</v>
      </c>
      <c r="F283" s="3429">
        <v>920</v>
      </c>
      <c r="G283" s="3429">
        <v>2950</v>
      </c>
      <c r="I283" s="1023"/>
      <c r="J283" s="3459"/>
      <c r="K283" s="3459"/>
      <c r="L283" s="3459"/>
      <c r="M283" s="3459"/>
      <c r="N283" s="3459"/>
      <c r="O283" s="3459"/>
      <c r="P283" s="3459"/>
      <c r="Q283" s="3459"/>
      <c r="R283" s="3459"/>
      <c r="S283" s="3459"/>
      <c r="T283" s="3459"/>
      <c r="U283" s="3459"/>
    </row>
    <row r="284" spans="1:21" s="1010" customFormat="1" ht="14.25" customHeight="1">
      <c r="A284" s="3423" t="s">
        <v>1156</v>
      </c>
      <c r="B284" s="3423" t="s">
        <v>1029</v>
      </c>
      <c r="C284" s="3423">
        <v>5610</v>
      </c>
      <c r="D284" s="3423">
        <v>5560</v>
      </c>
      <c r="E284" s="3423">
        <v>6520</v>
      </c>
      <c r="F284" s="3429">
        <v>1030</v>
      </c>
      <c r="G284" s="3429">
        <v>3360</v>
      </c>
      <c r="I284" s="1023"/>
      <c r="J284" s="3459"/>
      <c r="K284" s="3459"/>
      <c r="L284" s="3459"/>
      <c r="M284" s="3459"/>
      <c r="N284" s="3459"/>
      <c r="O284" s="3459"/>
      <c r="P284" s="3459"/>
      <c r="Q284" s="3459"/>
      <c r="R284" s="3459"/>
      <c r="S284" s="3459"/>
      <c r="T284" s="3459"/>
      <c r="U284" s="3459"/>
    </row>
    <row r="285" spans="1:21" s="1010" customFormat="1" ht="14.25" customHeight="1">
      <c r="A285" s="3423" t="s">
        <v>1156</v>
      </c>
      <c r="B285" s="3423" t="s">
        <v>1039</v>
      </c>
      <c r="C285" s="3423">
        <v>5340</v>
      </c>
      <c r="D285" s="3423">
        <v>5290</v>
      </c>
      <c r="E285" s="3423">
        <v>6170</v>
      </c>
      <c r="F285" s="3429">
        <v>1080</v>
      </c>
      <c r="G285" s="3429">
        <v>3180</v>
      </c>
      <c r="I285" s="1023"/>
      <c r="J285" s="3459"/>
      <c r="K285" s="3459"/>
      <c r="L285" s="3459"/>
      <c r="M285" s="3459"/>
      <c r="N285" s="3459"/>
      <c r="O285" s="3459"/>
      <c r="P285" s="3459"/>
      <c r="Q285" s="3459"/>
      <c r="R285" s="3459"/>
      <c r="S285" s="3459"/>
      <c r="T285" s="3459"/>
      <c r="U285" s="3459"/>
    </row>
    <row r="286" spans="1:21" s="1010" customFormat="1" ht="14.25" customHeight="1">
      <c r="A286" s="3423" t="s">
        <v>1156</v>
      </c>
      <c r="B286" s="3423" t="s">
        <v>1046</v>
      </c>
      <c r="C286" s="3423">
        <v>4890</v>
      </c>
      <c r="D286" s="3423">
        <v>4840</v>
      </c>
      <c r="E286" s="3423">
        <v>5640</v>
      </c>
      <c r="F286" s="3429">
        <v>960</v>
      </c>
      <c r="G286" s="3429">
        <v>2910</v>
      </c>
      <c r="I286" s="1023"/>
      <c r="J286" s="3459"/>
      <c r="K286" s="3459"/>
      <c r="L286" s="3459"/>
      <c r="M286" s="3459"/>
      <c r="N286" s="3459"/>
      <c r="O286" s="3459"/>
      <c r="P286" s="3459"/>
      <c r="Q286" s="3459"/>
      <c r="R286" s="3459"/>
      <c r="S286" s="3459"/>
      <c r="T286" s="3459"/>
      <c r="U286" s="3459"/>
    </row>
    <row r="287" spans="1:21" s="1010" customFormat="1" ht="14.25" customHeight="1">
      <c r="A287" s="3423" t="s">
        <v>1156</v>
      </c>
      <c r="B287" s="3423" t="s">
        <v>2952</v>
      </c>
      <c r="C287" s="3423">
        <v>4960</v>
      </c>
      <c r="D287" s="3423">
        <v>4920</v>
      </c>
      <c r="E287" s="3423">
        <v>5730</v>
      </c>
      <c r="F287" s="3429">
        <v>930</v>
      </c>
      <c r="G287" s="3429">
        <v>2960</v>
      </c>
      <c r="I287" s="1023"/>
      <c r="J287" s="3459"/>
      <c r="K287" s="3459"/>
      <c r="L287" s="3459"/>
      <c r="M287" s="3459"/>
      <c r="N287" s="3459"/>
      <c r="O287" s="3459"/>
      <c r="P287" s="3459"/>
      <c r="Q287" s="3459"/>
      <c r="R287" s="3459"/>
      <c r="S287" s="3459"/>
      <c r="T287" s="3459"/>
      <c r="U287" s="3459"/>
    </row>
    <row r="288" spans="1:21" s="1010" customFormat="1" ht="14.25" customHeight="1">
      <c r="A288" s="3423" t="s">
        <v>1156</v>
      </c>
      <c r="B288" s="3423" t="s">
        <v>1067</v>
      </c>
      <c r="C288" s="3423">
        <v>4350</v>
      </c>
      <c r="D288" s="3423">
        <v>4300</v>
      </c>
      <c r="E288" s="3423">
        <v>4900</v>
      </c>
      <c r="F288" s="3429">
        <v>820</v>
      </c>
      <c r="G288" s="3429">
        <v>2590</v>
      </c>
      <c r="I288" s="1023"/>
      <c r="J288" s="3459"/>
      <c r="K288" s="3459"/>
      <c r="L288" s="3459"/>
      <c r="M288" s="3459"/>
      <c r="N288" s="3459"/>
      <c r="O288" s="3459"/>
      <c r="P288" s="3459"/>
      <c r="Q288" s="3459"/>
      <c r="R288" s="3459"/>
      <c r="S288" s="3459"/>
      <c r="T288" s="3459"/>
      <c r="U288" s="3459"/>
    </row>
    <row r="289" spans="1:21" s="1010" customFormat="1" ht="14.25" customHeight="1">
      <c r="A289" s="3423" t="s">
        <v>1156</v>
      </c>
      <c r="B289" s="3423" t="s">
        <v>2953</v>
      </c>
      <c r="C289" s="3423">
        <v>5230</v>
      </c>
      <c r="D289" s="3423">
        <v>5170</v>
      </c>
      <c r="E289" s="3423">
        <v>6060</v>
      </c>
      <c r="F289" s="3423">
        <v>900</v>
      </c>
      <c r="G289" s="3423">
        <v>3120</v>
      </c>
      <c r="H289" s="3445"/>
      <c r="I289" s="1023"/>
      <c r="J289" s="3459"/>
      <c r="K289" s="3459"/>
      <c r="L289" s="3459"/>
      <c r="M289" s="3459"/>
      <c r="N289" s="3459"/>
      <c r="O289" s="3459"/>
      <c r="P289" s="3459"/>
      <c r="Q289" s="3459"/>
      <c r="R289" s="3459"/>
      <c r="S289" s="3459"/>
      <c r="T289" s="3459"/>
      <c r="U289" s="3459"/>
    </row>
    <row r="290" spans="1:21" s="1010" customFormat="1" ht="14.25" customHeight="1">
      <c r="A290" s="1288" t="s">
        <v>1156</v>
      </c>
      <c r="B290" s="1288" t="s">
        <v>1090</v>
      </c>
      <c r="C290" s="1288">
        <v>5550</v>
      </c>
      <c r="D290" s="1288">
        <v>5500</v>
      </c>
      <c r="E290" s="1288">
        <v>6440</v>
      </c>
      <c r="F290" s="3424">
        <v>960</v>
      </c>
      <c r="G290" s="3440">
        <v>3320</v>
      </c>
      <c r="I290" s="1023"/>
      <c r="J290" s="3459"/>
      <c r="K290" s="3459"/>
      <c r="L290" s="3459"/>
      <c r="M290" s="3459"/>
      <c r="N290" s="3459"/>
      <c r="O290" s="3459"/>
      <c r="P290" s="3459"/>
      <c r="Q290" s="3459"/>
      <c r="R290" s="3459"/>
      <c r="S290" s="3459"/>
      <c r="T290" s="3459"/>
      <c r="U290" s="3459"/>
    </row>
    <row r="291" spans="1:21" s="1010" customFormat="1" ht="14.25" customHeight="1">
      <c r="A291" s="3423" t="s">
        <v>1156</v>
      </c>
      <c r="B291" s="3423" t="s">
        <v>1098</v>
      </c>
      <c r="C291" s="3423">
        <v>5440</v>
      </c>
      <c r="D291" s="3423">
        <v>5400</v>
      </c>
      <c r="E291" s="3423">
        <v>6320</v>
      </c>
      <c r="F291" s="3429">
        <v>930</v>
      </c>
      <c r="G291" s="3431">
        <v>3250</v>
      </c>
      <c r="I291" s="1023"/>
      <c r="J291" s="3459"/>
      <c r="K291" s="3459"/>
      <c r="L291" s="3459"/>
      <c r="M291" s="3459"/>
      <c r="N291" s="3459"/>
      <c r="O291" s="3459"/>
      <c r="P291" s="3459"/>
      <c r="Q291" s="3459"/>
      <c r="R291" s="3459"/>
      <c r="S291" s="3459"/>
      <c r="T291" s="3459"/>
      <c r="U291" s="3459"/>
    </row>
    <row r="292" spans="1:21" s="1010" customFormat="1" ht="14.25" customHeight="1">
      <c r="A292" s="3423" t="s">
        <v>1156</v>
      </c>
      <c r="B292" s="3423" t="s">
        <v>1104</v>
      </c>
      <c r="C292" s="3423">
        <v>5400</v>
      </c>
      <c r="D292" s="3423">
        <v>5360</v>
      </c>
      <c r="E292" s="3423">
        <v>6270</v>
      </c>
      <c r="F292" s="3429">
        <v>1040</v>
      </c>
      <c r="G292" s="3429">
        <v>3230</v>
      </c>
      <c r="I292" s="1023"/>
      <c r="J292" s="3459"/>
      <c r="K292" s="3459"/>
      <c r="L292" s="3459"/>
      <c r="M292" s="3459"/>
      <c r="N292" s="3459"/>
      <c r="O292" s="3459"/>
      <c r="P292" s="3459"/>
      <c r="Q292" s="3459"/>
      <c r="R292" s="3459"/>
      <c r="S292" s="3459"/>
      <c r="T292" s="3459"/>
      <c r="U292" s="3459"/>
    </row>
    <row r="293" spans="1:21" s="1010" customFormat="1" ht="14.25" customHeight="1">
      <c r="A293" s="3423" t="s">
        <v>1156</v>
      </c>
      <c r="B293" s="3423" t="s">
        <v>2954</v>
      </c>
      <c r="C293" s="3423">
        <v>5320</v>
      </c>
      <c r="D293" s="3423">
        <v>5270</v>
      </c>
      <c r="E293" s="3423">
        <v>6160</v>
      </c>
      <c r="F293" s="3429">
        <v>990</v>
      </c>
      <c r="G293" s="3429">
        <v>3170</v>
      </c>
      <c r="I293" s="1023"/>
      <c r="J293" s="3459"/>
      <c r="K293" s="3459"/>
      <c r="L293" s="3459"/>
      <c r="M293" s="3459"/>
      <c r="N293" s="3459"/>
      <c r="O293" s="3459"/>
      <c r="P293" s="3459"/>
      <c r="Q293" s="3459"/>
      <c r="R293" s="3459"/>
      <c r="S293" s="3459"/>
      <c r="T293" s="3459"/>
      <c r="U293" s="3459"/>
    </row>
    <row r="294" spans="1:21" s="1010" customFormat="1" ht="14.25" customHeight="1">
      <c r="A294" s="3423" t="s">
        <v>1156</v>
      </c>
      <c r="B294" s="3423" t="s">
        <v>2955</v>
      </c>
      <c r="C294" s="3423">
        <v>5260</v>
      </c>
      <c r="D294" s="3423">
        <v>5210</v>
      </c>
      <c r="E294" s="3423">
        <v>6100</v>
      </c>
      <c r="F294" s="3429">
        <v>950</v>
      </c>
      <c r="G294" s="3429">
        <v>3150</v>
      </c>
      <c r="I294" s="1023"/>
      <c r="J294" s="3459"/>
      <c r="K294" s="3459"/>
      <c r="L294" s="3459"/>
      <c r="M294" s="3459"/>
      <c r="N294" s="3459"/>
      <c r="O294" s="3459"/>
      <c r="P294" s="3459"/>
      <c r="Q294" s="3459"/>
      <c r="R294" s="3459"/>
      <c r="S294" s="3459"/>
      <c r="T294" s="3459"/>
      <c r="U294" s="3459"/>
    </row>
    <row r="295" spans="1:21" s="1010" customFormat="1" ht="14.25" customHeight="1">
      <c r="A295" s="3423" t="s">
        <v>1156</v>
      </c>
      <c r="B295" s="3423" t="s">
        <v>1139</v>
      </c>
      <c r="C295" s="3423">
        <v>5610</v>
      </c>
      <c r="D295" s="3423">
        <v>5570</v>
      </c>
      <c r="E295" s="3423">
        <v>6530</v>
      </c>
      <c r="F295" s="3429">
        <v>960</v>
      </c>
      <c r="G295" s="3429">
        <v>3360</v>
      </c>
      <c r="I295" s="1023"/>
      <c r="J295" s="3459"/>
      <c r="K295" s="3459"/>
      <c r="L295" s="3459"/>
      <c r="M295" s="3459"/>
      <c r="N295" s="3459"/>
      <c r="O295" s="3459"/>
      <c r="P295" s="3459"/>
      <c r="Q295" s="3459"/>
      <c r="R295" s="3459"/>
      <c r="S295" s="3459"/>
      <c r="T295" s="3459"/>
      <c r="U295" s="3459"/>
    </row>
    <row r="296" spans="1:21" s="1010" customFormat="1" ht="14.25" customHeight="1">
      <c r="A296" s="3423" t="s">
        <v>1156</v>
      </c>
      <c r="B296" s="3423" t="s">
        <v>1142</v>
      </c>
      <c r="C296" s="3423">
        <v>5540</v>
      </c>
      <c r="D296" s="3423">
        <v>5490</v>
      </c>
      <c r="E296" s="3423">
        <v>6430</v>
      </c>
      <c r="F296" s="3429">
        <v>980</v>
      </c>
      <c r="G296" s="3429">
        <v>3310</v>
      </c>
      <c r="I296" s="1023"/>
      <c r="J296" s="3459"/>
      <c r="K296" s="3459"/>
      <c r="L296" s="3459"/>
      <c r="M296" s="3459"/>
      <c r="N296" s="3459"/>
      <c r="O296" s="3459"/>
      <c r="P296" s="3459"/>
      <c r="Q296" s="3459"/>
      <c r="R296" s="3459"/>
      <c r="S296" s="3459"/>
      <c r="T296" s="3459"/>
      <c r="U296" s="3459"/>
    </row>
    <row r="297" spans="1:21" s="1010" customFormat="1" ht="14.25" customHeight="1">
      <c r="A297" s="3423" t="s">
        <v>1156</v>
      </c>
      <c r="B297" s="3423" t="s">
        <v>1144</v>
      </c>
      <c r="C297" s="3423">
        <v>5480</v>
      </c>
      <c r="D297" s="3423">
        <v>5420</v>
      </c>
      <c r="E297" s="3423">
        <v>6370</v>
      </c>
      <c r="F297" s="3429">
        <v>990</v>
      </c>
      <c r="G297" s="3429">
        <v>3270</v>
      </c>
      <c r="I297" s="1023"/>
      <c r="J297" s="3459"/>
      <c r="K297" s="3459"/>
      <c r="L297" s="3459"/>
      <c r="M297" s="3459"/>
      <c r="N297" s="3459"/>
      <c r="O297" s="3459"/>
      <c r="P297" s="3459"/>
      <c r="Q297" s="3459"/>
      <c r="R297" s="3459"/>
      <c r="S297" s="3459"/>
      <c r="T297" s="3459"/>
      <c r="U297" s="3459"/>
    </row>
    <row r="298" spans="1:21" s="1010" customFormat="1" ht="14.25" customHeight="1">
      <c r="A298" s="3423" t="s">
        <v>1156</v>
      </c>
      <c r="B298" s="3423" t="s">
        <v>1147</v>
      </c>
      <c r="C298" s="3423">
        <v>5090</v>
      </c>
      <c r="D298" s="3423">
        <v>5050</v>
      </c>
      <c r="E298" s="3423">
        <v>5910</v>
      </c>
      <c r="F298" s="3429">
        <v>900</v>
      </c>
      <c r="G298" s="3429">
        <v>3040</v>
      </c>
      <c r="I298" s="1023"/>
      <c r="J298" s="3459"/>
      <c r="K298" s="3459"/>
      <c r="L298" s="3459"/>
      <c r="M298" s="3459"/>
      <c r="N298" s="3459"/>
      <c r="O298" s="3459"/>
      <c r="P298" s="3459"/>
      <c r="Q298" s="3459"/>
      <c r="R298" s="3459"/>
      <c r="S298" s="3459"/>
      <c r="T298" s="3459"/>
      <c r="U298" s="3459"/>
    </row>
    <row r="299" spans="1:21" s="1010" customFormat="1" ht="14.25" customHeight="1">
      <c r="A299" s="3423" t="s">
        <v>1156</v>
      </c>
      <c r="B299" s="3423" t="s">
        <v>2956</v>
      </c>
      <c r="C299" s="3423">
        <v>5430</v>
      </c>
      <c r="D299" s="3423">
        <v>5380</v>
      </c>
      <c r="E299" s="3423">
        <v>6280</v>
      </c>
      <c r="F299" s="3429">
        <v>1000</v>
      </c>
      <c r="G299" s="3431">
        <v>3240</v>
      </c>
      <c r="I299" s="1023"/>
      <c r="J299" s="3459"/>
      <c r="K299" s="3459"/>
      <c r="L299" s="3459"/>
      <c r="M299" s="3459"/>
      <c r="N299" s="3459"/>
      <c r="O299" s="3459"/>
      <c r="P299" s="3459"/>
      <c r="Q299" s="3459"/>
      <c r="R299" s="3459"/>
      <c r="S299" s="3459"/>
      <c r="T299" s="3459"/>
      <c r="U299" s="3459"/>
    </row>
    <row r="300" spans="1:21" s="1010" customFormat="1" ht="14.25" customHeight="1">
      <c r="A300" s="3423" t="s">
        <v>1156</v>
      </c>
      <c r="B300" s="3423" t="s">
        <v>1119</v>
      </c>
      <c r="C300" s="3423">
        <v>4740</v>
      </c>
      <c r="D300" s="3423">
        <v>4680</v>
      </c>
      <c r="E300" s="3423">
        <v>5450</v>
      </c>
      <c r="F300" s="3429">
        <v>900</v>
      </c>
      <c r="G300" s="3429">
        <v>2830</v>
      </c>
      <c r="I300" s="1023"/>
      <c r="J300" s="3459"/>
      <c r="K300" s="3459"/>
      <c r="L300" s="3459"/>
      <c r="M300" s="3459"/>
      <c r="N300" s="3459"/>
      <c r="O300" s="3459"/>
      <c r="P300" s="3459"/>
      <c r="Q300" s="3459"/>
      <c r="R300" s="3459"/>
      <c r="S300" s="3459"/>
      <c r="T300" s="3459"/>
      <c r="U300" s="3459"/>
    </row>
    <row r="301" spans="1:21" s="1010" customFormat="1" ht="14.25" customHeight="1">
      <c r="A301" s="3423" t="s">
        <v>1156</v>
      </c>
      <c r="B301" s="3423" t="s">
        <v>1125</v>
      </c>
      <c r="C301" s="3423">
        <v>4870</v>
      </c>
      <c r="D301" s="3423">
        <v>4810</v>
      </c>
      <c r="E301" s="3423">
        <v>5560</v>
      </c>
      <c r="F301" s="3429">
        <v>990</v>
      </c>
      <c r="G301" s="3431">
        <v>2910</v>
      </c>
      <c r="I301" s="1023"/>
      <c r="J301" s="3459"/>
      <c r="K301" s="3459"/>
      <c r="L301" s="3459"/>
      <c r="M301" s="3459"/>
      <c r="N301" s="3459"/>
      <c r="O301" s="3459"/>
      <c r="P301" s="3459"/>
      <c r="Q301" s="3459"/>
      <c r="R301" s="3459"/>
      <c r="S301" s="3459"/>
      <c r="T301" s="3459"/>
      <c r="U301" s="3459"/>
    </row>
    <row r="302" spans="1:21" s="1010" customFormat="1" ht="14.25" customHeight="1">
      <c r="A302" s="3423" t="s">
        <v>1156</v>
      </c>
      <c r="B302" s="3423" t="s">
        <v>2957</v>
      </c>
      <c r="C302" s="3423">
        <v>5520</v>
      </c>
      <c r="D302" s="3423">
        <v>5470</v>
      </c>
      <c r="E302" s="3423">
        <v>6410</v>
      </c>
      <c r="F302" s="3429">
        <v>950</v>
      </c>
      <c r="G302" s="3429">
        <v>3300</v>
      </c>
      <c r="I302" s="1023"/>
      <c r="J302" s="3459"/>
      <c r="K302" s="3459"/>
      <c r="L302" s="3459"/>
      <c r="M302" s="3459"/>
      <c r="N302" s="3459"/>
      <c r="O302" s="3459"/>
      <c r="P302" s="3459"/>
      <c r="Q302" s="3459"/>
      <c r="R302" s="3459"/>
      <c r="S302" s="3459"/>
      <c r="T302" s="3459"/>
      <c r="U302" s="3459"/>
    </row>
    <row r="303" spans="1:21" s="1010" customFormat="1" ht="14.25" customHeight="1">
      <c r="A303" s="3423" t="s">
        <v>1156</v>
      </c>
      <c r="B303" s="3423" t="s">
        <v>2958</v>
      </c>
      <c r="C303" s="3423">
        <v>5630</v>
      </c>
      <c r="D303" s="3423">
        <v>5590</v>
      </c>
      <c r="E303" s="3423">
        <v>6550</v>
      </c>
      <c r="F303" s="3429">
        <v>1010</v>
      </c>
      <c r="G303" s="3429">
        <v>3370</v>
      </c>
      <c r="I303" s="1023"/>
      <c r="J303" s="3459"/>
      <c r="K303" s="3459"/>
      <c r="L303" s="3459"/>
      <c r="M303" s="3459"/>
      <c r="N303" s="3459"/>
      <c r="O303" s="3459"/>
      <c r="P303" s="3459"/>
      <c r="Q303" s="3459"/>
      <c r="R303" s="3459"/>
      <c r="S303" s="3459"/>
      <c r="T303" s="3459"/>
      <c r="U303" s="3459"/>
    </row>
    <row r="304" spans="1:21" s="1010" customFormat="1" ht="14.25" customHeight="1">
      <c r="A304" s="3423" t="s">
        <v>1156</v>
      </c>
      <c r="B304" s="3423" t="s">
        <v>2959</v>
      </c>
      <c r="C304" s="3423">
        <v>5680</v>
      </c>
      <c r="D304" s="3423">
        <v>5620</v>
      </c>
      <c r="E304" s="3423">
        <v>6620</v>
      </c>
      <c r="F304" s="3429">
        <v>1050</v>
      </c>
      <c r="G304" s="3431">
        <v>3390</v>
      </c>
      <c r="I304" s="1023"/>
      <c r="J304" s="3459"/>
      <c r="K304" s="3459"/>
      <c r="L304" s="3459"/>
      <c r="M304" s="3459"/>
      <c r="N304" s="3459"/>
      <c r="O304" s="3459"/>
      <c r="P304" s="3459"/>
      <c r="Q304" s="3459"/>
      <c r="R304" s="3459"/>
      <c r="S304" s="3459"/>
      <c r="T304" s="3459"/>
      <c r="U304" s="3459"/>
    </row>
    <row r="305" spans="1:21" s="1010" customFormat="1" ht="14.25" customHeight="1">
      <c r="A305" s="3423" t="s">
        <v>1156</v>
      </c>
      <c r="B305" s="3423" t="s">
        <v>2960</v>
      </c>
      <c r="C305" s="3423">
        <v>5590</v>
      </c>
      <c r="D305" s="3423">
        <v>5530</v>
      </c>
      <c r="E305" s="3423">
        <v>6460</v>
      </c>
      <c r="F305" s="3429">
        <v>900</v>
      </c>
      <c r="G305" s="3429">
        <v>3340</v>
      </c>
      <c r="I305" s="1023"/>
      <c r="J305" s="3459"/>
      <c r="K305" s="3459"/>
      <c r="L305" s="3459"/>
      <c r="M305" s="3459"/>
      <c r="N305" s="3459"/>
      <c r="O305" s="3459"/>
      <c r="P305" s="3459"/>
      <c r="Q305" s="3459"/>
      <c r="R305" s="3459"/>
      <c r="S305" s="3459"/>
      <c r="T305" s="3459"/>
      <c r="U305" s="3459"/>
    </row>
    <row r="306" spans="1:21" s="1010" customFormat="1" ht="14.25" customHeight="1">
      <c r="A306" s="3423" t="s">
        <v>1156</v>
      </c>
      <c r="B306" s="3423" t="s">
        <v>2961</v>
      </c>
      <c r="C306" s="3423">
        <v>5560</v>
      </c>
      <c r="D306" s="3423">
        <v>5510</v>
      </c>
      <c r="E306" s="3423">
        <v>6440</v>
      </c>
      <c r="F306" s="3429">
        <v>900</v>
      </c>
      <c r="G306" s="3431">
        <v>3320</v>
      </c>
      <c r="I306" s="1023"/>
      <c r="J306" s="3459"/>
      <c r="K306" s="3459"/>
      <c r="L306" s="3459"/>
      <c r="M306" s="3459"/>
      <c r="N306" s="3459"/>
      <c r="O306" s="3459"/>
      <c r="P306" s="3459"/>
      <c r="Q306" s="3459"/>
      <c r="R306" s="3459"/>
      <c r="S306" s="3459"/>
      <c r="T306" s="3459"/>
      <c r="U306" s="3459"/>
    </row>
    <row r="307" spans="1:21" s="1010" customFormat="1" ht="14.25" customHeight="1">
      <c r="A307" s="3423" t="s">
        <v>1156</v>
      </c>
      <c r="B307" s="3423" t="s">
        <v>2962</v>
      </c>
      <c r="C307" s="3423">
        <v>5650</v>
      </c>
      <c r="D307" s="3423">
        <v>5600</v>
      </c>
      <c r="E307" s="3423">
        <v>6590</v>
      </c>
      <c r="F307" s="3429">
        <v>930</v>
      </c>
      <c r="G307" s="3429">
        <v>3380</v>
      </c>
      <c r="I307" s="1023"/>
      <c r="J307" s="3459"/>
      <c r="K307" s="3459"/>
      <c r="L307" s="3459"/>
      <c r="M307" s="3459"/>
      <c r="N307" s="3459"/>
      <c r="O307" s="3459"/>
      <c r="P307" s="3459"/>
      <c r="Q307" s="3459"/>
      <c r="R307" s="3459"/>
      <c r="S307" s="3459"/>
      <c r="T307" s="3459"/>
      <c r="U307" s="3459"/>
    </row>
    <row r="308" spans="1:21" s="1010" customFormat="1" ht="14.25" customHeight="1">
      <c r="A308" s="3423" t="s">
        <v>1156</v>
      </c>
      <c r="B308" s="3423" t="s">
        <v>2963</v>
      </c>
      <c r="C308" s="3423">
        <v>5620</v>
      </c>
      <c r="D308" s="3423">
        <v>5580</v>
      </c>
      <c r="E308" s="3423">
        <v>6540</v>
      </c>
      <c r="F308" s="3429">
        <v>910</v>
      </c>
      <c r="G308" s="3429">
        <v>3370</v>
      </c>
      <c r="I308" s="1023"/>
      <c r="J308" s="3459"/>
      <c r="K308" s="3459"/>
      <c r="L308" s="3459"/>
      <c r="M308" s="3459"/>
      <c r="N308" s="3459"/>
      <c r="O308" s="3459"/>
      <c r="P308" s="3459"/>
      <c r="Q308" s="3459"/>
      <c r="R308" s="3459"/>
      <c r="S308" s="3459"/>
      <c r="T308" s="3459"/>
      <c r="U308" s="3459"/>
    </row>
    <row r="309" spans="1:21" s="1010" customFormat="1" ht="14.25" customHeight="1">
      <c r="A309" s="3423" t="s">
        <v>1156</v>
      </c>
      <c r="B309" s="3423" t="s">
        <v>2964</v>
      </c>
      <c r="C309" s="3423">
        <v>5060</v>
      </c>
      <c r="D309" s="3423">
        <v>5020</v>
      </c>
      <c r="E309" s="3423">
        <v>6370</v>
      </c>
      <c r="F309" s="3429">
        <v>800</v>
      </c>
      <c r="G309" s="3431">
        <v>3020</v>
      </c>
      <c r="I309" s="1023"/>
      <c r="J309" s="3459"/>
      <c r="K309" s="3459"/>
      <c r="L309" s="3459"/>
      <c r="M309" s="3459"/>
      <c r="N309" s="3459"/>
      <c r="O309" s="3459"/>
      <c r="P309" s="3459"/>
      <c r="Q309" s="3459"/>
      <c r="R309" s="3459"/>
      <c r="S309" s="3459"/>
      <c r="T309" s="3459"/>
      <c r="U309" s="3459"/>
    </row>
    <row r="310" spans="1:21" s="1010" customFormat="1" ht="14.25" customHeight="1">
      <c r="A310" s="3423" t="s">
        <v>1156</v>
      </c>
      <c r="B310" s="3423" t="s">
        <v>2965</v>
      </c>
      <c r="C310" s="3423">
        <v>5150</v>
      </c>
      <c r="D310" s="3423">
        <v>5110</v>
      </c>
      <c r="E310" s="3423">
        <v>6500</v>
      </c>
      <c r="F310" s="3429">
        <v>880</v>
      </c>
      <c r="G310" s="3429">
        <v>3080</v>
      </c>
      <c r="I310" s="1023"/>
      <c r="J310" s="3459"/>
      <c r="K310" s="3459"/>
      <c r="L310" s="3459"/>
      <c r="M310" s="3459"/>
      <c r="N310" s="3459"/>
      <c r="O310" s="3459"/>
      <c r="P310" s="3459"/>
      <c r="Q310" s="3459"/>
      <c r="R310" s="3459"/>
      <c r="S310" s="3459"/>
      <c r="T310" s="3459"/>
      <c r="U310" s="3459"/>
    </row>
    <row r="311" spans="1:21" s="1010" customFormat="1" ht="14.25" customHeight="1">
      <c r="A311" s="3423" t="s">
        <v>1156</v>
      </c>
      <c r="B311" s="3423" t="s">
        <v>2966</v>
      </c>
      <c r="C311" s="3423">
        <v>4750</v>
      </c>
      <c r="D311" s="3423">
        <v>4710</v>
      </c>
      <c r="E311" s="3423">
        <v>5510</v>
      </c>
      <c r="F311" s="3429">
        <v>880</v>
      </c>
      <c r="G311" s="3429">
        <v>2840</v>
      </c>
      <c r="I311" s="1023"/>
      <c r="J311" s="3459"/>
      <c r="K311" s="3459"/>
      <c r="L311" s="3459"/>
      <c r="M311" s="3459"/>
      <c r="N311" s="3459"/>
      <c r="O311" s="3459"/>
      <c r="P311" s="3459"/>
      <c r="Q311" s="3459"/>
      <c r="R311" s="3459"/>
      <c r="S311" s="3459"/>
      <c r="T311" s="3459"/>
      <c r="U311" s="3459"/>
    </row>
    <row r="312" spans="1:21" s="1010" customFormat="1" ht="14.25" customHeight="1">
      <c r="A312" s="3423" t="s">
        <v>1156</v>
      </c>
      <c r="B312" s="3423" t="s">
        <v>2967</v>
      </c>
      <c r="C312" s="3423">
        <v>4690</v>
      </c>
      <c r="D312" s="3423">
        <v>4640</v>
      </c>
      <c r="E312" s="3423">
        <v>5420</v>
      </c>
      <c r="F312" s="3429">
        <v>800</v>
      </c>
      <c r="G312" s="3429">
        <v>2800</v>
      </c>
      <c r="I312" s="1023"/>
      <c r="J312" s="3459"/>
      <c r="K312" s="3459"/>
      <c r="L312" s="3459"/>
      <c r="M312" s="3459"/>
      <c r="N312" s="3459"/>
      <c r="O312" s="3459"/>
      <c r="P312" s="3459"/>
      <c r="Q312" s="3459"/>
      <c r="R312" s="3459"/>
      <c r="S312" s="3459"/>
      <c r="T312" s="3459"/>
      <c r="U312" s="3459"/>
    </row>
    <row r="313" spans="1:21" s="1010" customFormat="1" ht="14.25" customHeight="1">
      <c r="A313" s="3423" t="s">
        <v>1156</v>
      </c>
      <c r="B313" s="3423" t="s">
        <v>2968</v>
      </c>
      <c r="C313" s="3423">
        <v>4810</v>
      </c>
      <c r="D313" s="3423">
        <v>4760</v>
      </c>
      <c r="E313" s="3423">
        <v>5550</v>
      </c>
      <c r="F313" s="3429">
        <v>920</v>
      </c>
      <c r="G313" s="3429">
        <v>2870</v>
      </c>
      <c r="I313" s="1023"/>
      <c r="J313" s="3459"/>
      <c r="K313" s="3459"/>
      <c r="L313" s="3459"/>
      <c r="M313" s="3459"/>
      <c r="N313" s="3459"/>
      <c r="O313" s="3459"/>
      <c r="P313" s="3459"/>
      <c r="Q313" s="3459"/>
      <c r="R313" s="3459"/>
      <c r="S313" s="3459"/>
      <c r="T313" s="3459"/>
      <c r="U313" s="3459"/>
    </row>
    <row r="314" spans="1:21" s="1010" customFormat="1" ht="14.25" customHeight="1">
      <c r="A314" s="3423" t="s">
        <v>1156</v>
      </c>
      <c r="B314" s="3423" t="s">
        <v>2969</v>
      </c>
      <c r="C314" s="3423"/>
      <c r="D314" s="3423"/>
      <c r="E314" s="3423"/>
      <c r="F314" s="3429">
        <v>1020</v>
      </c>
      <c r="G314" s="3429"/>
      <c r="I314" s="1023"/>
      <c r="J314" s="3459"/>
      <c r="K314" s="3459"/>
      <c r="L314" s="3459"/>
      <c r="M314" s="3459"/>
      <c r="N314" s="3459"/>
      <c r="O314" s="3459"/>
      <c r="P314" s="3459"/>
      <c r="Q314" s="3459"/>
      <c r="R314" s="3459"/>
      <c r="S314" s="3459"/>
      <c r="T314" s="3459"/>
      <c r="U314" s="3459"/>
    </row>
    <row r="315" spans="1:21" s="1010" customFormat="1" ht="14.25" customHeight="1">
      <c r="A315" s="3423" t="s">
        <v>1156</v>
      </c>
      <c r="B315" s="3423" t="s">
        <v>2970</v>
      </c>
      <c r="C315" s="3423"/>
      <c r="D315" s="3423"/>
      <c r="E315" s="3423"/>
      <c r="F315" s="3429">
        <v>1050</v>
      </c>
      <c r="G315" s="3429"/>
      <c r="I315" s="1023"/>
      <c r="J315" s="3459"/>
      <c r="K315" s="3459"/>
      <c r="L315" s="3459"/>
      <c r="M315" s="3459"/>
      <c r="N315" s="3459"/>
      <c r="O315" s="3459"/>
      <c r="P315" s="3459"/>
      <c r="Q315" s="3459"/>
      <c r="R315" s="3459"/>
      <c r="S315" s="3459"/>
      <c r="T315" s="3459"/>
      <c r="U315" s="3459"/>
    </row>
    <row r="316" spans="1:21" s="1010" customFormat="1" ht="14.25" customHeight="1">
      <c r="A316" s="3423" t="s">
        <v>1156</v>
      </c>
      <c r="B316" s="3423" t="s">
        <v>2971</v>
      </c>
      <c r="C316" s="3423"/>
      <c r="D316" s="3423"/>
      <c r="E316" s="3423"/>
      <c r="F316" s="3429">
        <v>900</v>
      </c>
      <c r="G316" s="3436"/>
      <c r="I316" s="1023"/>
      <c r="J316" s="3459"/>
      <c r="K316" s="3459"/>
      <c r="L316" s="3459"/>
      <c r="M316" s="3459"/>
      <c r="N316" s="3459"/>
      <c r="O316" s="3459"/>
      <c r="P316" s="3459"/>
      <c r="Q316" s="3459"/>
      <c r="R316" s="3459"/>
      <c r="S316" s="3459"/>
      <c r="T316" s="3459"/>
      <c r="U316" s="3459"/>
    </row>
    <row r="317" spans="1:21" s="1010" customFormat="1" ht="14.25" customHeight="1">
      <c r="A317" s="1288" t="s">
        <v>1156</v>
      </c>
      <c r="B317" s="1288" t="s">
        <v>2972</v>
      </c>
      <c r="C317" s="1288"/>
      <c r="D317" s="1288"/>
      <c r="E317" s="1288"/>
      <c r="F317" s="3424">
        <v>920</v>
      </c>
      <c r="G317" s="3424"/>
      <c r="I317" s="1007"/>
      <c r="J317" s="3459"/>
      <c r="K317" s="3459"/>
      <c r="L317" s="3459"/>
      <c r="M317" s="3459"/>
      <c r="N317" s="3459"/>
      <c r="O317" s="3459"/>
      <c r="P317" s="3459"/>
      <c r="Q317" s="3459"/>
      <c r="R317" s="3459"/>
      <c r="S317" s="3459"/>
      <c r="T317" s="3459"/>
      <c r="U317" s="3459"/>
    </row>
    <row r="318" spans="1:21" s="1010" customFormat="1" ht="14.25" customHeight="1">
      <c r="A318" s="3423" t="s">
        <v>1156</v>
      </c>
      <c r="B318" s="3423" t="s">
        <v>2973</v>
      </c>
      <c r="C318" s="3423"/>
      <c r="D318" s="3423"/>
      <c r="E318" s="3423"/>
      <c r="F318" s="3429">
        <v>1080</v>
      </c>
      <c r="G318" s="3431"/>
      <c r="I318" s="1007"/>
      <c r="J318" s="3459"/>
      <c r="K318" s="3459"/>
      <c r="L318" s="3459"/>
      <c r="M318" s="3459"/>
      <c r="N318" s="3459"/>
      <c r="O318" s="3459"/>
      <c r="P318" s="3459"/>
      <c r="Q318" s="3459"/>
      <c r="R318" s="3459"/>
      <c r="S318" s="3459"/>
      <c r="T318" s="3459"/>
      <c r="U318" s="3459"/>
    </row>
    <row r="319" spans="1:21" s="1010" customFormat="1" ht="14.25" customHeight="1">
      <c r="A319" s="3423" t="s">
        <v>1156</v>
      </c>
      <c r="B319" s="3423" t="s">
        <v>2974</v>
      </c>
      <c r="C319" s="3423"/>
      <c r="D319" s="3423"/>
      <c r="E319" s="3423"/>
      <c r="F319" s="3429">
        <v>1020</v>
      </c>
      <c r="G319" s="3429"/>
      <c r="I319" s="1007"/>
      <c r="J319" s="3459"/>
      <c r="K319" s="3459"/>
      <c r="L319" s="3459"/>
      <c r="M319" s="3459"/>
      <c r="N319" s="3459"/>
      <c r="O319" s="3459"/>
      <c r="P319" s="3459"/>
      <c r="Q319" s="3459"/>
      <c r="R319" s="3459"/>
      <c r="S319" s="3459"/>
      <c r="T319" s="3459"/>
      <c r="U319" s="3459"/>
    </row>
    <row r="320" spans="1:21" s="1010" customFormat="1" ht="14.25" customHeight="1">
      <c r="A320" s="3423" t="s">
        <v>1156</v>
      </c>
      <c r="B320" s="3423" t="s">
        <v>2975</v>
      </c>
      <c r="C320" s="3423"/>
      <c r="D320" s="3423"/>
      <c r="E320" s="3423"/>
      <c r="F320" s="3429">
        <v>1050</v>
      </c>
      <c r="G320" s="3431"/>
      <c r="I320" s="1007"/>
      <c r="J320" s="3459"/>
      <c r="K320" s="3459"/>
      <c r="L320" s="3459"/>
      <c r="M320" s="3459"/>
      <c r="N320" s="3459"/>
      <c r="O320" s="3459"/>
      <c r="P320" s="3459"/>
      <c r="Q320" s="3459"/>
      <c r="R320" s="3459"/>
      <c r="S320" s="3459"/>
      <c r="T320" s="3459"/>
      <c r="U320" s="3459"/>
    </row>
    <row r="321" spans="1:21" s="1010" customFormat="1" ht="14.25" customHeight="1">
      <c r="A321" s="3423" t="s">
        <v>1156</v>
      </c>
      <c r="B321" s="3423" t="s">
        <v>2976</v>
      </c>
      <c r="C321" s="3423"/>
      <c r="D321" s="3423"/>
      <c r="E321" s="3423"/>
      <c r="F321" s="3429">
        <v>960</v>
      </c>
      <c r="G321" s="3431"/>
      <c r="I321" s="1007"/>
      <c r="J321" s="3459"/>
      <c r="K321" s="3459"/>
      <c r="L321" s="3459"/>
      <c r="M321" s="3459"/>
      <c r="N321" s="3459"/>
      <c r="O321" s="3459"/>
      <c r="P321" s="3459"/>
      <c r="Q321" s="3459"/>
      <c r="R321" s="3459"/>
      <c r="S321" s="3459"/>
      <c r="T321" s="3459"/>
      <c r="U321" s="3459"/>
    </row>
    <row r="322" spans="1:21" s="1010" customFormat="1" ht="14.25" customHeight="1">
      <c r="A322" s="3423" t="s">
        <v>1156</v>
      </c>
      <c r="B322" s="3423" t="s">
        <v>2977</v>
      </c>
      <c r="C322" s="3423"/>
      <c r="D322" s="3423"/>
      <c r="E322" s="3423"/>
      <c r="F322" s="3429">
        <v>960</v>
      </c>
      <c r="G322" s="3429"/>
      <c r="I322" s="1007"/>
      <c r="J322" s="3459"/>
      <c r="K322" s="3459"/>
      <c r="L322" s="3459"/>
      <c r="M322" s="3459"/>
      <c r="N322" s="3459"/>
      <c r="O322" s="3459"/>
      <c r="P322" s="3459"/>
      <c r="Q322" s="3459"/>
      <c r="R322" s="3459"/>
      <c r="S322" s="3459"/>
      <c r="T322" s="3459"/>
      <c r="U322" s="3459"/>
    </row>
    <row r="323" spans="1:21" s="1010" customFormat="1" ht="14.25" customHeight="1">
      <c r="A323" s="3423" t="s">
        <v>1156</v>
      </c>
      <c r="B323" s="3423" t="s">
        <v>2978</v>
      </c>
      <c r="C323" s="3423"/>
      <c r="D323" s="3423"/>
      <c r="E323" s="3423"/>
      <c r="F323" s="3429">
        <v>880</v>
      </c>
      <c r="G323" s="3431"/>
      <c r="I323" s="1007"/>
      <c r="J323" s="3459"/>
      <c r="K323" s="3459"/>
      <c r="L323" s="3459"/>
      <c r="M323" s="3459"/>
      <c r="N323" s="3459"/>
      <c r="O323" s="3459"/>
      <c r="P323" s="3459"/>
      <c r="Q323" s="3459"/>
      <c r="R323" s="3459"/>
      <c r="S323" s="3459"/>
      <c r="T323" s="3459"/>
      <c r="U323" s="3459"/>
    </row>
    <row r="324" spans="1:21" s="1010" customFormat="1" ht="14.25" customHeight="1">
      <c r="A324" s="3423" t="s">
        <v>1156</v>
      </c>
      <c r="B324" s="3423" t="s">
        <v>2979</v>
      </c>
      <c r="C324" s="3423"/>
      <c r="D324" s="3423"/>
      <c r="E324" s="3423"/>
      <c r="F324" s="3429">
        <v>930</v>
      </c>
      <c r="G324" s="3431"/>
      <c r="I324" s="1007"/>
      <c r="J324" s="3459"/>
      <c r="K324" s="3459"/>
      <c r="L324" s="3459"/>
      <c r="M324" s="3459"/>
      <c r="N324" s="3459"/>
      <c r="O324" s="3459"/>
      <c r="P324" s="3459"/>
      <c r="Q324" s="3459"/>
      <c r="R324" s="3459"/>
      <c r="S324" s="3459"/>
      <c r="T324" s="3459"/>
      <c r="U324" s="3459"/>
    </row>
    <row r="325" spans="1:21" s="1010" customFormat="1" ht="14.25" customHeight="1">
      <c r="A325" s="3423" t="s">
        <v>1156</v>
      </c>
      <c r="B325" s="3423" t="s">
        <v>2980</v>
      </c>
      <c r="C325" s="3423"/>
      <c r="D325" s="3423"/>
      <c r="E325" s="3423"/>
      <c r="F325" s="3429">
        <v>900</v>
      </c>
      <c r="G325" s="3429"/>
      <c r="I325" s="1007"/>
      <c r="J325" s="3459"/>
      <c r="K325" s="3459"/>
      <c r="L325" s="3459"/>
      <c r="M325" s="3459"/>
      <c r="N325" s="3459"/>
      <c r="O325" s="3459"/>
      <c r="P325" s="3459"/>
      <c r="Q325" s="3459"/>
      <c r="R325" s="3459"/>
      <c r="S325" s="3459"/>
      <c r="T325" s="3459"/>
      <c r="U325" s="3459"/>
    </row>
    <row r="326" spans="1:21" s="1010" customFormat="1" ht="14.25" customHeight="1" thickBot="1">
      <c r="A326" s="3438" t="s">
        <v>1156</v>
      </c>
      <c r="B326" s="3426" t="s">
        <v>2981</v>
      </c>
      <c r="C326" s="3426"/>
      <c r="D326" s="3426"/>
      <c r="E326" s="3426"/>
      <c r="F326" s="3427">
        <v>790</v>
      </c>
      <c r="G326" s="3442"/>
      <c r="I326" s="1007"/>
      <c r="J326" s="3459"/>
      <c r="K326" s="3459"/>
      <c r="L326" s="3459"/>
      <c r="M326" s="3459"/>
      <c r="N326" s="3459"/>
      <c r="O326" s="3459"/>
      <c r="P326" s="3459"/>
      <c r="Q326" s="3459"/>
      <c r="R326" s="3459"/>
      <c r="S326" s="3459"/>
      <c r="T326" s="3459"/>
      <c r="U326" s="3459"/>
    </row>
    <row r="327" spans="1:21" s="1010" customFormat="1" ht="14.25" customHeight="1">
      <c r="A327" s="3437" t="s">
        <v>1157</v>
      </c>
      <c r="B327" s="2600" t="s">
        <v>2982</v>
      </c>
      <c r="C327" s="2600">
        <v>3750</v>
      </c>
      <c r="D327" s="2600">
        <v>3710</v>
      </c>
      <c r="E327" s="2600">
        <v>4080</v>
      </c>
      <c r="F327" s="3446">
        <v>860</v>
      </c>
      <c r="G327" s="3446">
        <v>2210</v>
      </c>
      <c r="I327" s="1007"/>
      <c r="J327" s="3459"/>
      <c r="K327" s="3459"/>
      <c r="L327" s="3459"/>
      <c r="M327" s="3459"/>
      <c r="N327" s="3459"/>
      <c r="O327" s="3459"/>
      <c r="P327" s="3459"/>
      <c r="Q327" s="3459"/>
      <c r="R327" s="3459"/>
      <c r="S327" s="3459"/>
      <c r="T327" s="3459"/>
      <c r="U327" s="3459"/>
    </row>
    <row r="328" spans="1:21" s="1010" customFormat="1" ht="14.25" customHeight="1">
      <c r="A328" s="3423" t="s">
        <v>1157</v>
      </c>
      <c r="B328" s="3423" t="s">
        <v>981</v>
      </c>
      <c r="C328" s="3423">
        <v>3330</v>
      </c>
      <c r="D328" s="3423">
        <v>3290</v>
      </c>
      <c r="E328" s="3423">
        <v>3610</v>
      </c>
      <c r="F328" s="3423">
        <v>850</v>
      </c>
      <c r="G328" s="3423">
        <v>1960</v>
      </c>
      <c r="H328" s="3445"/>
      <c r="I328" s="1007"/>
      <c r="J328" s="3459"/>
      <c r="K328" s="3459"/>
      <c r="L328" s="3459"/>
      <c r="M328" s="3459"/>
      <c r="N328" s="3459"/>
      <c r="O328" s="3459"/>
      <c r="P328" s="3459"/>
      <c r="Q328" s="3459"/>
      <c r="R328" s="3459"/>
      <c r="S328" s="3459"/>
      <c r="T328" s="3459"/>
      <c r="U328" s="3459"/>
    </row>
    <row r="329" spans="1:21" s="1010" customFormat="1" ht="14.25" customHeight="1">
      <c r="A329" s="3423" t="s">
        <v>1157</v>
      </c>
      <c r="B329" s="3423" t="s">
        <v>2983</v>
      </c>
      <c r="C329" s="3423">
        <v>2730</v>
      </c>
      <c r="D329" s="3423">
        <v>2690</v>
      </c>
      <c r="E329" s="3423">
        <v>3100</v>
      </c>
      <c r="F329" s="3423">
        <v>660</v>
      </c>
      <c r="G329" s="3423">
        <v>1610</v>
      </c>
      <c r="H329" s="3445"/>
      <c r="I329" s="1007"/>
      <c r="J329" s="3459"/>
      <c r="K329" s="3459"/>
      <c r="L329" s="3459"/>
      <c r="M329" s="3459"/>
      <c r="N329" s="3459"/>
      <c r="O329" s="3459"/>
      <c r="P329" s="3459"/>
      <c r="Q329" s="3459"/>
      <c r="R329" s="3459"/>
      <c r="S329" s="3459"/>
      <c r="T329" s="3459"/>
      <c r="U329" s="3459"/>
    </row>
    <row r="330" spans="1:21" s="1010" customFormat="1" ht="14.25" customHeight="1">
      <c r="A330" s="3423" t="s">
        <v>1157</v>
      </c>
      <c r="B330" s="3423" t="s">
        <v>2984</v>
      </c>
      <c r="C330" s="3423">
        <v>3270</v>
      </c>
      <c r="D330" s="3423">
        <v>3240</v>
      </c>
      <c r="E330" s="3423">
        <v>3560</v>
      </c>
      <c r="F330" s="3423">
        <v>680</v>
      </c>
      <c r="G330" s="3432">
        <v>1940</v>
      </c>
      <c r="H330" s="3445"/>
      <c r="I330" s="1007"/>
      <c r="J330" s="3459"/>
      <c r="K330" s="3459"/>
      <c r="L330" s="3459"/>
      <c r="M330" s="3459"/>
      <c r="N330" s="3459"/>
      <c r="O330" s="3459"/>
      <c r="P330" s="3459"/>
      <c r="Q330" s="3459"/>
      <c r="R330" s="3459"/>
      <c r="S330" s="3459"/>
      <c r="T330" s="3459"/>
      <c r="U330" s="3459"/>
    </row>
    <row r="331" spans="1:21" s="1010" customFormat="1" ht="14.25" customHeight="1">
      <c r="A331" s="3423" t="s">
        <v>1157</v>
      </c>
      <c r="B331" s="3423" t="s">
        <v>1008</v>
      </c>
      <c r="C331" s="3423">
        <v>3770</v>
      </c>
      <c r="D331" s="3423">
        <v>3740</v>
      </c>
      <c r="E331" s="3423">
        <v>4110</v>
      </c>
      <c r="F331" s="3423">
        <v>730</v>
      </c>
      <c r="G331" s="3423">
        <v>2230</v>
      </c>
      <c r="H331" s="3445"/>
      <c r="I331" s="1007"/>
      <c r="J331" s="3459"/>
      <c r="K331" s="3459"/>
      <c r="L331" s="3459"/>
      <c r="M331" s="3459"/>
      <c r="N331" s="3459"/>
      <c r="O331" s="3459"/>
      <c r="P331" s="3459"/>
      <c r="Q331" s="3459"/>
      <c r="R331" s="3459"/>
      <c r="S331" s="3459"/>
      <c r="T331" s="3459"/>
      <c r="U331" s="3459"/>
    </row>
    <row r="332" spans="1:21" s="1010" customFormat="1" ht="14.25" customHeight="1">
      <c r="A332" s="3423" t="s">
        <v>1157</v>
      </c>
      <c r="B332" s="3423" t="s">
        <v>2985</v>
      </c>
      <c r="C332" s="3423">
        <v>3520</v>
      </c>
      <c r="D332" s="3423">
        <v>3480</v>
      </c>
      <c r="E332" s="3423">
        <v>3830</v>
      </c>
      <c r="F332" s="3423">
        <v>720</v>
      </c>
      <c r="G332" s="3423">
        <v>2090</v>
      </c>
      <c r="H332" s="3445"/>
      <c r="I332" s="1007"/>
      <c r="J332" s="3459"/>
      <c r="K332" s="3459"/>
      <c r="L332" s="3459"/>
      <c r="M332" s="3459"/>
      <c r="N332" s="3459"/>
      <c r="O332" s="3459"/>
      <c r="P332" s="3459"/>
      <c r="Q332" s="3459"/>
      <c r="R332" s="3459"/>
      <c r="S332" s="3459"/>
      <c r="T332" s="3459"/>
      <c r="U332" s="3459"/>
    </row>
    <row r="333" spans="1:21" s="1010" customFormat="1" ht="14.25" customHeight="1">
      <c r="A333" s="3423" t="s">
        <v>1157</v>
      </c>
      <c r="B333" s="3423" t="s">
        <v>2986</v>
      </c>
      <c r="C333" s="3423">
        <v>3840</v>
      </c>
      <c r="D333" s="3423">
        <v>3800</v>
      </c>
      <c r="E333" s="3423">
        <v>4200</v>
      </c>
      <c r="F333" s="3423">
        <v>760</v>
      </c>
      <c r="G333" s="3423">
        <v>2270</v>
      </c>
      <c r="H333" s="3445"/>
      <c r="I333" s="1007"/>
      <c r="J333" s="3459"/>
      <c r="K333" s="3459"/>
      <c r="L333" s="3459"/>
      <c r="M333" s="3459"/>
      <c r="N333" s="3459"/>
      <c r="O333" s="3459"/>
      <c r="P333" s="3459"/>
      <c r="Q333" s="3459"/>
      <c r="R333" s="3459"/>
      <c r="S333" s="3459"/>
      <c r="T333" s="3459"/>
      <c r="U333" s="3459"/>
    </row>
    <row r="334" spans="1:21" s="1010" customFormat="1" ht="14.25" customHeight="1">
      <c r="A334" s="3423" t="s">
        <v>1157</v>
      </c>
      <c r="B334" s="3423" t="s">
        <v>1030</v>
      </c>
      <c r="C334" s="3423">
        <v>3960</v>
      </c>
      <c r="D334" s="3423">
        <v>3910</v>
      </c>
      <c r="E334" s="3423">
        <v>4340</v>
      </c>
      <c r="F334" s="3423">
        <v>780</v>
      </c>
      <c r="G334" s="3423">
        <v>2340</v>
      </c>
      <c r="H334" s="3445"/>
      <c r="I334" s="1007"/>
      <c r="J334" s="3459"/>
      <c r="K334" s="3459"/>
      <c r="L334" s="3459"/>
      <c r="M334" s="3459"/>
      <c r="N334" s="3459"/>
      <c r="O334" s="3459"/>
      <c r="P334" s="3459"/>
      <c r="Q334" s="3459"/>
      <c r="R334" s="3459"/>
      <c r="S334" s="3459"/>
      <c r="T334" s="3459"/>
      <c r="U334" s="3459"/>
    </row>
    <row r="335" spans="1:21" s="1010" customFormat="1" ht="14.25" customHeight="1">
      <c r="A335" s="3423" t="s">
        <v>1157</v>
      </c>
      <c r="B335" s="3423" t="s">
        <v>1040</v>
      </c>
      <c r="C335" s="3423">
        <v>3710</v>
      </c>
      <c r="D335" s="3423">
        <v>3670</v>
      </c>
      <c r="E335" s="3423">
        <v>4030</v>
      </c>
      <c r="F335" s="3423">
        <v>750</v>
      </c>
      <c r="G335" s="3432">
        <v>2200</v>
      </c>
      <c r="H335" s="3445"/>
      <c r="I335" s="1007"/>
      <c r="J335" s="3459"/>
      <c r="K335" s="3459"/>
      <c r="L335" s="3459"/>
      <c r="M335" s="3459"/>
      <c r="N335" s="3459"/>
      <c r="O335" s="3459"/>
      <c r="P335" s="3459"/>
      <c r="Q335" s="3459"/>
      <c r="R335" s="3459"/>
      <c r="S335" s="3459"/>
      <c r="T335" s="3459"/>
      <c r="U335" s="3459"/>
    </row>
    <row r="336" spans="1:21" s="1010" customFormat="1" ht="14.25" customHeight="1">
      <c r="A336" s="3423" t="s">
        <v>1157</v>
      </c>
      <c r="B336" s="3423" t="s">
        <v>2987</v>
      </c>
      <c r="C336" s="3423">
        <v>3570</v>
      </c>
      <c r="D336" s="3423">
        <v>3530</v>
      </c>
      <c r="E336" s="3423">
        <v>3880</v>
      </c>
      <c r="F336" s="3423">
        <v>770</v>
      </c>
      <c r="G336" s="3423">
        <v>2110</v>
      </c>
      <c r="H336" s="3445"/>
      <c r="I336" s="1007"/>
      <c r="J336" s="3459"/>
      <c r="K336" s="3459"/>
      <c r="L336" s="3459"/>
      <c r="M336" s="3459"/>
      <c r="N336" s="3459"/>
      <c r="O336" s="3459"/>
      <c r="P336" s="3459"/>
      <c r="Q336" s="3459"/>
      <c r="R336" s="3459"/>
      <c r="S336" s="3459"/>
      <c r="T336" s="3459"/>
      <c r="U336" s="3459"/>
    </row>
    <row r="337" spans="1:21" s="1010" customFormat="1" ht="14.25" customHeight="1">
      <c r="A337" s="3423" t="s">
        <v>1157</v>
      </c>
      <c r="B337" s="3423" t="s">
        <v>2988</v>
      </c>
      <c r="C337" s="3423">
        <v>3780</v>
      </c>
      <c r="D337" s="3423">
        <v>3750</v>
      </c>
      <c r="E337" s="3423">
        <v>4130</v>
      </c>
      <c r="F337" s="3423">
        <v>750</v>
      </c>
      <c r="G337" s="3423">
        <v>2240</v>
      </c>
      <c r="H337" s="3445"/>
      <c r="I337" s="1007"/>
      <c r="J337" s="3459"/>
      <c r="K337" s="3459"/>
      <c r="L337" s="3459"/>
      <c r="M337" s="3459"/>
      <c r="N337" s="3459"/>
      <c r="O337" s="3459"/>
      <c r="P337" s="3459"/>
      <c r="Q337" s="3459"/>
      <c r="R337" s="3459"/>
      <c r="S337" s="3459"/>
      <c r="T337" s="3459"/>
      <c r="U337" s="3459"/>
    </row>
    <row r="338" spans="1:21" s="1010" customFormat="1" ht="14.25" customHeight="1">
      <c r="A338" s="3423" t="s">
        <v>1157</v>
      </c>
      <c r="B338" s="3423" t="s">
        <v>1068</v>
      </c>
      <c r="C338" s="3423">
        <v>3600</v>
      </c>
      <c r="D338" s="3423">
        <v>3570</v>
      </c>
      <c r="E338" s="3423">
        <v>3920</v>
      </c>
      <c r="F338" s="3423">
        <v>790</v>
      </c>
      <c r="G338" s="3432">
        <v>2140</v>
      </c>
      <c r="H338" s="3445"/>
      <c r="I338" s="1007"/>
      <c r="J338" s="3459"/>
      <c r="K338" s="3459"/>
      <c r="L338" s="3459"/>
      <c r="M338" s="3459"/>
      <c r="N338" s="3459"/>
      <c r="O338" s="3459"/>
      <c r="P338" s="3459"/>
      <c r="Q338" s="3459"/>
      <c r="R338" s="3459"/>
      <c r="S338" s="3459"/>
      <c r="T338" s="3459"/>
      <c r="U338" s="3459"/>
    </row>
    <row r="339" spans="1:21" s="1010" customFormat="1" ht="14.25" customHeight="1">
      <c r="A339" s="3423" t="s">
        <v>1157</v>
      </c>
      <c r="B339" s="3423" t="s">
        <v>1076</v>
      </c>
      <c r="C339" s="3423">
        <v>3540</v>
      </c>
      <c r="D339" s="3423">
        <v>3500</v>
      </c>
      <c r="E339" s="3423">
        <v>3850</v>
      </c>
      <c r="F339" s="3423">
        <v>780</v>
      </c>
      <c r="G339" s="3432">
        <v>2100</v>
      </c>
      <c r="H339" s="3445"/>
      <c r="I339" s="1007"/>
      <c r="J339" s="3459"/>
      <c r="K339" s="3459"/>
      <c r="L339" s="3459"/>
      <c r="M339" s="3459"/>
      <c r="N339" s="3459"/>
      <c r="O339" s="3459"/>
      <c r="P339" s="3459"/>
      <c r="Q339" s="3459"/>
      <c r="R339" s="3459"/>
      <c r="S339" s="3459"/>
      <c r="T339" s="3459"/>
      <c r="U339" s="3459"/>
    </row>
    <row r="340" spans="1:21" s="1010" customFormat="1" ht="14.25" customHeight="1">
      <c r="A340" s="3423" t="s">
        <v>1157</v>
      </c>
      <c r="B340" s="3423" t="s">
        <v>2989</v>
      </c>
      <c r="C340" s="3423">
        <v>3850</v>
      </c>
      <c r="D340" s="3423">
        <v>3810</v>
      </c>
      <c r="E340" s="3423">
        <v>4210</v>
      </c>
      <c r="F340" s="3423">
        <v>750</v>
      </c>
      <c r="G340" s="3432">
        <v>2280</v>
      </c>
      <c r="H340" s="3445"/>
      <c r="I340" s="1007"/>
      <c r="J340" s="3459"/>
      <c r="K340" s="3459"/>
      <c r="L340" s="3459"/>
      <c r="M340" s="3459"/>
      <c r="N340" s="3459"/>
      <c r="O340" s="3459"/>
      <c r="P340" s="3459"/>
      <c r="Q340" s="3459"/>
      <c r="R340" s="3459"/>
      <c r="S340" s="3459"/>
      <c r="T340" s="3459"/>
      <c r="U340" s="3459"/>
    </row>
    <row r="341" spans="1:21" s="1010" customFormat="1" ht="14.25" customHeight="1">
      <c r="A341" s="3423" t="s">
        <v>1157</v>
      </c>
      <c r="B341" s="3423" t="s">
        <v>1054</v>
      </c>
      <c r="C341" s="3423">
        <v>3780</v>
      </c>
      <c r="D341" s="3423">
        <v>3750</v>
      </c>
      <c r="E341" s="3423">
        <v>4140</v>
      </c>
      <c r="F341" s="3423">
        <v>720</v>
      </c>
      <c r="G341" s="3423">
        <v>2240</v>
      </c>
      <c r="H341" s="3445"/>
      <c r="I341" s="1007"/>
      <c r="J341" s="3459"/>
      <c r="K341" s="3459"/>
      <c r="L341" s="3459"/>
      <c r="M341" s="3459"/>
      <c r="N341" s="3459"/>
      <c r="O341" s="3459"/>
      <c r="P341" s="3459"/>
      <c r="Q341" s="3459"/>
      <c r="R341" s="3459"/>
      <c r="S341" s="3459"/>
      <c r="T341" s="3459"/>
      <c r="U341" s="3459"/>
    </row>
    <row r="342" spans="1:21" s="1010" customFormat="1" ht="14.25" customHeight="1">
      <c r="A342" s="3423" t="s">
        <v>1157</v>
      </c>
      <c r="B342" s="3423" t="s">
        <v>2990</v>
      </c>
      <c r="C342" s="3423">
        <v>3670</v>
      </c>
      <c r="D342" s="3423">
        <v>3620</v>
      </c>
      <c r="E342" s="3423">
        <v>3990</v>
      </c>
      <c r="F342" s="3423">
        <v>760</v>
      </c>
      <c r="G342" s="3423">
        <v>2170</v>
      </c>
      <c r="H342" s="3445"/>
      <c r="I342" s="1007"/>
      <c r="J342" s="3459"/>
      <c r="K342" s="3459"/>
      <c r="L342" s="3459"/>
      <c r="M342" s="3459"/>
      <c r="N342" s="3459"/>
      <c r="O342" s="3459"/>
      <c r="P342" s="3459"/>
      <c r="Q342" s="3459"/>
      <c r="R342" s="3459"/>
      <c r="S342" s="3459"/>
      <c r="T342" s="3459"/>
      <c r="U342" s="3459"/>
    </row>
    <row r="343" spans="1:21" s="1010" customFormat="1" ht="14.25" customHeight="1">
      <c r="A343" s="3423" t="s">
        <v>1157</v>
      </c>
      <c r="B343" s="3423" t="s">
        <v>1105</v>
      </c>
      <c r="C343" s="3423">
        <v>3760</v>
      </c>
      <c r="D343" s="3423">
        <v>3720</v>
      </c>
      <c r="E343" s="3423">
        <v>4090</v>
      </c>
      <c r="F343" s="3423">
        <v>780</v>
      </c>
      <c r="G343" s="3423">
        <v>2220</v>
      </c>
      <c r="H343" s="3445"/>
      <c r="I343" s="1007"/>
      <c r="J343" s="3459"/>
      <c r="K343" s="3459"/>
      <c r="L343" s="3459"/>
      <c r="M343" s="3459"/>
      <c r="N343" s="3459"/>
      <c r="O343" s="3459"/>
      <c r="P343" s="3459"/>
      <c r="Q343" s="3459"/>
      <c r="R343" s="3459"/>
      <c r="S343" s="3459"/>
      <c r="T343" s="3459"/>
      <c r="U343" s="3459"/>
    </row>
    <row r="344" spans="1:21" s="1010" customFormat="1" ht="14.25" customHeight="1">
      <c r="A344" s="3423" t="s">
        <v>1157</v>
      </c>
      <c r="B344" s="3423" t="s">
        <v>1113</v>
      </c>
      <c r="C344" s="3423">
        <v>3680</v>
      </c>
      <c r="D344" s="3423">
        <v>3640</v>
      </c>
      <c r="E344" s="3423">
        <v>4010</v>
      </c>
      <c r="F344" s="3423">
        <v>750</v>
      </c>
      <c r="G344" s="3423">
        <v>2180</v>
      </c>
      <c r="H344" s="3445"/>
      <c r="I344" s="1007"/>
      <c r="J344" s="3459"/>
      <c r="K344" s="3459"/>
      <c r="L344" s="3459"/>
      <c r="M344" s="3459"/>
      <c r="N344" s="3459"/>
      <c r="O344" s="3459"/>
      <c r="P344" s="3459"/>
      <c r="Q344" s="3459"/>
      <c r="R344" s="3459"/>
      <c r="S344" s="3459"/>
      <c r="T344" s="3459"/>
      <c r="U344" s="3459"/>
    </row>
    <row r="345" spans="1:21">
      <c r="A345" s="3432" t="s">
        <v>1157</v>
      </c>
      <c r="B345" s="3432" t="s">
        <v>2991</v>
      </c>
      <c r="C345" s="3432">
        <v>3190</v>
      </c>
      <c r="D345" s="3432">
        <v>3140</v>
      </c>
      <c r="E345" s="3432">
        <v>3450</v>
      </c>
      <c r="F345" s="3432">
        <v>720</v>
      </c>
      <c r="G345" s="3432">
        <v>1880</v>
      </c>
      <c r="H345" s="3445"/>
    </row>
    <row r="346" spans="1:21">
      <c r="A346" s="3432" t="s">
        <v>1157</v>
      </c>
      <c r="B346" s="3432" t="s">
        <v>2992</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2993</v>
      </c>
      <c r="C348" s="3432">
        <v>4000</v>
      </c>
      <c r="D348" s="3432">
        <v>3950</v>
      </c>
      <c r="E348" s="3432">
        <v>4430</v>
      </c>
      <c r="F348" s="3432">
        <v>760</v>
      </c>
      <c r="G348" s="3432">
        <v>2360</v>
      </c>
      <c r="H348" s="3445"/>
    </row>
    <row r="349" spans="1:21">
      <c r="A349" s="3432" t="s">
        <v>1157</v>
      </c>
      <c r="B349" s="3432" t="s">
        <v>2994</v>
      </c>
      <c r="C349" s="3432">
        <v>3820</v>
      </c>
      <c r="D349" s="3432">
        <v>3780</v>
      </c>
      <c r="E349" s="3432">
        <v>4170</v>
      </c>
      <c r="F349" s="3432">
        <v>710</v>
      </c>
      <c r="G349" s="3432">
        <v>2260</v>
      </c>
      <c r="H349" s="3445"/>
    </row>
    <row r="350" spans="1:21">
      <c r="A350" s="3432" t="s">
        <v>1157</v>
      </c>
      <c r="B350" s="3432" t="s">
        <v>2995</v>
      </c>
      <c r="C350" s="3432">
        <v>3760</v>
      </c>
      <c r="D350" s="3432">
        <v>3730</v>
      </c>
      <c r="E350" s="3432">
        <v>4100</v>
      </c>
      <c r="F350" s="3432">
        <v>800</v>
      </c>
      <c r="G350" s="3432">
        <v>2230</v>
      </c>
      <c r="H350" s="3445"/>
    </row>
    <row r="351" spans="1:21">
      <c r="A351" s="3432" t="s">
        <v>1157</v>
      </c>
      <c r="B351" s="3432" t="s">
        <v>2996</v>
      </c>
      <c r="C351" s="3432">
        <v>3610</v>
      </c>
      <c r="D351" s="3432">
        <v>3580</v>
      </c>
      <c r="E351" s="3432">
        <v>3930</v>
      </c>
      <c r="F351" s="3432">
        <v>700</v>
      </c>
      <c r="G351" s="3432">
        <v>2140</v>
      </c>
      <c r="H351" s="3445"/>
    </row>
    <row r="352" spans="1:21">
      <c r="A352" s="3432" t="s">
        <v>1157</v>
      </c>
      <c r="B352" s="3432" t="s">
        <v>2997</v>
      </c>
      <c r="C352" s="3432">
        <v>3670</v>
      </c>
      <c r="D352" s="3432">
        <v>3630</v>
      </c>
      <c r="E352" s="3432">
        <v>4000</v>
      </c>
      <c r="F352" s="3432">
        <v>750</v>
      </c>
      <c r="G352" s="3432">
        <v>2180</v>
      </c>
      <c r="H352" s="3445"/>
    </row>
    <row r="353" spans="1:8">
      <c r="A353" s="3432" t="s">
        <v>1157</v>
      </c>
      <c r="B353" s="3432" t="s">
        <v>2998</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2999</v>
      </c>
      <c r="C355" s="3432">
        <v>3650</v>
      </c>
      <c r="D355" s="3432">
        <v>3610</v>
      </c>
      <c r="E355" s="3432">
        <v>4200</v>
      </c>
      <c r="F355" s="3432">
        <v>640</v>
      </c>
      <c r="G355" s="3432">
        <v>2160</v>
      </c>
      <c r="H355" s="3445"/>
    </row>
    <row r="356" spans="1:8">
      <c r="A356" s="3432" t="s">
        <v>1157</v>
      </c>
      <c r="B356" s="3432" t="s">
        <v>3000</v>
      </c>
      <c r="C356" s="3432">
        <v>3260</v>
      </c>
      <c r="D356" s="3432">
        <v>3230</v>
      </c>
      <c r="E356" s="3432">
        <v>3740</v>
      </c>
      <c r="F356" s="3432">
        <v>600</v>
      </c>
      <c r="G356" s="3432">
        <v>1930</v>
      </c>
      <c r="H356" s="3445"/>
    </row>
    <row r="357" spans="1:8" ht="14.25" thickBot="1">
      <c r="A357" s="3448" t="s">
        <v>1157</v>
      </c>
      <c r="B357" s="3448" t="s">
        <v>3001</v>
      </c>
      <c r="C357" s="3448">
        <v>3690</v>
      </c>
      <c r="D357" s="3448">
        <v>3650</v>
      </c>
      <c r="E357" s="3448">
        <v>4020</v>
      </c>
      <c r="F357" s="3448">
        <v>700</v>
      </c>
      <c r="G357" s="3448">
        <v>2190</v>
      </c>
      <c r="H357" s="3445"/>
    </row>
    <row r="358" spans="1:8">
      <c r="A358" s="3449" t="s">
        <v>2757</v>
      </c>
      <c r="B358" s="3450" t="s">
        <v>3002</v>
      </c>
      <c r="C358" s="3450">
        <v>2080</v>
      </c>
      <c r="D358" s="3450">
        <v>2040</v>
      </c>
      <c r="E358" s="3450">
        <v>2010</v>
      </c>
      <c r="F358" s="3450">
        <v>530</v>
      </c>
      <c r="G358" s="3451">
        <v>1230</v>
      </c>
      <c r="H358" s="3445"/>
    </row>
    <row r="359" spans="1:8">
      <c r="A359" s="3452" t="s">
        <v>2757</v>
      </c>
      <c r="B359" s="3432" t="s">
        <v>3003</v>
      </c>
      <c r="C359" s="3432">
        <v>1850</v>
      </c>
      <c r="D359" s="3432">
        <v>1820</v>
      </c>
      <c r="E359" s="3432">
        <v>1780</v>
      </c>
      <c r="F359" s="3432">
        <v>520</v>
      </c>
      <c r="G359" s="3444">
        <v>1100</v>
      </c>
      <c r="H359" s="3445"/>
    </row>
    <row r="360" spans="1:8">
      <c r="A360" s="3452" t="s">
        <v>2757</v>
      </c>
      <c r="B360" s="3432" t="s">
        <v>3004</v>
      </c>
      <c r="C360" s="3432">
        <v>2020</v>
      </c>
      <c r="D360" s="3432">
        <v>1990</v>
      </c>
      <c r="E360" s="3432">
        <v>1950</v>
      </c>
      <c r="F360" s="3432">
        <v>500</v>
      </c>
      <c r="G360" s="3444">
        <v>1200</v>
      </c>
      <c r="H360" s="3445"/>
    </row>
    <row r="361" spans="1:8">
      <c r="A361" s="3452" t="s">
        <v>2757</v>
      </c>
      <c r="B361" s="3432" t="s">
        <v>999</v>
      </c>
      <c r="C361" s="3432">
        <v>2260</v>
      </c>
      <c r="D361" s="3432">
        <v>2220</v>
      </c>
      <c r="E361" s="3432">
        <v>2180</v>
      </c>
      <c r="F361" s="3432">
        <v>580</v>
      </c>
      <c r="G361" s="3444">
        <v>1340</v>
      </c>
      <c r="H361" s="3445"/>
    </row>
    <row r="362" spans="1:8">
      <c r="A362" s="3452" t="s">
        <v>2757</v>
      </c>
      <c r="B362" s="3432" t="s">
        <v>3005</v>
      </c>
      <c r="C362" s="3432">
        <v>2650</v>
      </c>
      <c r="D362" s="3432">
        <v>2610</v>
      </c>
      <c r="E362" s="3432">
        <v>2570</v>
      </c>
      <c r="F362" s="3432">
        <v>630</v>
      </c>
      <c r="G362" s="3444">
        <v>1570</v>
      </c>
      <c r="H362" s="3445"/>
    </row>
    <row r="363" spans="1:8">
      <c r="A363" s="3452" t="s">
        <v>2757</v>
      </c>
      <c r="B363" s="3432" t="s">
        <v>3006</v>
      </c>
      <c r="C363" s="3432">
        <v>2390</v>
      </c>
      <c r="D363" s="3432">
        <v>2360</v>
      </c>
      <c r="E363" s="3432">
        <v>2320</v>
      </c>
      <c r="F363" s="3432">
        <v>600</v>
      </c>
      <c r="G363" s="3444">
        <v>1420</v>
      </c>
      <c r="H363" s="3445"/>
    </row>
    <row r="364" spans="1:8">
      <c r="A364" s="3452" t="s">
        <v>2757</v>
      </c>
      <c r="B364" s="3432" t="s">
        <v>3007</v>
      </c>
      <c r="C364" s="3432">
        <v>2050</v>
      </c>
      <c r="D364" s="3432">
        <v>2030</v>
      </c>
      <c r="E364" s="3432">
        <v>1990</v>
      </c>
      <c r="F364" s="3432">
        <v>550</v>
      </c>
      <c r="G364" s="3444">
        <v>1220</v>
      </c>
      <c r="H364" s="3445"/>
    </row>
    <row r="365" spans="1:8">
      <c r="A365" s="3452" t="s">
        <v>2757</v>
      </c>
      <c r="B365" s="3432" t="s">
        <v>1047</v>
      </c>
      <c r="C365" s="3432">
        <v>2140</v>
      </c>
      <c r="D365" s="3432">
        <v>2100</v>
      </c>
      <c r="E365" s="3432">
        <v>2060</v>
      </c>
      <c r="F365" s="3432">
        <v>540</v>
      </c>
      <c r="G365" s="3444">
        <v>1270</v>
      </c>
      <c r="H365" s="3445"/>
    </row>
    <row r="366" spans="1:8">
      <c r="A366" s="3452" t="s">
        <v>2757</v>
      </c>
      <c r="B366" s="3432" t="s">
        <v>3008</v>
      </c>
      <c r="C366" s="3432">
        <v>2410</v>
      </c>
      <c r="D366" s="3432">
        <v>2370</v>
      </c>
      <c r="E366" s="3432">
        <v>2330</v>
      </c>
      <c r="F366" s="3432">
        <v>570</v>
      </c>
      <c r="G366" s="3444">
        <v>1440</v>
      </c>
      <c r="H366" s="3445"/>
    </row>
    <row r="367" spans="1:8">
      <c r="A367" s="3452" t="s">
        <v>2757</v>
      </c>
      <c r="B367" s="3432" t="s">
        <v>3009</v>
      </c>
      <c r="C367" s="3432">
        <v>2300</v>
      </c>
      <c r="D367" s="3432">
        <v>2260</v>
      </c>
      <c r="E367" s="3432">
        <v>2220</v>
      </c>
      <c r="F367" s="3432">
        <v>560</v>
      </c>
      <c r="G367" s="3444">
        <v>1370</v>
      </c>
      <c r="H367" s="3445"/>
    </row>
    <row r="368" spans="1:8">
      <c r="A368" s="3452" t="s">
        <v>2757</v>
      </c>
      <c r="B368" s="3432" t="s">
        <v>3010</v>
      </c>
      <c r="C368" s="3432">
        <v>2430</v>
      </c>
      <c r="D368" s="3432">
        <v>2390</v>
      </c>
      <c r="E368" s="3432">
        <v>2350</v>
      </c>
      <c r="F368" s="3432">
        <v>570</v>
      </c>
      <c r="G368" s="3444">
        <v>1450</v>
      </c>
      <c r="H368" s="3445"/>
    </row>
    <row r="369" spans="1:8">
      <c r="A369" s="3452" t="s">
        <v>2757</v>
      </c>
      <c r="B369" s="3432" t="s">
        <v>1061</v>
      </c>
      <c r="C369" s="3432">
        <v>2320</v>
      </c>
      <c r="D369" s="3432">
        <v>2290</v>
      </c>
      <c r="E369" s="3432">
        <v>2250</v>
      </c>
      <c r="F369" s="3432">
        <v>550</v>
      </c>
      <c r="G369" s="3444">
        <v>1380</v>
      </c>
      <c r="H369" s="3445"/>
    </row>
    <row r="370" spans="1:8">
      <c r="A370" s="3452" t="s">
        <v>2757</v>
      </c>
      <c r="B370" s="3432" t="s">
        <v>1069</v>
      </c>
      <c r="C370" s="3432">
        <v>2190</v>
      </c>
      <c r="D370" s="3432">
        <v>2170</v>
      </c>
      <c r="E370" s="3432">
        <v>2130</v>
      </c>
      <c r="F370" s="3432">
        <v>530</v>
      </c>
      <c r="G370" s="3444">
        <v>1310</v>
      </c>
      <c r="H370" s="3445"/>
    </row>
    <row r="371" spans="1:8">
      <c r="A371" s="3452" t="s">
        <v>2757</v>
      </c>
      <c r="B371" s="3432" t="s">
        <v>1077</v>
      </c>
      <c r="C371" s="3432">
        <v>2460</v>
      </c>
      <c r="D371" s="3432">
        <v>2420</v>
      </c>
      <c r="E371" s="3432">
        <v>2370</v>
      </c>
      <c r="F371" s="3432">
        <v>560</v>
      </c>
      <c r="G371" s="3444">
        <v>1470</v>
      </c>
      <c r="H371" s="3445"/>
    </row>
    <row r="372" spans="1:8">
      <c r="A372" s="3452" t="s">
        <v>2757</v>
      </c>
      <c r="B372" s="3432" t="s">
        <v>3011</v>
      </c>
      <c r="C372" s="3432">
        <v>2250</v>
      </c>
      <c r="D372" s="3432">
        <v>2210</v>
      </c>
      <c r="E372" s="3432">
        <v>2180</v>
      </c>
      <c r="F372" s="3432">
        <v>550</v>
      </c>
      <c r="G372" s="3444">
        <v>1340</v>
      </c>
      <c r="H372" s="3445"/>
    </row>
    <row r="373" spans="1:8">
      <c r="A373" s="3452" t="s">
        <v>2757</v>
      </c>
      <c r="B373" s="3432" t="s">
        <v>1106</v>
      </c>
      <c r="C373" s="3432">
        <v>2210</v>
      </c>
      <c r="D373" s="3432">
        <v>2190</v>
      </c>
      <c r="E373" s="3432">
        <v>2150</v>
      </c>
      <c r="F373" s="3432">
        <v>530</v>
      </c>
      <c r="G373" s="3444">
        <v>1320</v>
      </c>
      <c r="H373" s="3445"/>
    </row>
    <row r="374" spans="1:8">
      <c r="A374" s="3452" t="s">
        <v>2757</v>
      </c>
      <c r="B374" s="3432" t="s">
        <v>1114</v>
      </c>
      <c r="C374" s="3432">
        <v>2320</v>
      </c>
      <c r="D374" s="3432">
        <v>2280</v>
      </c>
      <c r="E374" s="3432">
        <v>2230</v>
      </c>
      <c r="F374" s="3432">
        <v>580</v>
      </c>
      <c r="G374" s="3444">
        <v>1380</v>
      </c>
      <c r="H374" s="3445"/>
    </row>
    <row r="375" spans="1:8">
      <c r="A375" s="3452" t="s">
        <v>2757</v>
      </c>
      <c r="B375" s="3432" t="s">
        <v>3012</v>
      </c>
      <c r="C375" s="3432">
        <v>2090</v>
      </c>
      <c r="D375" s="3432">
        <v>2050</v>
      </c>
      <c r="E375" s="3432">
        <v>2020</v>
      </c>
      <c r="F375" s="3432">
        <v>520</v>
      </c>
      <c r="G375" s="3444">
        <v>1240</v>
      </c>
      <c r="H375" s="3445"/>
    </row>
    <row r="376" spans="1:8">
      <c r="A376" s="3452" t="s">
        <v>2757</v>
      </c>
      <c r="B376" s="3432" t="s">
        <v>1126</v>
      </c>
      <c r="C376" s="3432">
        <v>2010</v>
      </c>
      <c r="D376" s="3432">
        <v>1980</v>
      </c>
      <c r="E376" s="3432">
        <v>1940</v>
      </c>
      <c r="F376" s="3432">
        <v>540</v>
      </c>
      <c r="G376" s="3444">
        <v>1190</v>
      </c>
      <c r="H376" s="3445"/>
    </row>
    <row r="377" spans="1:8" ht="14.25" thickBot="1">
      <c r="A377" s="3454" t="s">
        <v>2757</v>
      </c>
      <c r="B377" s="3448" t="s">
        <v>3013</v>
      </c>
      <c r="C377" s="3448">
        <v>1930</v>
      </c>
      <c r="D377" s="3448">
        <v>1890</v>
      </c>
      <c r="E377" s="3448">
        <v>1860</v>
      </c>
      <c r="F377" s="3448">
        <v>530</v>
      </c>
      <c r="G377" s="3455">
        <v>1150</v>
      </c>
      <c r="H377" s="3445"/>
    </row>
    <row r="378" spans="1:8">
      <c r="A378" s="3449" t="s">
        <v>2758</v>
      </c>
      <c r="B378" s="3450" t="s">
        <v>3014</v>
      </c>
      <c r="C378" s="3450">
        <v>1520</v>
      </c>
      <c r="D378" s="3450">
        <v>1490</v>
      </c>
      <c r="E378" s="3450">
        <v>1460</v>
      </c>
      <c r="F378" s="3450">
        <v>460</v>
      </c>
      <c r="G378" s="3451">
        <v>940</v>
      </c>
      <c r="H378" s="3445"/>
    </row>
    <row r="379" spans="1:8">
      <c r="A379" s="3452" t="s">
        <v>2758</v>
      </c>
      <c r="B379" s="3432" t="s">
        <v>3015</v>
      </c>
      <c r="C379" s="3432">
        <v>1500</v>
      </c>
      <c r="D379" s="3432">
        <v>1470</v>
      </c>
      <c r="E379" s="3432">
        <v>1430</v>
      </c>
      <c r="F379" s="3432">
        <v>460</v>
      </c>
      <c r="G379" s="3444">
        <v>920</v>
      </c>
      <c r="H379" s="3445"/>
    </row>
    <row r="380" spans="1:8">
      <c r="A380" s="3452" t="s">
        <v>2758</v>
      </c>
      <c r="B380" s="3432" t="s">
        <v>3016</v>
      </c>
      <c r="C380" s="3432">
        <v>1620</v>
      </c>
      <c r="D380" s="3432">
        <v>1590</v>
      </c>
      <c r="E380" s="3432">
        <v>1560</v>
      </c>
      <c r="F380" s="3432">
        <v>480</v>
      </c>
      <c r="G380" s="3444">
        <v>1000</v>
      </c>
      <c r="H380" s="3445"/>
    </row>
    <row r="381" spans="1:8">
      <c r="A381" s="3452" t="s">
        <v>2758</v>
      </c>
      <c r="B381" s="3432" t="s">
        <v>3017</v>
      </c>
      <c r="C381" s="3432">
        <v>1460</v>
      </c>
      <c r="D381" s="3432">
        <v>1430</v>
      </c>
      <c r="E381" s="3432">
        <v>1390</v>
      </c>
      <c r="F381" s="3432">
        <v>450</v>
      </c>
      <c r="G381" s="3444">
        <v>900</v>
      </c>
      <c r="H381" s="3445"/>
    </row>
    <row r="382" spans="1:8">
      <c r="A382" s="3452" t="s">
        <v>2758</v>
      </c>
      <c r="B382" s="3432" t="s">
        <v>3018</v>
      </c>
      <c r="C382" s="3432">
        <v>1310</v>
      </c>
      <c r="D382" s="3432">
        <v>1280</v>
      </c>
      <c r="E382" s="3432">
        <v>1250</v>
      </c>
      <c r="F382" s="3432">
        <v>440</v>
      </c>
      <c r="G382" s="3444">
        <v>800</v>
      </c>
      <c r="H382" s="3445"/>
    </row>
    <row r="383" spans="1:8">
      <c r="A383" s="3452" t="s">
        <v>2758</v>
      </c>
      <c r="B383" s="3432" t="s">
        <v>3019</v>
      </c>
      <c r="C383" s="3432">
        <v>1260</v>
      </c>
      <c r="D383" s="3432">
        <v>1230</v>
      </c>
      <c r="E383" s="3432">
        <v>1200</v>
      </c>
      <c r="F383" s="3432">
        <v>420</v>
      </c>
      <c r="G383" s="3444">
        <v>770</v>
      </c>
      <c r="H383" s="3445"/>
    </row>
    <row r="384" spans="1:8" ht="14.25" thickBot="1">
      <c r="A384" s="3453" t="s">
        <v>2758</v>
      </c>
      <c r="B384" s="3447" t="s">
        <v>3020</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29" t="s">
        <v>3183</v>
      </c>
      <c r="B1" s="3929"/>
      <c r="C1" s="3929"/>
      <c r="D1" s="3929"/>
      <c r="E1" s="3929"/>
      <c r="F1" s="3930"/>
    </row>
    <row r="2" spans="1:6">
      <c r="A2" s="3499" t="s">
        <v>3184</v>
      </c>
      <c r="B2" s="3500"/>
      <c r="C2" s="3500"/>
      <c r="D2" s="3500"/>
      <c r="E2" s="3500"/>
      <c r="F2" s="3500"/>
    </row>
    <row r="3" spans="1:6">
      <c r="A3" s="3499" t="s">
        <v>3185</v>
      </c>
      <c r="B3" s="3500"/>
      <c r="C3" s="3500"/>
      <c r="D3" s="3500"/>
      <c r="E3" s="3500"/>
      <c r="F3" s="3501" t="s">
        <v>3186</v>
      </c>
    </row>
    <row r="4" spans="1:6">
      <c r="A4" s="3502" t="s">
        <v>3181</v>
      </c>
      <c r="B4" s="3502" t="s">
        <v>2733</v>
      </c>
      <c r="C4" s="3502" t="s">
        <v>1212</v>
      </c>
      <c r="D4" s="3502" t="s">
        <v>3182</v>
      </c>
      <c r="E4" s="3502" t="s">
        <v>905</v>
      </c>
      <c r="F4" s="3502" t="s">
        <v>3187</v>
      </c>
    </row>
    <row r="5" spans="1:6">
      <c r="A5" s="3503" t="s">
        <v>2756</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2757</v>
      </c>
      <c r="B16" s="3505">
        <v>2230</v>
      </c>
      <c r="C16" s="3505">
        <v>2200</v>
      </c>
      <c r="D16" s="3505">
        <v>2180</v>
      </c>
      <c r="E16" s="3505">
        <v>570</v>
      </c>
      <c r="F16" s="3505">
        <v>1330</v>
      </c>
    </row>
    <row r="17" spans="1:6">
      <c r="A17" s="3503" t="s">
        <v>2758</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9"/>
    <col min="2" max="16384" width="9" style="970"/>
  </cols>
  <sheetData>
    <row r="1" spans="1:14" ht="14.25">
      <c r="A1" s="3339" t="s">
        <v>2770</v>
      </c>
      <c r="B1" s="969"/>
      <c r="C1" s="969"/>
      <c r="D1" s="969"/>
      <c r="E1" s="969"/>
      <c r="F1" s="969"/>
      <c r="G1" s="969"/>
      <c r="H1" s="969"/>
      <c r="I1" s="969"/>
      <c r="J1" s="969"/>
      <c r="K1" s="969"/>
      <c r="L1" s="969"/>
      <c r="M1" s="969"/>
      <c r="N1" s="969"/>
    </row>
    <row r="2" spans="1:14">
      <c r="A2" s="971" t="s">
        <v>1550</v>
      </c>
      <c r="B2" s="972" t="s">
        <v>990</v>
      </c>
      <c r="C2" s="972" t="s">
        <v>1031</v>
      </c>
      <c r="D2" s="972" t="s">
        <v>1145</v>
      </c>
      <c r="E2" s="972" t="s">
        <v>853</v>
      </c>
      <c r="F2" s="972" t="s">
        <v>1152</v>
      </c>
      <c r="G2" s="972" t="s">
        <v>1153</v>
      </c>
      <c r="H2" s="973" t="s">
        <v>1154</v>
      </c>
      <c r="I2" s="973" t="s">
        <v>1155</v>
      </c>
      <c r="J2" s="974" t="s">
        <v>1156</v>
      </c>
      <c r="K2" s="974" t="s">
        <v>1157</v>
      </c>
      <c r="L2" s="974" t="s">
        <v>2757</v>
      </c>
      <c r="M2" s="974" t="s">
        <v>2758</v>
      </c>
    </row>
    <row r="3" spans="1:14">
      <c r="A3" s="971">
        <v>1</v>
      </c>
      <c r="B3" s="980">
        <v>1.2574000000000001</v>
      </c>
      <c r="C3" s="980">
        <v>1.2574000000000001</v>
      </c>
      <c r="D3" s="980">
        <v>1.2299</v>
      </c>
      <c r="E3" s="980">
        <v>1.2299</v>
      </c>
      <c r="F3" s="980">
        <v>1.2299</v>
      </c>
      <c r="G3" s="980">
        <v>1.2299</v>
      </c>
      <c r="H3" s="980">
        <v>1.2299</v>
      </c>
      <c r="I3" s="980">
        <v>1.2333000000000001</v>
      </c>
      <c r="J3" s="980">
        <v>1.2333000000000001</v>
      </c>
      <c r="K3" s="980">
        <v>1.2333000000000001</v>
      </c>
      <c r="L3" s="980">
        <v>1.2333000000000001</v>
      </c>
      <c r="M3" s="980">
        <v>1.2333000000000001</v>
      </c>
      <c r="N3" s="981"/>
    </row>
    <row r="4" spans="1:14">
      <c r="A4" s="971">
        <v>1.1000000000000001</v>
      </c>
      <c r="B4" s="980">
        <v>1.2283999999999999</v>
      </c>
      <c r="C4" s="980">
        <v>1.2283999999999999</v>
      </c>
      <c r="D4" s="980">
        <v>1.1984999999999999</v>
      </c>
      <c r="E4" s="980">
        <v>1.1984999999999999</v>
      </c>
      <c r="F4" s="980">
        <v>1.1984999999999999</v>
      </c>
      <c r="G4" s="980">
        <v>1.1984999999999999</v>
      </c>
      <c r="H4" s="980">
        <v>1.1984999999999999</v>
      </c>
      <c r="I4" s="980">
        <v>1.1899</v>
      </c>
      <c r="J4" s="980">
        <v>1.1899</v>
      </c>
      <c r="K4" s="980">
        <v>1.1899</v>
      </c>
      <c r="L4" s="980">
        <v>1.1899</v>
      </c>
      <c r="M4" s="980">
        <v>1.1899</v>
      </c>
    </row>
    <row r="5" spans="1:14">
      <c r="A5" s="971">
        <v>1.2</v>
      </c>
      <c r="B5" s="980">
        <v>1.2031000000000001</v>
      </c>
      <c r="C5" s="980">
        <v>1.2031000000000001</v>
      </c>
      <c r="D5" s="980">
        <v>1.1711</v>
      </c>
      <c r="E5" s="980">
        <v>1.1711</v>
      </c>
      <c r="F5" s="980">
        <v>1.1711</v>
      </c>
      <c r="G5" s="980">
        <v>1.1711</v>
      </c>
      <c r="H5" s="980">
        <v>1.1711</v>
      </c>
      <c r="I5" s="980">
        <v>1.1528</v>
      </c>
      <c r="J5" s="980">
        <v>1.1528</v>
      </c>
      <c r="K5" s="980">
        <v>1.1528</v>
      </c>
      <c r="L5" s="980">
        <v>1.1528</v>
      </c>
      <c r="M5" s="980">
        <v>1.1528</v>
      </c>
    </row>
    <row r="6" spans="1:14">
      <c r="A6" s="971">
        <v>1.3</v>
      </c>
      <c r="B6" s="980">
        <v>1.1811</v>
      </c>
      <c r="C6" s="980">
        <v>1.1811</v>
      </c>
      <c r="D6" s="980">
        <v>1.1472</v>
      </c>
      <c r="E6" s="980">
        <v>1.1472</v>
      </c>
      <c r="F6" s="980">
        <v>1.1472</v>
      </c>
      <c r="G6" s="980">
        <v>1.1472</v>
      </c>
      <c r="H6" s="980">
        <v>1.1472</v>
      </c>
      <c r="I6" s="980">
        <v>1.1214</v>
      </c>
      <c r="J6" s="980">
        <v>1.1214</v>
      </c>
      <c r="K6" s="980">
        <v>1.1214</v>
      </c>
      <c r="L6" s="980">
        <v>1.1214</v>
      </c>
      <c r="M6" s="980">
        <v>1.1214</v>
      </c>
    </row>
    <row r="7" spans="1:14">
      <c r="A7" s="971">
        <v>1.4</v>
      </c>
      <c r="B7" s="980">
        <v>1.1619999999999999</v>
      </c>
      <c r="C7" s="980">
        <v>1.1619999999999999</v>
      </c>
      <c r="D7" s="980">
        <v>1.1265000000000001</v>
      </c>
      <c r="E7" s="980">
        <v>1.1265000000000001</v>
      </c>
      <c r="F7" s="980">
        <v>1.1265000000000001</v>
      </c>
      <c r="G7" s="980">
        <v>1.1265000000000001</v>
      </c>
      <c r="H7" s="980">
        <v>1.1265000000000001</v>
      </c>
      <c r="I7" s="980">
        <v>1.0948</v>
      </c>
      <c r="J7" s="980">
        <v>1.0948</v>
      </c>
      <c r="K7" s="980">
        <v>1.0948</v>
      </c>
      <c r="L7" s="980">
        <v>1.0948</v>
      </c>
      <c r="M7" s="980">
        <v>1.0948</v>
      </c>
    </row>
    <row r="8" spans="1:14">
      <c r="A8" s="971">
        <v>1.5</v>
      </c>
      <c r="B8" s="980">
        <v>1.1453</v>
      </c>
      <c r="C8" s="980">
        <v>1.1453</v>
      </c>
      <c r="D8" s="980">
        <v>1.1084000000000001</v>
      </c>
      <c r="E8" s="980">
        <v>1.1084000000000001</v>
      </c>
      <c r="F8" s="980">
        <v>1.1084000000000001</v>
      </c>
      <c r="G8" s="980">
        <v>1.1084000000000001</v>
      </c>
      <c r="H8" s="980">
        <v>1.1084000000000001</v>
      </c>
      <c r="I8" s="980">
        <v>1.0725</v>
      </c>
      <c r="J8" s="980">
        <v>1.0725</v>
      </c>
      <c r="K8" s="980">
        <v>1.0725</v>
      </c>
      <c r="L8" s="980">
        <v>1.0725</v>
      </c>
      <c r="M8" s="980">
        <v>1.0725</v>
      </c>
    </row>
    <row r="9" spans="1:14">
      <c r="A9" s="971">
        <v>1.6</v>
      </c>
      <c r="B9" s="980">
        <v>1.1306</v>
      </c>
      <c r="C9" s="980">
        <v>1.1306</v>
      </c>
      <c r="D9" s="980">
        <v>1.0924</v>
      </c>
      <c r="E9" s="980">
        <v>1.0924</v>
      </c>
      <c r="F9" s="980">
        <v>1.0924</v>
      </c>
      <c r="G9" s="980">
        <v>1.0924</v>
      </c>
      <c r="H9" s="980">
        <v>1.0924</v>
      </c>
      <c r="I9" s="980">
        <v>1.0538000000000001</v>
      </c>
      <c r="J9" s="980">
        <v>1.0538000000000001</v>
      </c>
      <c r="K9" s="980">
        <v>1.0538000000000001</v>
      </c>
      <c r="L9" s="980">
        <v>1.0538000000000001</v>
      </c>
      <c r="M9" s="980">
        <v>1.0538000000000001</v>
      </c>
    </row>
    <row r="10" spans="1:14">
      <c r="A10" s="971">
        <v>1.7</v>
      </c>
      <c r="B10" s="980">
        <v>1.1175999999999999</v>
      </c>
      <c r="C10" s="980">
        <v>1.1175999999999999</v>
      </c>
      <c r="D10" s="980">
        <v>1.0783</v>
      </c>
      <c r="E10" s="980">
        <v>1.0783</v>
      </c>
      <c r="F10" s="980">
        <v>1.0783</v>
      </c>
      <c r="G10" s="980">
        <v>1.0783</v>
      </c>
      <c r="H10" s="980">
        <v>1.0783</v>
      </c>
      <c r="I10" s="980">
        <v>1.0379</v>
      </c>
      <c r="J10" s="980">
        <v>1.0379</v>
      </c>
      <c r="K10" s="980">
        <v>1.0379</v>
      </c>
      <c r="L10" s="980">
        <v>1.0379</v>
      </c>
      <c r="M10" s="980">
        <v>1.0379</v>
      </c>
    </row>
    <row r="11" spans="1:14">
      <c r="A11" s="971">
        <v>1.8</v>
      </c>
      <c r="B11" s="980">
        <v>1.1057999999999999</v>
      </c>
      <c r="C11" s="980">
        <v>1.1057999999999999</v>
      </c>
      <c r="D11" s="980">
        <v>1.0653999999999999</v>
      </c>
      <c r="E11" s="980">
        <v>1.0653999999999999</v>
      </c>
      <c r="F11" s="980">
        <v>1.0653999999999999</v>
      </c>
      <c r="G11" s="980">
        <v>1.0653999999999999</v>
      </c>
      <c r="H11" s="980">
        <v>1.0653999999999999</v>
      </c>
      <c r="I11" s="980">
        <v>1.0241</v>
      </c>
      <c r="J11" s="980">
        <v>1.0241</v>
      </c>
      <c r="K11" s="980">
        <v>1.0241</v>
      </c>
      <c r="L11" s="980">
        <v>1.0241</v>
      </c>
      <c r="M11" s="980">
        <v>1.0241</v>
      </c>
    </row>
    <row r="12" spans="1:14">
      <c r="A12" s="971">
        <v>1.9</v>
      </c>
      <c r="B12" s="980">
        <v>1.0949</v>
      </c>
      <c r="C12" s="980">
        <v>1.0949</v>
      </c>
      <c r="D12" s="980">
        <v>1.0537000000000001</v>
      </c>
      <c r="E12" s="980">
        <v>1.0537000000000001</v>
      </c>
      <c r="F12" s="980">
        <v>1.0537000000000001</v>
      </c>
      <c r="G12" s="980">
        <v>1.0537000000000001</v>
      </c>
      <c r="H12" s="980">
        <v>1.0537000000000001</v>
      </c>
      <c r="I12" s="980">
        <v>1.0117</v>
      </c>
      <c r="J12" s="980">
        <v>1.0117</v>
      </c>
      <c r="K12" s="980">
        <v>1.0117</v>
      </c>
      <c r="L12" s="980">
        <v>1.0117</v>
      </c>
      <c r="M12" s="980">
        <v>1.0117</v>
      </c>
    </row>
    <row r="13" spans="1:14">
      <c r="A13" s="971">
        <v>2</v>
      </c>
      <c r="B13" s="980">
        <v>1.0847</v>
      </c>
      <c r="C13" s="980">
        <v>1.0847</v>
      </c>
      <c r="D13" s="980">
        <v>1.0427</v>
      </c>
      <c r="E13" s="980">
        <v>1.0427</v>
      </c>
      <c r="F13" s="980">
        <v>1.0427</v>
      </c>
      <c r="G13" s="980">
        <v>1.0427</v>
      </c>
      <c r="H13" s="980">
        <v>1.0427</v>
      </c>
      <c r="I13" s="980">
        <v>1</v>
      </c>
      <c r="J13" s="980">
        <v>1</v>
      </c>
      <c r="K13" s="980">
        <v>1</v>
      </c>
      <c r="L13" s="980">
        <v>1</v>
      </c>
      <c r="M13" s="980">
        <v>1</v>
      </c>
    </row>
    <row r="14" spans="1:14">
      <c r="A14" s="971">
        <v>2.1</v>
      </c>
      <c r="B14" s="980">
        <v>1.0749</v>
      </c>
      <c r="C14" s="980">
        <v>1.0749</v>
      </c>
      <c r="D14" s="980">
        <v>1.0327999999999999</v>
      </c>
      <c r="E14" s="980">
        <v>1.0327999999999999</v>
      </c>
      <c r="F14" s="980">
        <v>1.0327999999999999</v>
      </c>
      <c r="G14" s="980">
        <v>1.0327999999999999</v>
      </c>
      <c r="H14" s="980">
        <v>1.0327999999999999</v>
      </c>
      <c r="I14" s="980">
        <v>0.98819999999999997</v>
      </c>
      <c r="J14" s="980">
        <v>0.98819999999999997</v>
      </c>
      <c r="K14" s="980">
        <v>0.98819999999999997</v>
      </c>
      <c r="L14" s="980">
        <v>0.98819999999999997</v>
      </c>
      <c r="M14" s="980">
        <v>0.98819999999999997</v>
      </c>
    </row>
    <row r="15" spans="1:14">
      <c r="A15" s="971">
        <v>2.2000000000000002</v>
      </c>
      <c r="B15" s="980">
        <v>1.0663</v>
      </c>
      <c r="C15" s="980">
        <v>1.0663</v>
      </c>
      <c r="D15" s="980">
        <v>1.0237000000000001</v>
      </c>
      <c r="E15" s="980">
        <v>1.0237000000000001</v>
      </c>
      <c r="F15" s="980">
        <v>1.0237000000000001</v>
      </c>
      <c r="G15" s="980">
        <v>1.0237000000000001</v>
      </c>
      <c r="H15" s="980">
        <v>1.0237000000000001</v>
      </c>
      <c r="I15" s="980">
        <v>0.9768</v>
      </c>
      <c r="J15" s="980">
        <v>0.9768</v>
      </c>
      <c r="K15" s="980">
        <v>0.9768</v>
      </c>
      <c r="L15" s="980">
        <v>0.9768</v>
      </c>
      <c r="M15" s="980">
        <v>0.9768</v>
      </c>
    </row>
    <row r="16" spans="1:14">
      <c r="A16" s="971">
        <v>2.2999999999999998</v>
      </c>
      <c r="B16" s="980">
        <v>1.0584</v>
      </c>
      <c r="C16" s="980">
        <v>1.0584</v>
      </c>
      <c r="D16" s="980">
        <v>1.0152000000000001</v>
      </c>
      <c r="E16" s="980">
        <v>1.0152000000000001</v>
      </c>
      <c r="F16" s="980">
        <v>1.0152000000000001</v>
      </c>
      <c r="G16" s="980">
        <v>1.0152000000000001</v>
      </c>
      <c r="H16" s="980">
        <v>1.0152000000000001</v>
      </c>
      <c r="I16" s="980">
        <v>0.96609999999999996</v>
      </c>
      <c r="J16" s="980">
        <v>0.96609999999999996</v>
      </c>
      <c r="K16" s="980">
        <v>0.96609999999999996</v>
      </c>
      <c r="L16" s="980">
        <v>0.96609999999999996</v>
      </c>
      <c r="M16" s="980">
        <v>0.96609999999999996</v>
      </c>
      <c r="N16" s="981"/>
    </row>
    <row r="17" spans="1:14">
      <c r="A17" s="971">
        <v>2.4</v>
      </c>
      <c r="B17" s="980">
        <v>1.0511999999999999</v>
      </c>
      <c r="C17" s="980">
        <v>1.0511999999999999</v>
      </c>
      <c r="D17" s="980">
        <v>1.0074000000000001</v>
      </c>
      <c r="E17" s="980">
        <v>1.0074000000000001</v>
      </c>
      <c r="F17" s="980">
        <v>1.0074000000000001</v>
      </c>
      <c r="G17" s="980">
        <v>1.0074000000000001</v>
      </c>
      <c r="H17" s="980">
        <v>1.0074000000000001</v>
      </c>
      <c r="I17" s="980">
        <v>0.95579999999999998</v>
      </c>
      <c r="J17" s="980">
        <v>0.95579999999999998</v>
      </c>
      <c r="K17" s="980">
        <v>0.95579999999999998</v>
      </c>
      <c r="L17" s="980">
        <v>0.95579999999999998</v>
      </c>
      <c r="M17" s="980">
        <v>0.95579999999999998</v>
      </c>
      <c r="N17" s="981"/>
    </row>
    <row r="18" spans="1:14">
      <c r="A18" s="971">
        <v>2.5</v>
      </c>
      <c r="B18" s="980">
        <v>1.0445</v>
      </c>
      <c r="C18" s="980">
        <v>1.0445</v>
      </c>
      <c r="D18" s="980">
        <v>1</v>
      </c>
      <c r="E18" s="980">
        <v>1</v>
      </c>
      <c r="F18" s="980">
        <v>1</v>
      </c>
      <c r="G18" s="980">
        <v>1</v>
      </c>
      <c r="H18" s="980">
        <v>1</v>
      </c>
      <c r="I18" s="980">
        <v>0.94620000000000004</v>
      </c>
      <c r="J18" s="980">
        <v>0.94620000000000004</v>
      </c>
      <c r="K18" s="980">
        <v>0.94620000000000004</v>
      </c>
      <c r="L18" s="980">
        <v>0.94620000000000004</v>
      </c>
      <c r="M18" s="980">
        <v>0.94620000000000004</v>
      </c>
    </row>
    <row r="19" spans="1:14">
      <c r="A19" s="971">
        <v>2.6</v>
      </c>
      <c r="B19" s="980">
        <v>1.0386</v>
      </c>
      <c r="C19" s="980">
        <v>1.0386</v>
      </c>
      <c r="D19" s="980">
        <v>0.99350000000000005</v>
      </c>
      <c r="E19" s="980">
        <v>0.99350000000000005</v>
      </c>
      <c r="F19" s="980">
        <v>0.99350000000000005</v>
      </c>
      <c r="G19" s="980">
        <v>0.99350000000000005</v>
      </c>
      <c r="H19" s="980">
        <v>0.99350000000000005</v>
      </c>
      <c r="I19" s="980">
        <v>0.93710000000000004</v>
      </c>
      <c r="J19" s="980">
        <v>0.93710000000000004</v>
      </c>
      <c r="K19" s="980">
        <v>0.93710000000000004</v>
      </c>
      <c r="L19" s="980">
        <v>0.93710000000000004</v>
      </c>
      <c r="M19" s="980">
        <v>0.93710000000000004</v>
      </c>
    </row>
    <row r="20" spans="1:14">
      <c r="A20" s="971">
        <v>2.7</v>
      </c>
      <c r="B20" s="980">
        <v>1.0331999999999999</v>
      </c>
      <c r="C20" s="980">
        <v>1.0331999999999999</v>
      </c>
      <c r="D20" s="980">
        <v>0.98770000000000002</v>
      </c>
      <c r="E20" s="980">
        <v>0.98770000000000002</v>
      </c>
      <c r="F20" s="980">
        <v>0.98770000000000002</v>
      </c>
      <c r="G20" s="980">
        <v>0.98770000000000002</v>
      </c>
      <c r="H20" s="980">
        <v>0.98770000000000002</v>
      </c>
      <c r="I20" s="980">
        <v>0.92859999999999998</v>
      </c>
      <c r="J20" s="980">
        <v>0.92859999999999998</v>
      </c>
      <c r="K20" s="980">
        <v>0.92859999999999998</v>
      </c>
      <c r="L20" s="980">
        <v>0.92859999999999998</v>
      </c>
      <c r="M20" s="980">
        <v>0.92859999999999998</v>
      </c>
    </row>
    <row r="21" spans="1:14">
      <c r="A21" s="971">
        <v>2.8</v>
      </c>
      <c r="B21" s="980">
        <v>1.0282</v>
      </c>
      <c r="C21" s="980">
        <v>1.0282</v>
      </c>
      <c r="D21" s="980">
        <v>0.98260000000000003</v>
      </c>
      <c r="E21" s="980">
        <v>0.98260000000000003</v>
      </c>
      <c r="F21" s="980">
        <v>0.98260000000000003</v>
      </c>
      <c r="G21" s="980">
        <v>0.98260000000000003</v>
      </c>
      <c r="H21" s="980">
        <v>0.98260000000000003</v>
      </c>
      <c r="I21" s="980">
        <v>0.92069999999999996</v>
      </c>
      <c r="J21" s="980">
        <v>0.92069999999999996</v>
      </c>
      <c r="K21" s="980">
        <v>0.92069999999999996</v>
      </c>
      <c r="L21" s="980">
        <v>0.92069999999999996</v>
      </c>
      <c r="M21" s="980">
        <v>0.92069999999999996</v>
      </c>
    </row>
    <row r="22" spans="1:14">
      <c r="A22" s="971">
        <v>2.9</v>
      </c>
      <c r="B22" s="980">
        <v>1.0235000000000001</v>
      </c>
      <c r="C22" s="980">
        <v>1.0235000000000001</v>
      </c>
      <c r="D22" s="980">
        <v>0.97770000000000001</v>
      </c>
      <c r="E22" s="980">
        <v>0.97770000000000001</v>
      </c>
      <c r="F22" s="980">
        <v>0.97770000000000001</v>
      </c>
      <c r="G22" s="980">
        <v>0.97770000000000001</v>
      </c>
      <c r="H22" s="980">
        <v>0.97770000000000001</v>
      </c>
      <c r="I22" s="980">
        <v>0.9133</v>
      </c>
      <c r="J22" s="980">
        <v>0.9133</v>
      </c>
      <c r="K22" s="980">
        <v>0.9133</v>
      </c>
      <c r="L22" s="980">
        <v>0.9133</v>
      </c>
      <c r="M22" s="980">
        <v>0.9133</v>
      </c>
    </row>
    <row r="23" spans="1:14">
      <c r="A23" s="988">
        <v>3</v>
      </c>
      <c r="B23" s="980">
        <v>1.0190999999999999</v>
      </c>
      <c r="C23" s="980">
        <v>1.0190999999999999</v>
      </c>
      <c r="D23" s="980">
        <v>0.97299999999999998</v>
      </c>
      <c r="E23" s="980">
        <v>0.97299999999999998</v>
      </c>
      <c r="F23" s="980">
        <v>0.97299999999999998</v>
      </c>
      <c r="G23" s="980">
        <v>0.97299999999999998</v>
      </c>
      <c r="H23" s="980">
        <v>0.97299999999999998</v>
      </c>
      <c r="I23" s="980">
        <v>0.90629999999999999</v>
      </c>
      <c r="J23" s="980">
        <v>0.90629999999999999</v>
      </c>
      <c r="K23" s="980">
        <v>0.90629999999999999</v>
      </c>
      <c r="L23" s="980">
        <v>0.90629999999999999</v>
      </c>
      <c r="M23" s="980">
        <v>0.90629999999999999</v>
      </c>
    </row>
    <row r="24" spans="1:14">
      <c r="A24" s="988">
        <v>3.1</v>
      </c>
      <c r="B24" s="980">
        <v>1.0148999999999999</v>
      </c>
      <c r="C24" s="980">
        <v>1.0148999999999999</v>
      </c>
      <c r="D24" s="980">
        <v>0.96840000000000004</v>
      </c>
      <c r="E24" s="980">
        <v>0.96840000000000004</v>
      </c>
      <c r="F24" s="980">
        <v>0.96840000000000004</v>
      </c>
      <c r="G24" s="980">
        <v>0.96840000000000004</v>
      </c>
      <c r="H24" s="980">
        <v>0.96840000000000004</v>
      </c>
      <c r="I24" s="980">
        <v>0.89959999999999996</v>
      </c>
      <c r="J24" s="980">
        <v>0.89959999999999996</v>
      </c>
      <c r="K24" s="980">
        <v>0.89959999999999996</v>
      </c>
      <c r="L24" s="980">
        <v>0.89959999999999996</v>
      </c>
      <c r="M24" s="980">
        <v>0.89959999999999996</v>
      </c>
    </row>
    <row r="25" spans="1:14">
      <c r="A25" s="988">
        <v>3.2</v>
      </c>
      <c r="B25" s="980">
        <v>1.0108999999999999</v>
      </c>
      <c r="C25" s="980">
        <v>1.0108999999999999</v>
      </c>
      <c r="D25" s="980">
        <v>0.96399999999999997</v>
      </c>
      <c r="E25" s="980">
        <v>0.96399999999999997</v>
      </c>
      <c r="F25" s="980">
        <v>0.96399999999999997</v>
      </c>
      <c r="G25" s="980">
        <v>0.96399999999999997</v>
      </c>
      <c r="H25" s="980">
        <v>0.96399999999999997</v>
      </c>
      <c r="I25" s="980">
        <v>0.89319999999999999</v>
      </c>
      <c r="J25" s="980">
        <v>0.89319999999999999</v>
      </c>
      <c r="K25" s="980">
        <v>0.89319999999999999</v>
      </c>
      <c r="L25" s="980">
        <v>0.89319999999999999</v>
      </c>
      <c r="M25" s="980">
        <v>0.89319999999999999</v>
      </c>
    </row>
    <row r="26" spans="1:14">
      <c r="A26" s="988">
        <v>3.3</v>
      </c>
      <c r="B26" s="980">
        <v>1.0071000000000001</v>
      </c>
      <c r="C26" s="980">
        <v>1.0071000000000001</v>
      </c>
      <c r="D26" s="980">
        <v>0.95979999999999999</v>
      </c>
      <c r="E26" s="980">
        <v>0.95979999999999999</v>
      </c>
      <c r="F26" s="980">
        <v>0.95979999999999999</v>
      </c>
      <c r="G26" s="980">
        <v>0.95979999999999999</v>
      </c>
      <c r="H26" s="980">
        <v>0.95979999999999999</v>
      </c>
      <c r="I26" s="980">
        <v>0.8871</v>
      </c>
      <c r="J26" s="980">
        <v>0.8871</v>
      </c>
      <c r="K26" s="980">
        <v>0.8871</v>
      </c>
      <c r="L26" s="980">
        <v>0.8871</v>
      </c>
      <c r="M26" s="980">
        <v>0.8871</v>
      </c>
    </row>
    <row r="27" spans="1:14">
      <c r="A27" s="988">
        <v>3.4</v>
      </c>
      <c r="B27" s="980">
        <v>1.0035000000000001</v>
      </c>
      <c r="C27" s="980">
        <v>1.0035000000000001</v>
      </c>
      <c r="D27" s="980">
        <v>0.95579999999999998</v>
      </c>
      <c r="E27" s="980">
        <v>0.95579999999999998</v>
      </c>
      <c r="F27" s="980">
        <v>0.95579999999999998</v>
      </c>
      <c r="G27" s="980">
        <v>0.95579999999999998</v>
      </c>
      <c r="H27" s="980">
        <v>0.95579999999999998</v>
      </c>
      <c r="I27" s="980">
        <v>0.88119999999999998</v>
      </c>
      <c r="J27" s="980">
        <v>0.88119999999999998</v>
      </c>
      <c r="K27" s="980">
        <v>0.88119999999999998</v>
      </c>
      <c r="L27" s="980">
        <v>0.88119999999999998</v>
      </c>
      <c r="M27" s="980">
        <v>0.88119999999999998</v>
      </c>
    </row>
    <row r="28" spans="1:14">
      <c r="A28" s="988">
        <v>3.5</v>
      </c>
      <c r="B28" s="980">
        <v>1</v>
      </c>
      <c r="C28" s="980">
        <v>1</v>
      </c>
      <c r="D28" s="980">
        <v>0.95199999999999996</v>
      </c>
      <c r="E28" s="980">
        <v>0.95199999999999996</v>
      </c>
      <c r="F28" s="980">
        <v>0.95199999999999996</v>
      </c>
      <c r="G28" s="980">
        <v>0.95199999999999996</v>
      </c>
      <c r="H28" s="980">
        <v>0.95199999999999996</v>
      </c>
      <c r="I28" s="980">
        <v>0.87549999999999994</v>
      </c>
      <c r="J28" s="980">
        <v>0.87549999999999994</v>
      </c>
      <c r="K28" s="980">
        <v>0.87549999999999994</v>
      </c>
      <c r="L28" s="980">
        <v>0.87549999999999994</v>
      </c>
      <c r="M28" s="980">
        <v>0.87549999999999994</v>
      </c>
    </row>
    <row r="29" spans="1:14">
      <c r="A29" s="988">
        <v>3.6</v>
      </c>
      <c r="B29" s="980">
        <v>0.99660000000000004</v>
      </c>
      <c r="C29" s="980">
        <v>0.99660000000000004</v>
      </c>
      <c r="D29" s="980">
        <v>0.94840000000000002</v>
      </c>
      <c r="E29" s="980">
        <v>0.94840000000000002</v>
      </c>
      <c r="F29" s="980">
        <v>0.94840000000000002</v>
      </c>
      <c r="G29" s="980">
        <v>0.94840000000000002</v>
      </c>
      <c r="H29" s="980">
        <v>0.94840000000000002</v>
      </c>
      <c r="I29" s="980">
        <v>0.87</v>
      </c>
      <c r="J29" s="980">
        <v>0.87</v>
      </c>
      <c r="K29" s="980">
        <v>0.87</v>
      </c>
      <c r="L29" s="980">
        <v>0.87</v>
      </c>
      <c r="M29" s="980">
        <v>0.87</v>
      </c>
    </row>
    <row r="30" spans="1:14">
      <c r="A30" s="988">
        <v>3.7</v>
      </c>
      <c r="B30" s="980">
        <v>0.99329999999999996</v>
      </c>
      <c r="C30" s="980">
        <v>0.99329999999999996</v>
      </c>
      <c r="D30" s="980">
        <v>0.94499999999999995</v>
      </c>
      <c r="E30" s="980">
        <v>0.94499999999999995</v>
      </c>
      <c r="F30" s="980">
        <v>0.94499999999999995</v>
      </c>
      <c r="G30" s="980">
        <v>0.94499999999999995</v>
      </c>
      <c r="H30" s="980">
        <v>0.94499999999999995</v>
      </c>
      <c r="I30" s="980">
        <v>0.86470000000000002</v>
      </c>
      <c r="J30" s="980">
        <v>0.86470000000000002</v>
      </c>
      <c r="K30" s="980">
        <v>0.86470000000000002</v>
      </c>
      <c r="L30" s="980">
        <v>0.86470000000000002</v>
      </c>
      <c r="M30" s="980">
        <v>0.86470000000000002</v>
      </c>
    </row>
    <row r="31" spans="1:14">
      <c r="A31" s="988">
        <v>3.8</v>
      </c>
      <c r="B31" s="980">
        <v>0.99009999999999998</v>
      </c>
      <c r="C31" s="980">
        <v>0.99009999999999998</v>
      </c>
      <c r="D31" s="980">
        <v>0.94169999999999998</v>
      </c>
      <c r="E31" s="980">
        <v>0.94169999999999998</v>
      </c>
      <c r="F31" s="980">
        <v>0.94169999999999998</v>
      </c>
      <c r="G31" s="980">
        <v>0.94169999999999998</v>
      </c>
      <c r="H31" s="980">
        <v>0.94169999999999998</v>
      </c>
      <c r="I31" s="980">
        <v>0.85960000000000003</v>
      </c>
      <c r="J31" s="980">
        <v>0.85960000000000003</v>
      </c>
      <c r="K31" s="980">
        <v>0.85960000000000003</v>
      </c>
      <c r="L31" s="980">
        <v>0.85960000000000003</v>
      </c>
      <c r="M31" s="980">
        <v>0.85960000000000003</v>
      </c>
    </row>
    <row r="32" spans="1:14">
      <c r="A32" s="988">
        <v>3.9</v>
      </c>
      <c r="B32" s="980">
        <v>0.98699999999999999</v>
      </c>
      <c r="C32" s="980">
        <v>0.98699999999999999</v>
      </c>
      <c r="D32" s="980">
        <v>0.9385</v>
      </c>
      <c r="E32" s="980">
        <v>0.9385</v>
      </c>
      <c r="F32" s="980">
        <v>0.9385</v>
      </c>
      <c r="G32" s="980">
        <v>0.9385</v>
      </c>
      <c r="H32" s="980">
        <v>0.9385</v>
      </c>
      <c r="I32" s="980">
        <v>0.85470000000000002</v>
      </c>
      <c r="J32" s="980">
        <v>0.85470000000000002</v>
      </c>
      <c r="K32" s="980">
        <v>0.85470000000000002</v>
      </c>
      <c r="L32" s="980">
        <v>0.85470000000000002</v>
      </c>
      <c r="M32" s="980">
        <v>0.85470000000000002</v>
      </c>
    </row>
    <row r="33" spans="1:13">
      <c r="A33" s="988">
        <v>4</v>
      </c>
      <c r="B33" s="980">
        <v>0.98399999999999999</v>
      </c>
      <c r="C33" s="980">
        <v>0.98399999999999999</v>
      </c>
      <c r="D33" s="980">
        <v>0.93540000000000001</v>
      </c>
      <c r="E33" s="980">
        <v>0.93540000000000001</v>
      </c>
      <c r="F33" s="980">
        <v>0.93540000000000001</v>
      </c>
      <c r="G33" s="980">
        <v>0.93540000000000001</v>
      </c>
      <c r="H33" s="980">
        <v>0.93540000000000001</v>
      </c>
      <c r="I33" s="980">
        <v>0.84989999999999999</v>
      </c>
      <c r="J33" s="980">
        <v>0.84989999999999999</v>
      </c>
      <c r="K33" s="980">
        <v>0.84989999999999999</v>
      </c>
      <c r="L33" s="980">
        <v>0.84989999999999999</v>
      </c>
      <c r="M33" s="980">
        <v>0.84989999999999999</v>
      </c>
    </row>
    <row r="34" spans="1:13">
      <c r="A34" s="988">
        <v>4.0999999999999996</v>
      </c>
      <c r="B34" s="980">
        <v>0.98109999999999997</v>
      </c>
      <c r="C34" s="980">
        <v>0.98109999999999997</v>
      </c>
      <c r="D34" s="980">
        <v>0.93240000000000001</v>
      </c>
      <c r="E34" s="980">
        <v>0.93240000000000001</v>
      </c>
      <c r="F34" s="980">
        <v>0.93240000000000001</v>
      </c>
      <c r="G34" s="980">
        <v>0.93240000000000001</v>
      </c>
      <c r="H34" s="980">
        <v>0.93240000000000001</v>
      </c>
      <c r="I34" s="980">
        <v>0.84519999999999995</v>
      </c>
      <c r="J34" s="980">
        <v>0.84519999999999995</v>
      </c>
      <c r="K34" s="980">
        <v>0.84519999999999995</v>
      </c>
      <c r="L34" s="980">
        <v>0.84519999999999995</v>
      </c>
      <c r="M34" s="980">
        <v>0.84519999999999995</v>
      </c>
    </row>
    <row r="35" spans="1:13">
      <c r="A35" s="988">
        <v>4.2</v>
      </c>
      <c r="B35" s="980">
        <v>0.97829999999999995</v>
      </c>
      <c r="C35" s="980">
        <v>0.97829999999999995</v>
      </c>
      <c r="D35" s="980">
        <v>0.92949999999999999</v>
      </c>
      <c r="E35" s="980">
        <v>0.92949999999999999</v>
      </c>
      <c r="F35" s="980">
        <v>0.92949999999999999</v>
      </c>
      <c r="G35" s="980">
        <v>0.92949999999999999</v>
      </c>
      <c r="H35" s="980">
        <v>0.92949999999999999</v>
      </c>
      <c r="I35" s="980">
        <v>0.84060000000000001</v>
      </c>
      <c r="J35" s="980">
        <v>0.84060000000000001</v>
      </c>
      <c r="K35" s="980">
        <v>0.84060000000000001</v>
      </c>
      <c r="L35" s="980">
        <v>0.84060000000000001</v>
      </c>
      <c r="M35" s="980">
        <v>0.84060000000000001</v>
      </c>
    </row>
    <row r="36" spans="1:13">
      <c r="A36" s="988">
        <v>4.3</v>
      </c>
      <c r="B36" s="980">
        <v>0.97560000000000002</v>
      </c>
      <c r="C36" s="980">
        <v>0.97560000000000002</v>
      </c>
      <c r="D36" s="980">
        <v>0.92669999999999997</v>
      </c>
      <c r="E36" s="980">
        <v>0.92669999999999997</v>
      </c>
      <c r="F36" s="980">
        <v>0.92669999999999997</v>
      </c>
      <c r="G36" s="980">
        <v>0.92669999999999997</v>
      </c>
      <c r="H36" s="980">
        <v>0.92669999999999997</v>
      </c>
      <c r="I36" s="980">
        <v>0.83609999999999995</v>
      </c>
      <c r="J36" s="980">
        <v>0.83609999999999995</v>
      </c>
      <c r="K36" s="980">
        <v>0.83609999999999995</v>
      </c>
      <c r="L36" s="980">
        <v>0.83609999999999995</v>
      </c>
      <c r="M36" s="980">
        <v>0.83609999999999995</v>
      </c>
    </row>
    <row r="37" spans="1:13">
      <c r="A37" s="988">
        <v>4.4000000000000004</v>
      </c>
      <c r="B37" s="980">
        <v>0.97299999999999998</v>
      </c>
      <c r="C37" s="980">
        <v>0.97299999999999998</v>
      </c>
      <c r="D37" s="980">
        <v>0.92400000000000004</v>
      </c>
      <c r="E37" s="980">
        <v>0.92400000000000004</v>
      </c>
      <c r="F37" s="980">
        <v>0.92400000000000004</v>
      </c>
      <c r="G37" s="980">
        <v>0.92400000000000004</v>
      </c>
      <c r="H37" s="980">
        <v>0.92400000000000004</v>
      </c>
      <c r="I37" s="980">
        <v>0.83169999999999999</v>
      </c>
      <c r="J37" s="980">
        <v>0.83169999999999999</v>
      </c>
      <c r="K37" s="980">
        <v>0.83169999999999999</v>
      </c>
      <c r="L37" s="980">
        <v>0.83169999999999999</v>
      </c>
      <c r="M37" s="980">
        <v>0.83169999999999999</v>
      </c>
    </row>
    <row r="38" spans="1:13">
      <c r="A38" s="988">
        <v>4.5</v>
      </c>
      <c r="B38" s="980">
        <v>0.97050000000000003</v>
      </c>
      <c r="C38" s="980">
        <v>0.97050000000000003</v>
      </c>
      <c r="D38" s="980">
        <v>0.92130000000000001</v>
      </c>
      <c r="E38" s="980">
        <v>0.92130000000000001</v>
      </c>
      <c r="F38" s="980">
        <v>0.92130000000000001</v>
      </c>
      <c r="G38" s="980">
        <v>0.92130000000000001</v>
      </c>
      <c r="H38" s="980">
        <v>0.92130000000000001</v>
      </c>
      <c r="I38" s="980">
        <v>0.82740000000000002</v>
      </c>
      <c r="J38" s="980">
        <v>0.82740000000000002</v>
      </c>
      <c r="K38" s="980">
        <v>0.82740000000000002</v>
      </c>
      <c r="L38" s="980">
        <v>0.82740000000000002</v>
      </c>
      <c r="M38" s="980">
        <v>0.82740000000000002</v>
      </c>
    </row>
    <row r="39" spans="1:13">
      <c r="A39" s="988">
        <v>4.5999999999999996</v>
      </c>
      <c r="B39" s="980">
        <v>0.96809999999999996</v>
      </c>
      <c r="C39" s="980">
        <v>0.96809999999999996</v>
      </c>
      <c r="D39" s="980">
        <v>0.91869999999999996</v>
      </c>
      <c r="E39" s="980">
        <v>0.91869999999999996</v>
      </c>
      <c r="F39" s="980">
        <v>0.91869999999999996</v>
      </c>
      <c r="G39" s="980">
        <v>0.91869999999999996</v>
      </c>
      <c r="H39" s="980">
        <v>0.91869999999999996</v>
      </c>
      <c r="I39" s="980">
        <v>0.82320000000000004</v>
      </c>
      <c r="J39" s="980">
        <v>0.82320000000000004</v>
      </c>
      <c r="K39" s="980">
        <v>0.82320000000000004</v>
      </c>
      <c r="L39" s="980">
        <v>0.82320000000000004</v>
      </c>
      <c r="M39" s="980">
        <v>0.82320000000000004</v>
      </c>
    </row>
    <row r="40" spans="1:13">
      <c r="A40" s="988">
        <v>4.7</v>
      </c>
      <c r="B40" s="980">
        <v>0.96579999999999999</v>
      </c>
      <c r="C40" s="980">
        <v>0.96579999999999999</v>
      </c>
      <c r="D40" s="980">
        <v>0.91610000000000003</v>
      </c>
      <c r="E40" s="980">
        <v>0.91610000000000003</v>
      </c>
      <c r="F40" s="980">
        <v>0.91610000000000003</v>
      </c>
      <c r="G40" s="980">
        <v>0.91610000000000003</v>
      </c>
      <c r="H40" s="980">
        <v>0.91610000000000003</v>
      </c>
      <c r="I40" s="980">
        <v>0.81910000000000005</v>
      </c>
      <c r="J40" s="980">
        <v>0.81910000000000005</v>
      </c>
      <c r="K40" s="980">
        <v>0.81910000000000005</v>
      </c>
      <c r="L40" s="980">
        <v>0.81910000000000005</v>
      </c>
      <c r="M40" s="980">
        <v>0.81910000000000005</v>
      </c>
    </row>
    <row r="41" spans="1:13">
      <c r="A41" s="988">
        <v>4.8</v>
      </c>
      <c r="B41" s="980">
        <v>0.96360000000000001</v>
      </c>
      <c r="C41" s="980">
        <v>0.96360000000000001</v>
      </c>
      <c r="D41" s="980">
        <v>0.91349999999999998</v>
      </c>
      <c r="E41" s="980">
        <v>0.91349999999999998</v>
      </c>
      <c r="F41" s="980">
        <v>0.91349999999999998</v>
      </c>
      <c r="G41" s="980">
        <v>0.91349999999999998</v>
      </c>
      <c r="H41" s="980">
        <v>0.91349999999999998</v>
      </c>
      <c r="I41" s="980">
        <v>0.81510000000000005</v>
      </c>
      <c r="J41" s="980">
        <v>0.81510000000000005</v>
      </c>
      <c r="K41" s="980">
        <v>0.81510000000000005</v>
      </c>
      <c r="L41" s="980">
        <v>0.81510000000000005</v>
      </c>
      <c r="M41" s="980">
        <v>0.81510000000000005</v>
      </c>
    </row>
    <row r="42" spans="1:13">
      <c r="A42" s="988">
        <v>4.9000000000000004</v>
      </c>
      <c r="B42" s="980">
        <v>0.96150000000000002</v>
      </c>
      <c r="C42" s="980">
        <v>0.96150000000000002</v>
      </c>
      <c r="D42" s="980">
        <v>0.91100000000000003</v>
      </c>
      <c r="E42" s="980">
        <v>0.91100000000000003</v>
      </c>
      <c r="F42" s="980">
        <v>0.91100000000000003</v>
      </c>
      <c r="G42" s="980">
        <v>0.91100000000000003</v>
      </c>
      <c r="H42" s="980">
        <v>0.91100000000000003</v>
      </c>
      <c r="I42" s="980">
        <v>0.81110000000000004</v>
      </c>
      <c r="J42" s="980">
        <v>0.81110000000000004</v>
      </c>
      <c r="K42" s="980">
        <v>0.81110000000000004</v>
      </c>
      <c r="L42" s="980">
        <v>0.81110000000000004</v>
      </c>
      <c r="M42" s="980">
        <v>0.81110000000000004</v>
      </c>
    </row>
    <row r="43" spans="1:13">
      <c r="A43" s="988">
        <v>5</v>
      </c>
      <c r="B43" s="980">
        <v>0.95940000000000003</v>
      </c>
      <c r="C43" s="980">
        <v>0.95940000000000003</v>
      </c>
      <c r="D43" s="980">
        <v>0.90849999999999997</v>
      </c>
      <c r="E43" s="980">
        <v>0.90849999999999997</v>
      </c>
      <c r="F43" s="980">
        <v>0.90849999999999997</v>
      </c>
      <c r="G43" s="980">
        <v>0.90849999999999997</v>
      </c>
      <c r="H43" s="980">
        <v>0.90849999999999997</v>
      </c>
      <c r="I43" s="980">
        <v>0.80720000000000003</v>
      </c>
      <c r="J43" s="980">
        <v>0.80720000000000003</v>
      </c>
      <c r="K43" s="980">
        <v>0.80720000000000003</v>
      </c>
      <c r="L43" s="980">
        <v>0.80720000000000003</v>
      </c>
      <c r="M43" s="980">
        <v>0.80720000000000003</v>
      </c>
    </row>
    <row r="44" spans="1:13">
      <c r="A44" s="988">
        <v>5.0999999999999996</v>
      </c>
      <c r="B44" s="980">
        <v>0.95740000000000003</v>
      </c>
      <c r="C44" s="980">
        <v>0.95740000000000003</v>
      </c>
      <c r="D44" s="980">
        <v>0.90600000000000003</v>
      </c>
      <c r="E44" s="980">
        <v>0.90600000000000003</v>
      </c>
      <c r="F44" s="980">
        <v>0.90600000000000003</v>
      </c>
      <c r="G44" s="980">
        <v>0.90600000000000003</v>
      </c>
      <c r="H44" s="980">
        <v>0.90600000000000003</v>
      </c>
      <c r="I44" s="980">
        <v>0.80330000000000001</v>
      </c>
      <c r="J44" s="980">
        <v>0.80330000000000001</v>
      </c>
      <c r="K44" s="980">
        <v>0.80330000000000001</v>
      </c>
      <c r="L44" s="980">
        <v>0.80330000000000001</v>
      </c>
      <c r="M44" s="980">
        <v>0.80330000000000001</v>
      </c>
    </row>
    <row r="45" spans="1:13">
      <c r="A45" s="988">
        <v>5.2</v>
      </c>
      <c r="B45" s="980">
        <v>0.95540000000000003</v>
      </c>
      <c r="C45" s="980">
        <v>0.95540000000000003</v>
      </c>
      <c r="D45" s="980">
        <v>0.90349999999999997</v>
      </c>
      <c r="E45" s="980">
        <v>0.90349999999999997</v>
      </c>
      <c r="F45" s="980">
        <v>0.90349999999999997</v>
      </c>
      <c r="G45" s="980">
        <v>0.90349999999999997</v>
      </c>
      <c r="H45" s="980">
        <v>0.90349999999999997</v>
      </c>
      <c r="I45" s="980">
        <v>0.79949999999999999</v>
      </c>
      <c r="J45" s="980">
        <v>0.79949999999999999</v>
      </c>
      <c r="K45" s="980">
        <v>0.79949999999999999</v>
      </c>
      <c r="L45" s="980">
        <v>0.79949999999999999</v>
      </c>
      <c r="M45" s="980">
        <v>0.79949999999999999</v>
      </c>
    </row>
    <row r="46" spans="1:13">
      <c r="A46" s="988">
        <v>5.3</v>
      </c>
      <c r="B46" s="980">
        <v>0.95350000000000001</v>
      </c>
      <c r="C46" s="980">
        <v>0.95350000000000001</v>
      </c>
      <c r="D46" s="980">
        <v>0.90110000000000001</v>
      </c>
      <c r="E46" s="980">
        <v>0.90110000000000001</v>
      </c>
      <c r="F46" s="980">
        <v>0.90110000000000001</v>
      </c>
      <c r="G46" s="980">
        <v>0.90110000000000001</v>
      </c>
      <c r="H46" s="980">
        <v>0.90110000000000001</v>
      </c>
      <c r="I46" s="980">
        <v>0.79569999999999996</v>
      </c>
      <c r="J46" s="980">
        <v>0.79569999999999996</v>
      </c>
      <c r="K46" s="980">
        <v>0.79569999999999996</v>
      </c>
      <c r="L46" s="980">
        <v>0.79569999999999996</v>
      </c>
      <c r="M46" s="980">
        <v>0.79569999999999996</v>
      </c>
    </row>
    <row r="47" spans="1:13">
      <c r="A47" s="988">
        <v>5.4</v>
      </c>
      <c r="B47" s="980">
        <v>0.9516</v>
      </c>
      <c r="C47" s="980">
        <v>0.9516</v>
      </c>
      <c r="D47" s="980">
        <v>0.89870000000000005</v>
      </c>
      <c r="E47" s="980">
        <v>0.89870000000000005</v>
      </c>
      <c r="F47" s="980">
        <v>0.89870000000000005</v>
      </c>
      <c r="G47" s="980">
        <v>0.89870000000000005</v>
      </c>
      <c r="H47" s="980">
        <v>0.89870000000000005</v>
      </c>
      <c r="I47" s="980">
        <v>0.79200000000000004</v>
      </c>
      <c r="J47" s="980">
        <v>0.79200000000000004</v>
      </c>
      <c r="K47" s="980">
        <v>0.79200000000000004</v>
      </c>
      <c r="L47" s="980">
        <v>0.79200000000000004</v>
      </c>
      <c r="M47" s="980">
        <v>0.79200000000000004</v>
      </c>
    </row>
    <row r="48" spans="1:13">
      <c r="A48" s="988">
        <v>5.5</v>
      </c>
      <c r="B48" s="980">
        <v>0.94979999999999998</v>
      </c>
      <c r="C48" s="980">
        <v>0.94979999999999998</v>
      </c>
      <c r="D48" s="980">
        <v>0.89629999999999999</v>
      </c>
      <c r="E48" s="980">
        <v>0.89629999999999999</v>
      </c>
      <c r="F48" s="980">
        <v>0.89629999999999999</v>
      </c>
      <c r="G48" s="980">
        <v>0.89629999999999999</v>
      </c>
      <c r="H48" s="980">
        <v>0.89629999999999999</v>
      </c>
      <c r="I48" s="980">
        <v>0.7883</v>
      </c>
      <c r="J48" s="980">
        <v>0.7883</v>
      </c>
      <c r="K48" s="980">
        <v>0.7883</v>
      </c>
      <c r="L48" s="980">
        <v>0.7883</v>
      </c>
      <c r="M48" s="980">
        <v>0.7883</v>
      </c>
    </row>
    <row r="49" spans="1:13">
      <c r="A49" s="988">
        <v>5.6</v>
      </c>
      <c r="B49" s="980">
        <v>0.94799999999999995</v>
      </c>
      <c r="C49" s="980">
        <v>0.94799999999999995</v>
      </c>
      <c r="D49" s="980">
        <v>0.89390000000000003</v>
      </c>
      <c r="E49" s="980">
        <v>0.89390000000000003</v>
      </c>
      <c r="F49" s="980">
        <v>0.89390000000000003</v>
      </c>
      <c r="G49" s="980">
        <v>0.89390000000000003</v>
      </c>
      <c r="H49" s="980">
        <v>0.89390000000000003</v>
      </c>
      <c r="I49" s="980">
        <v>0.78469999999999995</v>
      </c>
      <c r="J49" s="980">
        <v>0.78469999999999995</v>
      </c>
      <c r="K49" s="980">
        <v>0.78469999999999995</v>
      </c>
      <c r="L49" s="980">
        <v>0.78469999999999995</v>
      </c>
      <c r="M49" s="980">
        <v>0.78469999999999995</v>
      </c>
    </row>
    <row r="50" spans="1:13">
      <c r="A50" s="988">
        <v>5.7</v>
      </c>
      <c r="B50" s="980">
        <v>0.94620000000000004</v>
      </c>
      <c r="C50" s="980">
        <v>0.94620000000000004</v>
      </c>
      <c r="D50" s="980">
        <v>0.89149999999999996</v>
      </c>
      <c r="E50" s="980">
        <v>0.89149999999999996</v>
      </c>
      <c r="F50" s="980">
        <v>0.89149999999999996</v>
      </c>
      <c r="G50" s="980">
        <v>0.89149999999999996</v>
      </c>
      <c r="H50" s="980">
        <v>0.89149999999999996</v>
      </c>
      <c r="I50" s="980">
        <v>0.78110000000000002</v>
      </c>
      <c r="J50" s="980">
        <v>0.78110000000000002</v>
      </c>
      <c r="K50" s="980">
        <v>0.78110000000000002</v>
      </c>
      <c r="L50" s="980">
        <v>0.78110000000000002</v>
      </c>
      <c r="M50" s="980">
        <v>0.78110000000000002</v>
      </c>
    </row>
    <row r="51" spans="1:13">
      <c r="A51" s="988">
        <v>5.8</v>
      </c>
      <c r="B51" s="980">
        <v>0.94450000000000001</v>
      </c>
      <c r="C51" s="980">
        <v>0.94450000000000001</v>
      </c>
      <c r="D51" s="980">
        <v>0.88919999999999999</v>
      </c>
      <c r="E51" s="980">
        <v>0.88919999999999999</v>
      </c>
      <c r="F51" s="980">
        <v>0.88919999999999999</v>
      </c>
      <c r="G51" s="980">
        <v>0.88919999999999999</v>
      </c>
      <c r="H51" s="980">
        <v>0.88919999999999999</v>
      </c>
      <c r="I51" s="980">
        <v>0.77759999999999996</v>
      </c>
      <c r="J51" s="980">
        <v>0.77759999999999996</v>
      </c>
      <c r="K51" s="980">
        <v>0.77759999999999996</v>
      </c>
      <c r="L51" s="980">
        <v>0.77759999999999996</v>
      </c>
      <c r="M51" s="980">
        <v>0.77759999999999996</v>
      </c>
    </row>
    <row r="52" spans="1:13">
      <c r="A52" s="988">
        <v>5.9</v>
      </c>
      <c r="B52" s="980">
        <v>0.94279999999999997</v>
      </c>
      <c r="C52" s="980">
        <v>0.94279999999999997</v>
      </c>
      <c r="D52" s="980">
        <v>0.88690000000000002</v>
      </c>
      <c r="E52" s="980">
        <v>0.88690000000000002</v>
      </c>
      <c r="F52" s="980">
        <v>0.88690000000000002</v>
      </c>
      <c r="G52" s="980">
        <v>0.88690000000000002</v>
      </c>
      <c r="H52" s="980">
        <v>0.88690000000000002</v>
      </c>
      <c r="I52" s="980">
        <v>0.77410000000000001</v>
      </c>
      <c r="J52" s="980">
        <v>0.77410000000000001</v>
      </c>
      <c r="K52" s="980">
        <v>0.77410000000000001</v>
      </c>
      <c r="L52" s="980">
        <v>0.77410000000000001</v>
      </c>
      <c r="M52" s="980">
        <v>0.77410000000000001</v>
      </c>
    </row>
    <row r="53" spans="1:13">
      <c r="A53" s="971">
        <v>6</v>
      </c>
      <c r="B53" s="980">
        <v>0.94110000000000005</v>
      </c>
      <c r="C53" s="980">
        <v>0.94110000000000005</v>
      </c>
      <c r="D53" s="980">
        <v>0.88460000000000005</v>
      </c>
      <c r="E53" s="980">
        <v>0.88460000000000005</v>
      </c>
      <c r="F53" s="980">
        <v>0.88460000000000005</v>
      </c>
      <c r="G53" s="980">
        <v>0.88460000000000005</v>
      </c>
      <c r="H53" s="980">
        <v>0.88460000000000005</v>
      </c>
      <c r="I53" s="980">
        <v>0.77070000000000005</v>
      </c>
      <c r="J53" s="980">
        <v>0.77070000000000005</v>
      </c>
      <c r="K53" s="980">
        <v>0.77070000000000005</v>
      </c>
      <c r="L53" s="980">
        <v>0.77070000000000005</v>
      </c>
      <c r="M53" s="980">
        <v>0.77070000000000005</v>
      </c>
    </row>
    <row r="54" spans="1:13">
      <c r="A54" s="971">
        <v>6.1</v>
      </c>
      <c r="B54" s="980">
        <v>0.93940000000000001</v>
      </c>
      <c r="C54" s="980">
        <v>0.93940000000000001</v>
      </c>
      <c r="D54" s="980">
        <v>0.88229999999999997</v>
      </c>
      <c r="E54" s="980">
        <v>0.88229999999999997</v>
      </c>
      <c r="F54" s="980">
        <v>0.88229999999999997</v>
      </c>
      <c r="G54" s="980">
        <v>0.88229999999999997</v>
      </c>
      <c r="H54" s="980">
        <v>0.88229999999999997</v>
      </c>
      <c r="I54" s="980">
        <v>0.76729999999999998</v>
      </c>
      <c r="J54" s="980">
        <v>0.76729999999999998</v>
      </c>
      <c r="K54" s="980">
        <v>0.76729999999999998</v>
      </c>
      <c r="L54" s="980">
        <v>0.76729999999999998</v>
      </c>
      <c r="M54" s="980">
        <v>0.76729999999999998</v>
      </c>
    </row>
    <row r="55" spans="1:13">
      <c r="A55" s="971">
        <v>6.2</v>
      </c>
      <c r="B55" s="980">
        <v>0.93769999999999998</v>
      </c>
      <c r="C55" s="980">
        <v>0.93769999999999998</v>
      </c>
      <c r="D55" s="980">
        <v>0.88</v>
      </c>
      <c r="E55" s="980">
        <v>0.88</v>
      </c>
      <c r="F55" s="980">
        <v>0.88</v>
      </c>
      <c r="G55" s="980">
        <v>0.88</v>
      </c>
      <c r="H55" s="980">
        <v>0.88</v>
      </c>
      <c r="I55" s="980">
        <v>0.76400000000000001</v>
      </c>
      <c r="J55" s="980">
        <v>0.76400000000000001</v>
      </c>
      <c r="K55" s="980">
        <v>0.76400000000000001</v>
      </c>
      <c r="L55" s="980">
        <v>0.76400000000000001</v>
      </c>
      <c r="M55" s="980">
        <v>0.76400000000000001</v>
      </c>
    </row>
    <row r="56" spans="1:13">
      <c r="A56" s="971">
        <v>6.3</v>
      </c>
      <c r="B56" s="980">
        <v>0.93610000000000004</v>
      </c>
      <c r="C56" s="980">
        <v>0.93610000000000004</v>
      </c>
      <c r="D56" s="980">
        <v>0.87780000000000002</v>
      </c>
      <c r="E56" s="980">
        <v>0.87780000000000002</v>
      </c>
      <c r="F56" s="980">
        <v>0.87780000000000002</v>
      </c>
      <c r="G56" s="980">
        <v>0.87780000000000002</v>
      </c>
      <c r="H56" s="980">
        <v>0.87780000000000002</v>
      </c>
      <c r="I56" s="980">
        <v>0.76070000000000004</v>
      </c>
      <c r="J56" s="980">
        <v>0.76070000000000004</v>
      </c>
      <c r="K56" s="980">
        <v>0.76070000000000004</v>
      </c>
      <c r="L56" s="980">
        <v>0.76070000000000004</v>
      </c>
      <c r="M56" s="980">
        <v>0.76070000000000004</v>
      </c>
    </row>
    <row r="57" spans="1:13">
      <c r="A57" s="971">
        <v>6.4</v>
      </c>
      <c r="B57" s="980">
        <v>0.9345</v>
      </c>
      <c r="C57" s="980">
        <v>0.9345</v>
      </c>
      <c r="D57" s="980">
        <v>0.87560000000000004</v>
      </c>
      <c r="E57" s="980">
        <v>0.87560000000000004</v>
      </c>
      <c r="F57" s="980">
        <v>0.87560000000000004</v>
      </c>
      <c r="G57" s="980">
        <v>0.87560000000000004</v>
      </c>
      <c r="H57" s="980">
        <v>0.87560000000000004</v>
      </c>
      <c r="I57" s="980">
        <v>0.75749999999999995</v>
      </c>
      <c r="J57" s="980">
        <v>0.75749999999999995</v>
      </c>
      <c r="K57" s="980">
        <v>0.75749999999999995</v>
      </c>
      <c r="L57" s="980">
        <v>0.75749999999999995</v>
      </c>
      <c r="M57" s="980">
        <v>0.75749999999999995</v>
      </c>
    </row>
    <row r="58" spans="1:13">
      <c r="A58" s="971">
        <v>6.5</v>
      </c>
      <c r="B58" s="980">
        <v>0.93289999999999995</v>
      </c>
      <c r="C58" s="980">
        <v>0.93289999999999995</v>
      </c>
      <c r="D58" s="980">
        <v>0.87339999999999995</v>
      </c>
      <c r="E58" s="980">
        <v>0.87339999999999995</v>
      </c>
      <c r="F58" s="980">
        <v>0.87339999999999995</v>
      </c>
      <c r="G58" s="980">
        <v>0.87339999999999995</v>
      </c>
      <c r="H58" s="980">
        <v>0.87339999999999995</v>
      </c>
      <c r="I58" s="980">
        <v>0.75429999999999997</v>
      </c>
      <c r="J58" s="980">
        <v>0.75429999999999997</v>
      </c>
      <c r="K58" s="980">
        <v>0.75429999999999997</v>
      </c>
      <c r="L58" s="980">
        <v>0.75429999999999997</v>
      </c>
      <c r="M58" s="980">
        <v>0.75429999999999997</v>
      </c>
    </row>
    <row r="59" spans="1:13">
      <c r="A59" s="988">
        <v>6.6</v>
      </c>
      <c r="B59" s="980">
        <v>0.93130000000000002</v>
      </c>
      <c r="C59" s="980">
        <v>0.93130000000000002</v>
      </c>
      <c r="D59" s="980">
        <v>0.87119999999999997</v>
      </c>
      <c r="E59" s="980">
        <v>0.87119999999999997</v>
      </c>
      <c r="F59" s="980">
        <v>0.87119999999999997</v>
      </c>
      <c r="G59" s="980">
        <v>0.87119999999999997</v>
      </c>
      <c r="H59" s="980">
        <v>0.87119999999999997</v>
      </c>
      <c r="I59" s="980">
        <v>0.75119999999999998</v>
      </c>
      <c r="J59" s="980">
        <v>0.75119999999999998</v>
      </c>
      <c r="K59" s="980">
        <v>0.75119999999999998</v>
      </c>
      <c r="L59" s="980">
        <v>0.75119999999999998</v>
      </c>
      <c r="M59" s="980">
        <v>0.75119999999999998</v>
      </c>
    </row>
    <row r="60" spans="1:13">
      <c r="A60" s="971">
        <v>6.7</v>
      </c>
      <c r="B60" s="980">
        <v>0.92969999999999997</v>
      </c>
      <c r="C60" s="980">
        <v>0.92969999999999997</v>
      </c>
      <c r="D60" s="980">
        <v>0.86899999999999999</v>
      </c>
      <c r="E60" s="980">
        <v>0.86899999999999999</v>
      </c>
      <c r="F60" s="980">
        <v>0.86899999999999999</v>
      </c>
      <c r="G60" s="980">
        <v>0.86899999999999999</v>
      </c>
      <c r="H60" s="980">
        <v>0.86899999999999999</v>
      </c>
      <c r="I60" s="980">
        <v>0.74809999999999999</v>
      </c>
      <c r="J60" s="980">
        <v>0.74809999999999999</v>
      </c>
      <c r="K60" s="980">
        <v>0.74809999999999999</v>
      </c>
      <c r="L60" s="980">
        <v>0.74809999999999999</v>
      </c>
      <c r="M60" s="980">
        <v>0.74809999999999999</v>
      </c>
    </row>
    <row r="61" spans="1:13">
      <c r="A61" s="971">
        <v>6.8</v>
      </c>
      <c r="B61" s="980">
        <v>0.92820000000000003</v>
      </c>
      <c r="C61" s="980">
        <v>0.92820000000000003</v>
      </c>
      <c r="D61" s="980">
        <v>0.8669</v>
      </c>
      <c r="E61" s="980">
        <v>0.8669</v>
      </c>
      <c r="F61" s="980">
        <v>0.8669</v>
      </c>
      <c r="G61" s="980">
        <v>0.8669</v>
      </c>
      <c r="H61" s="980">
        <v>0.8669</v>
      </c>
      <c r="I61" s="980">
        <v>0.74509999999999998</v>
      </c>
      <c r="J61" s="980">
        <v>0.74509999999999998</v>
      </c>
      <c r="K61" s="980">
        <v>0.74509999999999998</v>
      </c>
      <c r="L61" s="980">
        <v>0.74509999999999998</v>
      </c>
      <c r="M61" s="980">
        <v>0.74509999999999998</v>
      </c>
    </row>
    <row r="62" spans="1:13">
      <c r="A62" s="971">
        <v>6.9</v>
      </c>
      <c r="B62" s="980">
        <v>0.92669999999999997</v>
      </c>
      <c r="C62" s="980">
        <v>0.92669999999999997</v>
      </c>
      <c r="D62" s="980">
        <v>0.86480000000000001</v>
      </c>
      <c r="E62" s="980">
        <v>0.86480000000000001</v>
      </c>
      <c r="F62" s="980">
        <v>0.86480000000000001</v>
      </c>
      <c r="G62" s="980">
        <v>0.86480000000000001</v>
      </c>
      <c r="H62" s="980">
        <v>0.86480000000000001</v>
      </c>
      <c r="I62" s="980">
        <v>0.74209999999999998</v>
      </c>
      <c r="J62" s="980">
        <v>0.74209999999999998</v>
      </c>
      <c r="K62" s="980">
        <v>0.74209999999999998</v>
      </c>
      <c r="L62" s="980">
        <v>0.74209999999999998</v>
      </c>
      <c r="M62" s="980">
        <v>0.74209999999999998</v>
      </c>
    </row>
    <row r="63" spans="1:13">
      <c r="A63" s="971">
        <v>7</v>
      </c>
      <c r="B63" s="980">
        <v>0.92520000000000002</v>
      </c>
      <c r="C63" s="980">
        <v>0.92520000000000002</v>
      </c>
      <c r="D63" s="980">
        <v>0.86270000000000002</v>
      </c>
      <c r="E63" s="980">
        <v>0.86270000000000002</v>
      </c>
      <c r="F63" s="980">
        <v>0.86270000000000002</v>
      </c>
      <c r="G63" s="980">
        <v>0.86270000000000002</v>
      </c>
      <c r="H63" s="980">
        <v>0.86270000000000002</v>
      </c>
      <c r="I63" s="980">
        <v>0.73919999999999997</v>
      </c>
      <c r="J63" s="980">
        <v>0.73919999999999997</v>
      </c>
      <c r="K63" s="980">
        <v>0.73919999999999997</v>
      </c>
      <c r="L63" s="980">
        <v>0.73919999999999997</v>
      </c>
      <c r="M63" s="980">
        <v>0.73919999999999997</v>
      </c>
    </row>
    <row r="64" spans="1:13">
      <c r="A64" s="971">
        <v>7.1</v>
      </c>
      <c r="B64" s="980">
        <v>0.92369999999999997</v>
      </c>
      <c r="C64" s="980">
        <v>0.92369999999999997</v>
      </c>
      <c r="D64" s="980">
        <v>0.86060000000000003</v>
      </c>
      <c r="E64" s="980">
        <v>0.86060000000000003</v>
      </c>
      <c r="F64" s="980">
        <v>0.86060000000000003</v>
      </c>
      <c r="G64" s="980">
        <v>0.86060000000000003</v>
      </c>
      <c r="H64" s="980">
        <v>0.86060000000000003</v>
      </c>
      <c r="I64" s="980">
        <v>0.73629999999999995</v>
      </c>
      <c r="J64" s="980">
        <v>0.73629999999999995</v>
      </c>
      <c r="K64" s="980">
        <v>0.73629999999999995</v>
      </c>
      <c r="L64" s="980">
        <v>0.73629999999999995</v>
      </c>
      <c r="M64" s="980">
        <v>0.73629999999999995</v>
      </c>
    </row>
    <row r="65" spans="1:13">
      <c r="A65" s="971">
        <v>7.2</v>
      </c>
      <c r="B65" s="980">
        <v>0.92220000000000002</v>
      </c>
      <c r="C65" s="980">
        <v>0.92220000000000002</v>
      </c>
      <c r="D65" s="980">
        <v>0.85850000000000004</v>
      </c>
      <c r="E65" s="980">
        <v>0.85850000000000004</v>
      </c>
      <c r="F65" s="980">
        <v>0.85850000000000004</v>
      </c>
      <c r="G65" s="980">
        <v>0.85850000000000004</v>
      </c>
      <c r="H65" s="980">
        <v>0.85850000000000004</v>
      </c>
      <c r="I65" s="980">
        <v>0.73350000000000004</v>
      </c>
      <c r="J65" s="980">
        <v>0.73350000000000004</v>
      </c>
      <c r="K65" s="980">
        <v>0.73350000000000004</v>
      </c>
      <c r="L65" s="980">
        <v>0.73350000000000004</v>
      </c>
      <c r="M65" s="980">
        <v>0.73350000000000004</v>
      </c>
    </row>
    <row r="66" spans="1:13">
      <c r="A66" s="971">
        <v>7.3</v>
      </c>
      <c r="B66" s="980">
        <v>0.92069999999999996</v>
      </c>
      <c r="C66" s="980">
        <v>0.92069999999999996</v>
      </c>
      <c r="D66" s="980">
        <v>0.85650000000000004</v>
      </c>
      <c r="E66" s="980">
        <v>0.85650000000000004</v>
      </c>
      <c r="F66" s="980">
        <v>0.85650000000000004</v>
      </c>
      <c r="G66" s="980">
        <v>0.85650000000000004</v>
      </c>
      <c r="H66" s="980">
        <v>0.85650000000000004</v>
      </c>
      <c r="I66" s="980">
        <v>0.73070000000000002</v>
      </c>
      <c r="J66" s="980">
        <v>0.73070000000000002</v>
      </c>
      <c r="K66" s="980">
        <v>0.73070000000000002</v>
      </c>
      <c r="L66" s="980">
        <v>0.73070000000000002</v>
      </c>
      <c r="M66" s="980">
        <v>0.73070000000000002</v>
      </c>
    </row>
    <row r="67" spans="1:13">
      <c r="A67" s="971">
        <v>7.4</v>
      </c>
      <c r="B67" s="980">
        <v>0.91930000000000001</v>
      </c>
      <c r="C67" s="980">
        <v>0.91930000000000001</v>
      </c>
      <c r="D67" s="980">
        <v>0.85450000000000004</v>
      </c>
      <c r="E67" s="980">
        <v>0.85450000000000004</v>
      </c>
      <c r="F67" s="980">
        <v>0.85450000000000004</v>
      </c>
      <c r="G67" s="980">
        <v>0.85450000000000004</v>
      </c>
      <c r="H67" s="980">
        <v>0.85450000000000004</v>
      </c>
      <c r="I67" s="980">
        <v>0.72799999999999998</v>
      </c>
      <c r="J67" s="980">
        <v>0.72799999999999998</v>
      </c>
      <c r="K67" s="980">
        <v>0.72799999999999998</v>
      </c>
      <c r="L67" s="980">
        <v>0.72799999999999998</v>
      </c>
      <c r="M67" s="980">
        <v>0.72799999999999998</v>
      </c>
    </row>
    <row r="68" spans="1:13">
      <c r="A68" s="971">
        <v>7.5</v>
      </c>
      <c r="B68" s="980">
        <v>0.91790000000000005</v>
      </c>
      <c r="C68" s="980">
        <v>0.91790000000000005</v>
      </c>
      <c r="D68" s="980">
        <v>0.85250000000000004</v>
      </c>
      <c r="E68" s="980">
        <v>0.85250000000000004</v>
      </c>
      <c r="F68" s="980">
        <v>0.85250000000000004</v>
      </c>
      <c r="G68" s="980">
        <v>0.85250000000000004</v>
      </c>
      <c r="H68" s="980">
        <v>0.85250000000000004</v>
      </c>
      <c r="I68" s="980">
        <v>0.72529999999999994</v>
      </c>
      <c r="J68" s="980">
        <v>0.72529999999999994</v>
      </c>
      <c r="K68" s="980">
        <v>0.72529999999999994</v>
      </c>
      <c r="L68" s="980">
        <v>0.72529999999999994</v>
      </c>
      <c r="M68" s="980">
        <v>0.72529999999999994</v>
      </c>
    </row>
    <row r="69" spans="1:13">
      <c r="A69" s="971">
        <v>7.6</v>
      </c>
      <c r="B69" s="980">
        <v>0.91649999999999998</v>
      </c>
      <c r="C69" s="980">
        <v>0.91649999999999998</v>
      </c>
      <c r="D69" s="980">
        <v>0.85050000000000003</v>
      </c>
      <c r="E69" s="980">
        <v>0.85050000000000003</v>
      </c>
      <c r="F69" s="980">
        <v>0.85050000000000003</v>
      </c>
      <c r="G69" s="980">
        <v>0.85050000000000003</v>
      </c>
      <c r="H69" s="980">
        <v>0.85050000000000003</v>
      </c>
      <c r="I69" s="980">
        <v>0.72260000000000002</v>
      </c>
      <c r="J69" s="980">
        <v>0.72260000000000002</v>
      </c>
      <c r="K69" s="980">
        <v>0.72260000000000002</v>
      </c>
      <c r="L69" s="980">
        <v>0.72260000000000002</v>
      </c>
      <c r="M69" s="980">
        <v>0.72260000000000002</v>
      </c>
    </row>
    <row r="70" spans="1:13">
      <c r="A70" s="971">
        <v>7.7</v>
      </c>
      <c r="B70" s="980">
        <v>0.91510000000000002</v>
      </c>
      <c r="C70" s="980">
        <v>0.91510000000000002</v>
      </c>
      <c r="D70" s="980">
        <v>0.84850000000000003</v>
      </c>
      <c r="E70" s="980">
        <v>0.84850000000000003</v>
      </c>
      <c r="F70" s="980">
        <v>0.84850000000000003</v>
      </c>
      <c r="G70" s="980">
        <v>0.84850000000000003</v>
      </c>
      <c r="H70" s="980">
        <v>0.84850000000000003</v>
      </c>
      <c r="I70" s="980">
        <v>0.72</v>
      </c>
      <c r="J70" s="980">
        <v>0.72</v>
      </c>
      <c r="K70" s="980">
        <v>0.72</v>
      </c>
      <c r="L70" s="980">
        <v>0.72</v>
      </c>
      <c r="M70" s="980">
        <v>0.72</v>
      </c>
    </row>
    <row r="71" spans="1:13">
      <c r="A71" s="971">
        <v>7.8</v>
      </c>
      <c r="B71" s="980">
        <v>0.91369999999999996</v>
      </c>
      <c r="C71" s="980">
        <v>0.91369999999999996</v>
      </c>
      <c r="D71" s="980">
        <v>0.84660000000000002</v>
      </c>
      <c r="E71" s="980">
        <v>0.84660000000000002</v>
      </c>
      <c r="F71" s="980">
        <v>0.84660000000000002</v>
      </c>
      <c r="G71" s="980">
        <v>0.84660000000000002</v>
      </c>
      <c r="H71" s="980">
        <v>0.84660000000000002</v>
      </c>
      <c r="I71" s="980">
        <v>0.71740000000000004</v>
      </c>
      <c r="J71" s="980">
        <v>0.71740000000000004</v>
      </c>
      <c r="K71" s="980">
        <v>0.71740000000000004</v>
      </c>
      <c r="L71" s="980">
        <v>0.71740000000000004</v>
      </c>
      <c r="M71" s="980">
        <v>0.71740000000000004</v>
      </c>
    </row>
    <row r="72" spans="1:13">
      <c r="A72" s="971">
        <v>7.9</v>
      </c>
      <c r="B72" s="980">
        <v>0.9123</v>
      </c>
      <c r="C72" s="980">
        <v>0.9123</v>
      </c>
      <c r="D72" s="980">
        <v>0.84470000000000001</v>
      </c>
      <c r="E72" s="980">
        <v>0.84470000000000001</v>
      </c>
      <c r="F72" s="980">
        <v>0.84470000000000001</v>
      </c>
      <c r="G72" s="980">
        <v>0.84470000000000001</v>
      </c>
      <c r="H72" s="980">
        <v>0.84470000000000001</v>
      </c>
      <c r="I72" s="980">
        <v>0.71479999999999999</v>
      </c>
      <c r="J72" s="980">
        <v>0.71479999999999999</v>
      </c>
      <c r="K72" s="980">
        <v>0.71479999999999999</v>
      </c>
      <c r="L72" s="980">
        <v>0.71479999999999999</v>
      </c>
      <c r="M72" s="980">
        <v>0.71479999999999999</v>
      </c>
    </row>
    <row r="73" spans="1:13">
      <c r="A73" s="971">
        <v>8</v>
      </c>
      <c r="B73" s="980">
        <v>0.91090000000000004</v>
      </c>
      <c r="C73" s="980">
        <v>0.91090000000000004</v>
      </c>
      <c r="D73" s="980">
        <v>0.84279999999999999</v>
      </c>
      <c r="E73" s="980">
        <v>0.84279999999999999</v>
      </c>
      <c r="F73" s="980">
        <v>0.84279999999999999</v>
      </c>
      <c r="G73" s="980">
        <v>0.84279999999999999</v>
      </c>
      <c r="H73" s="980">
        <v>0.84279999999999999</v>
      </c>
      <c r="I73" s="980">
        <v>0.71230000000000004</v>
      </c>
      <c r="J73" s="980">
        <v>0.71230000000000004</v>
      </c>
      <c r="K73" s="980">
        <v>0.71230000000000004</v>
      </c>
      <c r="L73" s="980">
        <v>0.71230000000000004</v>
      </c>
      <c r="M73" s="980">
        <v>0.71230000000000004</v>
      </c>
    </row>
    <row r="74" spans="1:13">
      <c r="A74" s="971">
        <v>8.1</v>
      </c>
      <c r="B74" s="980">
        <v>0.90959999999999996</v>
      </c>
      <c r="C74" s="980">
        <v>0.90959999999999996</v>
      </c>
      <c r="D74" s="980">
        <v>0.84089999999999998</v>
      </c>
      <c r="E74" s="980">
        <v>0.84089999999999998</v>
      </c>
      <c r="F74" s="980">
        <v>0.84089999999999998</v>
      </c>
      <c r="G74" s="980">
        <v>0.84089999999999998</v>
      </c>
      <c r="H74" s="980">
        <v>0.84089999999999998</v>
      </c>
      <c r="I74" s="980">
        <v>0.70979999999999999</v>
      </c>
      <c r="J74" s="980">
        <v>0.70979999999999999</v>
      </c>
      <c r="K74" s="980">
        <v>0.70979999999999999</v>
      </c>
      <c r="L74" s="980">
        <v>0.70979999999999999</v>
      </c>
      <c r="M74" s="980">
        <v>0.70979999999999999</v>
      </c>
    </row>
    <row r="75" spans="1:13">
      <c r="A75" s="971">
        <v>8.1999999999999993</v>
      </c>
      <c r="B75" s="980">
        <v>0.9083</v>
      </c>
      <c r="C75" s="980">
        <v>0.9083</v>
      </c>
      <c r="D75" s="980">
        <v>0.83899999999999997</v>
      </c>
      <c r="E75" s="980">
        <v>0.83899999999999997</v>
      </c>
      <c r="F75" s="980">
        <v>0.83899999999999997</v>
      </c>
      <c r="G75" s="980">
        <v>0.83899999999999997</v>
      </c>
      <c r="H75" s="980">
        <v>0.83899999999999997</v>
      </c>
      <c r="I75" s="980">
        <v>0.70730000000000004</v>
      </c>
      <c r="J75" s="980">
        <v>0.70730000000000004</v>
      </c>
      <c r="K75" s="980">
        <v>0.70730000000000004</v>
      </c>
      <c r="L75" s="980">
        <v>0.70730000000000004</v>
      </c>
      <c r="M75" s="980">
        <v>0.70730000000000004</v>
      </c>
    </row>
    <row r="76" spans="1:13">
      <c r="A76" s="971">
        <v>8.3000000000000007</v>
      </c>
      <c r="B76" s="980">
        <v>0.90700000000000003</v>
      </c>
      <c r="C76" s="980">
        <v>0.90700000000000003</v>
      </c>
      <c r="D76" s="980">
        <v>0.83720000000000006</v>
      </c>
      <c r="E76" s="980">
        <v>0.83720000000000006</v>
      </c>
      <c r="F76" s="980">
        <v>0.83720000000000006</v>
      </c>
      <c r="G76" s="980">
        <v>0.83720000000000006</v>
      </c>
      <c r="H76" s="980">
        <v>0.83720000000000006</v>
      </c>
      <c r="I76" s="980">
        <v>0.70489999999999997</v>
      </c>
      <c r="J76" s="980">
        <v>0.70489999999999997</v>
      </c>
      <c r="K76" s="980">
        <v>0.70489999999999997</v>
      </c>
      <c r="L76" s="980">
        <v>0.70489999999999997</v>
      </c>
      <c r="M76" s="980">
        <v>0.70489999999999997</v>
      </c>
    </row>
    <row r="77" spans="1:13">
      <c r="A77" s="971">
        <v>8.4</v>
      </c>
      <c r="B77" s="980">
        <v>0.90569999999999995</v>
      </c>
      <c r="C77" s="980">
        <v>0.90569999999999995</v>
      </c>
      <c r="D77" s="980">
        <v>0.83540000000000003</v>
      </c>
      <c r="E77" s="980">
        <v>0.83540000000000003</v>
      </c>
      <c r="F77" s="980">
        <v>0.83540000000000003</v>
      </c>
      <c r="G77" s="980">
        <v>0.83540000000000003</v>
      </c>
      <c r="H77" s="980">
        <v>0.83540000000000003</v>
      </c>
      <c r="I77" s="980">
        <v>0.70250000000000001</v>
      </c>
      <c r="J77" s="980">
        <v>0.70250000000000001</v>
      </c>
      <c r="K77" s="980">
        <v>0.70250000000000001</v>
      </c>
      <c r="L77" s="980">
        <v>0.70250000000000001</v>
      </c>
      <c r="M77" s="980">
        <v>0.70250000000000001</v>
      </c>
    </row>
    <row r="78" spans="1:13">
      <c r="A78" s="971">
        <v>8.5</v>
      </c>
      <c r="B78" s="980">
        <v>0.90439999999999998</v>
      </c>
      <c r="C78" s="980">
        <v>0.90439999999999998</v>
      </c>
      <c r="D78" s="980">
        <v>0.83360000000000001</v>
      </c>
      <c r="E78" s="980">
        <v>0.83360000000000001</v>
      </c>
      <c r="F78" s="980">
        <v>0.83360000000000001</v>
      </c>
      <c r="G78" s="980">
        <v>0.83360000000000001</v>
      </c>
      <c r="H78" s="980">
        <v>0.83360000000000001</v>
      </c>
      <c r="I78" s="980">
        <v>0.70009999999999994</v>
      </c>
      <c r="J78" s="980">
        <v>0.70009999999999994</v>
      </c>
      <c r="K78" s="980">
        <v>0.70009999999999994</v>
      </c>
      <c r="L78" s="980">
        <v>0.70009999999999994</v>
      </c>
      <c r="M78" s="980">
        <v>0.70009999999999994</v>
      </c>
    </row>
    <row r="79" spans="1:13">
      <c r="A79" s="971">
        <v>8.6</v>
      </c>
      <c r="B79" s="980">
        <v>0.90310000000000001</v>
      </c>
      <c r="C79" s="980">
        <v>0.90310000000000001</v>
      </c>
      <c r="D79" s="980">
        <v>0.83179999999999998</v>
      </c>
      <c r="E79" s="980">
        <v>0.83179999999999998</v>
      </c>
      <c r="F79" s="980">
        <v>0.83179999999999998</v>
      </c>
      <c r="G79" s="980">
        <v>0.83179999999999998</v>
      </c>
      <c r="H79" s="980">
        <v>0.83179999999999998</v>
      </c>
      <c r="I79" s="980">
        <v>0.69779999999999998</v>
      </c>
      <c r="J79" s="980">
        <v>0.69779999999999998</v>
      </c>
      <c r="K79" s="980">
        <v>0.69779999999999998</v>
      </c>
      <c r="L79" s="980">
        <v>0.69779999999999998</v>
      </c>
      <c r="M79" s="980">
        <v>0.69779999999999998</v>
      </c>
    </row>
    <row r="80" spans="1:13">
      <c r="A80" s="971">
        <v>8.6999999999999993</v>
      </c>
      <c r="B80" s="980">
        <v>0.90180000000000005</v>
      </c>
      <c r="C80" s="980">
        <v>0.90180000000000005</v>
      </c>
      <c r="D80" s="980">
        <v>0.83</v>
      </c>
      <c r="E80" s="980">
        <v>0.83</v>
      </c>
      <c r="F80" s="980">
        <v>0.83</v>
      </c>
      <c r="G80" s="980">
        <v>0.83</v>
      </c>
      <c r="H80" s="980">
        <v>0.83</v>
      </c>
      <c r="I80" s="980">
        <v>0.69550000000000001</v>
      </c>
      <c r="J80" s="980">
        <v>0.69550000000000001</v>
      </c>
      <c r="K80" s="980">
        <v>0.69550000000000001</v>
      </c>
      <c r="L80" s="980">
        <v>0.69550000000000001</v>
      </c>
      <c r="M80" s="980">
        <v>0.69550000000000001</v>
      </c>
    </row>
    <row r="81" spans="1:14">
      <c r="A81" s="971">
        <v>8.8000000000000007</v>
      </c>
      <c r="B81" s="980">
        <v>0.90059999999999996</v>
      </c>
      <c r="C81" s="980">
        <v>0.90059999999999996</v>
      </c>
      <c r="D81" s="980">
        <v>0.82830000000000004</v>
      </c>
      <c r="E81" s="980">
        <v>0.82830000000000004</v>
      </c>
      <c r="F81" s="980">
        <v>0.82830000000000004</v>
      </c>
      <c r="G81" s="980">
        <v>0.82830000000000004</v>
      </c>
      <c r="H81" s="980">
        <v>0.82830000000000004</v>
      </c>
      <c r="I81" s="980">
        <v>0.69320000000000004</v>
      </c>
      <c r="J81" s="980">
        <v>0.69320000000000004</v>
      </c>
      <c r="K81" s="980">
        <v>0.69320000000000004</v>
      </c>
      <c r="L81" s="980">
        <v>0.69320000000000004</v>
      </c>
      <c r="M81" s="980">
        <v>0.69320000000000004</v>
      </c>
    </row>
    <row r="82" spans="1:14">
      <c r="A82" s="971">
        <v>8.9</v>
      </c>
      <c r="B82" s="980">
        <v>0.89939999999999998</v>
      </c>
      <c r="C82" s="980">
        <v>0.89939999999999998</v>
      </c>
      <c r="D82" s="980">
        <v>0.8266</v>
      </c>
      <c r="E82" s="980">
        <v>0.8266</v>
      </c>
      <c r="F82" s="980">
        <v>0.8266</v>
      </c>
      <c r="G82" s="980">
        <v>0.8266</v>
      </c>
      <c r="H82" s="980">
        <v>0.8266</v>
      </c>
      <c r="I82" s="980">
        <v>0.69099999999999995</v>
      </c>
      <c r="J82" s="980">
        <v>0.69099999999999995</v>
      </c>
      <c r="K82" s="980">
        <v>0.69099999999999995</v>
      </c>
      <c r="L82" s="980">
        <v>0.69099999999999995</v>
      </c>
      <c r="M82" s="980">
        <v>0.69099999999999995</v>
      </c>
    </row>
    <row r="83" spans="1:14">
      <c r="A83" s="971">
        <v>9</v>
      </c>
      <c r="B83" s="980">
        <v>0.8982</v>
      </c>
      <c r="C83" s="980">
        <v>0.8982</v>
      </c>
      <c r="D83" s="980">
        <v>0.82489999999999997</v>
      </c>
      <c r="E83" s="980">
        <v>0.82489999999999997</v>
      </c>
      <c r="F83" s="980">
        <v>0.82489999999999997</v>
      </c>
      <c r="G83" s="980">
        <v>0.82489999999999997</v>
      </c>
      <c r="H83" s="980">
        <v>0.82489999999999997</v>
      </c>
      <c r="I83" s="980">
        <v>0.68879999999999997</v>
      </c>
      <c r="J83" s="980">
        <v>0.68879999999999997</v>
      </c>
      <c r="K83" s="980">
        <v>0.68879999999999997</v>
      </c>
      <c r="L83" s="980">
        <v>0.68879999999999997</v>
      </c>
      <c r="M83" s="980">
        <v>0.68879999999999997</v>
      </c>
    </row>
    <row r="84" spans="1:14">
      <c r="A84" s="971">
        <v>9.1</v>
      </c>
      <c r="B84" s="980">
        <v>0.89700000000000002</v>
      </c>
      <c r="C84" s="980">
        <v>0.89700000000000002</v>
      </c>
      <c r="D84" s="980">
        <v>0.82320000000000004</v>
      </c>
      <c r="E84" s="980">
        <v>0.82320000000000004</v>
      </c>
      <c r="F84" s="980">
        <v>0.82320000000000004</v>
      </c>
      <c r="G84" s="980">
        <v>0.82320000000000004</v>
      </c>
      <c r="H84" s="980">
        <v>0.82320000000000004</v>
      </c>
      <c r="I84" s="980">
        <v>0.68659999999999999</v>
      </c>
      <c r="J84" s="980">
        <v>0.68659999999999999</v>
      </c>
      <c r="K84" s="980">
        <v>0.68659999999999999</v>
      </c>
      <c r="L84" s="980">
        <v>0.68659999999999999</v>
      </c>
      <c r="M84" s="980">
        <v>0.68659999999999999</v>
      </c>
    </row>
    <row r="85" spans="1:14">
      <c r="A85" s="971">
        <v>9.1999999999999993</v>
      </c>
      <c r="B85" s="980">
        <v>0.89580000000000004</v>
      </c>
      <c r="C85" s="980">
        <v>0.89580000000000004</v>
      </c>
      <c r="D85" s="980">
        <v>0.82150000000000001</v>
      </c>
      <c r="E85" s="980">
        <v>0.82150000000000001</v>
      </c>
      <c r="F85" s="980">
        <v>0.82150000000000001</v>
      </c>
      <c r="G85" s="980">
        <v>0.82150000000000001</v>
      </c>
      <c r="H85" s="980">
        <v>0.82150000000000001</v>
      </c>
      <c r="I85" s="980">
        <v>0.6845</v>
      </c>
      <c r="J85" s="980">
        <v>0.6845</v>
      </c>
      <c r="K85" s="980">
        <v>0.6845</v>
      </c>
      <c r="L85" s="980">
        <v>0.6845</v>
      </c>
      <c r="M85" s="980">
        <v>0.6845</v>
      </c>
    </row>
    <row r="86" spans="1:14">
      <c r="A86" s="971">
        <v>9.3000000000000007</v>
      </c>
      <c r="B86" s="980">
        <v>0.89459999999999995</v>
      </c>
      <c r="C86" s="980">
        <v>0.89459999999999995</v>
      </c>
      <c r="D86" s="980">
        <v>0.81989999999999996</v>
      </c>
      <c r="E86" s="980">
        <v>0.81989999999999996</v>
      </c>
      <c r="F86" s="980">
        <v>0.81989999999999996</v>
      </c>
      <c r="G86" s="980">
        <v>0.81989999999999996</v>
      </c>
      <c r="H86" s="980">
        <v>0.81989999999999996</v>
      </c>
      <c r="I86" s="980">
        <v>0.68240000000000001</v>
      </c>
      <c r="J86" s="980">
        <v>0.68240000000000001</v>
      </c>
      <c r="K86" s="980">
        <v>0.68240000000000001</v>
      </c>
      <c r="L86" s="980">
        <v>0.68240000000000001</v>
      </c>
      <c r="M86" s="980">
        <v>0.68240000000000001</v>
      </c>
    </row>
    <row r="87" spans="1:14">
      <c r="A87" s="971">
        <v>9.4</v>
      </c>
      <c r="B87" s="980">
        <v>0.89339999999999997</v>
      </c>
      <c r="C87" s="980">
        <v>0.89339999999999997</v>
      </c>
      <c r="D87" s="980">
        <v>0.81830000000000003</v>
      </c>
      <c r="E87" s="980">
        <v>0.81830000000000003</v>
      </c>
      <c r="F87" s="980">
        <v>0.81830000000000003</v>
      </c>
      <c r="G87" s="980">
        <v>0.81830000000000003</v>
      </c>
      <c r="H87" s="980">
        <v>0.81830000000000003</v>
      </c>
      <c r="I87" s="980">
        <v>0.68030000000000002</v>
      </c>
      <c r="J87" s="980">
        <v>0.68030000000000002</v>
      </c>
      <c r="K87" s="980">
        <v>0.68030000000000002</v>
      </c>
      <c r="L87" s="980">
        <v>0.68030000000000002</v>
      </c>
      <c r="M87" s="980">
        <v>0.68030000000000002</v>
      </c>
    </row>
    <row r="88" spans="1:14">
      <c r="A88" s="971">
        <v>9.5</v>
      </c>
      <c r="B88" s="980">
        <v>0.89229999999999998</v>
      </c>
      <c r="C88" s="980">
        <v>0.89229999999999998</v>
      </c>
      <c r="D88" s="980">
        <v>0.81669999999999998</v>
      </c>
      <c r="E88" s="980">
        <v>0.81669999999999998</v>
      </c>
      <c r="F88" s="980">
        <v>0.81669999999999998</v>
      </c>
      <c r="G88" s="980">
        <v>0.81669999999999998</v>
      </c>
      <c r="H88" s="980">
        <v>0.81669999999999998</v>
      </c>
      <c r="I88" s="980">
        <v>0.67830000000000001</v>
      </c>
      <c r="J88" s="980">
        <v>0.67830000000000001</v>
      </c>
      <c r="K88" s="980">
        <v>0.67830000000000001</v>
      </c>
      <c r="L88" s="980">
        <v>0.67830000000000001</v>
      </c>
      <c r="M88" s="980">
        <v>0.67830000000000001</v>
      </c>
    </row>
    <row r="89" spans="1:14">
      <c r="A89" s="971">
        <v>9.6</v>
      </c>
      <c r="B89" s="980">
        <v>0.89119999999999999</v>
      </c>
      <c r="C89" s="980">
        <v>0.89119999999999999</v>
      </c>
      <c r="D89" s="980">
        <v>0.81510000000000005</v>
      </c>
      <c r="E89" s="980">
        <v>0.81510000000000005</v>
      </c>
      <c r="F89" s="980">
        <v>0.81510000000000005</v>
      </c>
      <c r="G89" s="980">
        <v>0.81510000000000005</v>
      </c>
      <c r="H89" s="980">
        <v>0.81510000000000005</v>
      </c>
      <c r="I89" s="980">
        <v>0.67630000000000001</v>
      </c>
      <c r="J89" s="980">
        <v>0.67630000000000001</v>
      </c>
      <c r="K89" s="980">
        <v>0.67630000000000001</v>
      </c>
      <c r="L89" s="980">
        <v>0.67630000000000001</v>
      </c>
      <c r="M89" s="980">
        <v>0.67630000000000001</v>
      </c>
    </row>
    <row r="90" spans="1:14">
      <c r="A90" s="971">
        <v>9.6999999999999993</v>
      </c>
      <c r="B90" s="980">
        <v>0.8901</v>
      </c>
      <c r="C90" s="980">
        <v>0.8901</v>
      </c>
      <c r="D90" s="980">
        <v>0.8135</v>
      </c>
      <c r="E90" s="980">
        <v>0.8135</v>
      </c>
      <c r="F90" s="980">
        <v>0.8135</v>
      </c>
      <c r="G90" s="980">
        <v>0.8135</v>
      </c>
      <c r="H90" s="980">
        <v>0.8135</v>
      </c>
      <c r="I90" s="980">
        <v>0.67430000000000001</v>
      </c>
      <c r="J90" s="980">
        <v>0.67430000000000001</v>
      </c>
      <c r="K90" s="980">
        <v>0.67430000000000001</v>
      </c>
      <c r="L90" s="980">
        <v>0.67430000000000001</v>
      </c>
      <c r="M90" s="980">
        <v>0.67430000000000001</v>
      </c>
    </row>
    <row r="91" spans="1:14">
      <c r="A91" s="971">
        <v>9.8000000000000007</v>
      </c>
      <c r="B91" s="980">
        <v>0.88900000000000001</v>
      </c>
      <c r="C91" s="980">
        <v>0.88900000000000001</v>
      </c>
      <c r="D91" s="980">
        <v>0.81200000000000006</v>
      </c>
      <c r="E91" s="980">
        <v>0.81200000000000006</v>
      </c>
      <c r="F91" s="980">
        <v>0.81200000000000006</v>
      </c>
      <c r="G91" s="980">
        <v>0.81200000000000006</v>
      </c>
      <c r="H91" s="980">
        <v>0.81200000000000006</v>
      </c>
      <c r="I91" s="980">
        <v>0.6724</v>
      </c>
      <c r="J91" s="980">
        <v>0.6724</v>
      </c>
      <c r="K91" s="980">
        <v>0.6724</v>
      </c>
      <c r="L91" s="980">
        <v>0.6724</v>
      </c>
      <c r="M91" s="980">
        <v>0.6724</v>
      </c>
    </row>
    <row r="92" spans="1:14">
      <c r="A92" s="988">
        <v>9.9</v>
      </c>
      <c r="B92" s="980">
        <v>0.88790000000000002</v>
      </c>
      <c r="C92" s="980">
        <v>0.88790000000000002</v>
      </c>
      <c r="D92" s="980">
        <v>0.8105</v>
      </c>
      <c r="E92" s="980">
        <v>0.8105</v>
      </c>
      <c r="F92" s="980">
        <v>0.8105</v>
      </c>
      <c r="G92" s="980">
        <v>0.8105</v>
      </c>
      <c r="H92" s="980">
        <v>0.8105</v>
      </c>
      <c r="I92" s="980">
        <v>0.67049999999999998</v>
      </c>
      <c r="J92" s="980">
        <v>0.67049999999999998</v>
      </c>
      <c r="K92" s="980">
        <v>0.67049999999999998</v>
      </c>
      <c r="L92" s="980">
        <v>0.67049999999999998</v>
      </c>
      <c r="M92" s="980">
        <v>0.67049999999999998</v>
      </c>
    </row>
    <row r="93" spans="1:14" ht="14.25">
      <c r="A93" s="3339" t="s">
        <v>2771</v>
      </c>
      <c r="B93" s="980"/>
      <c r="C93" s="980"/>
      <c r="D93" s="980"/>
      <c r="E93" s="980"/>
      <c r="F93" s="980"/>
      <c r="G93" s="980"/>
      <c r="H93" s="980"/>
      <c r="I93" s="980"/>
      <c r="J93" s="980"/>
      <c r="K93" s="980"/>
      <c r="L93" s="980"/>
      <c r="M93" s="980"/>
    </row>
    <row r="94" spans="1:14">
      <c r="A94" s="988" t="s">
        <v>1550</v>
      </c>
      <c r="B94" s="980" t="s">
        <v>990</v>
      </c>
      <c r="C94" s="980" t="s">
        <v>1031</v>
      </c>
      <c r="D94" s="980" t="s">
        <v>1145</v>
      </c>
      <c r="E94" s="980" t="s">
        <v>853</v>
      </c>
      <c r="F94" s="980" t="s">
        <v>1152</v>
      </c>
      <c r="G94" s="980" t="s">
        <v>1153</v>
      </c>
      <c r="H94" s="980" t="s">
        <v>1154</v>
      </c>
      <c r="I94" s="980" t="s">
        <v>1155</v>
      </c>
      <c r="J94" s="980" t="s">
        <v>1156</v>
      </c>
      <c r="K94" s="980" t="s">
        <v>1157</v>
      </c>
      <c r="L94" s="980" t="s">
        <v>2757</v>
      </c>
      <c r="M94" s="980" t="s">
        <v>2758</v>
      </c>
      <c r="N94" s="970" t="e">
        <f>SUMPRODUCT((A95:A184=ROUNDDOWN([2]基准地价修正!G3,1))*(B94:M94=[2]基准地价修正!G2)*(B95:M184))</f>
        <v>#REF!</v>
      </c>
    </row>
    <row r="95" spans="1:14">
      <c r="A95" s="988">
        <v>1</v>
      </c>
      <c r="B95" s="980">
        <v>1.2501</v>
      </c>
      <c r="C95" s="980">
        <v>1.2501</v>
      </c>
      <c r="D95" s="980">
        <v>1.2158</v>
      </c>
      <c r="E95" s="980">
        <v>1.2158</v>
      </c>
      <c r="F95" s="980">
        <v>1.2158</v>
      </c>
      <c r="G95" s="980">
        <v>1.2158</v>
      </c>
      <c r="H95" s="980">
        <v>1.2158</v>
      </c>
      <c r="I95" s="980">
        <v>1.2302</v>
      </c>
      <c r="J95" s="980">
        <v>1.2302</v>
      </c>
      <c r="K95" s="980">
        <v>1.2302</v>
      </c>
      <c r="L95" s="980">
        <v>1.2302</v>
      </c>
      <c r="M95" s="980">
        <v>1.2302</v>
      </c>
    </row>
    <row r="96" spans="1:14">
      <c r="A96" s="988">
        <v>1.1000000000000001</v>
      </c>
      <c r="B96" s="980">
        <v>1.2310000000000001</v>
      </c>
      <c r="C96" s="980">
        <v>1.2310000000000001</v>
      </c>
      <c r="D96" s="980">
        <v>1.1947000000000001</v>
      </c>
      <c r="E96" s="980">
        <v>1.1947000000000001</v>
      </c>
      <c r="F96" s="980">
        <v>1.1947000000000001</v>
      </c>
      <c r="G96" s="980">
        <v>1.1947000000000001</v>
      </c>
      <c r="H96" s="980">
        <v>1.1947000000000001</v>
      </c>
      <c r="I96" s="980">
        <v>1.2008000000000001</v>
      </c>
      <c r="J96" s="980">
        <v>1.2008000000000001</v>
      </c>
      <c r="K96" s="980">
        <v>1.2008000000000001</v>
      </c>
      <c r="L96" s="980">
        <v>1.2008000000000001</v>
      </c>
      <c r="M96" s="980">
        <v>1.2008000000000001</v>
      </c>
    </row>
    <row r="97" spans="1:14">
      <c r="A97" s="988">
        <v>1.2</v>
      </c>
      <c r="B97" s="980">
        <v>1.2130000000000001</v>
      </c>
      <c r="C97" s="980">
        <v>1.2130000000000001</v>
      </c>
      <c r="D97" s="980">
        <v>1.1748000000000001</v>
      </c>
      <c r="E97" s="980">
        <v>1.1748000000000001</v>
      </c>
      <c r="F97" s="980">
        <v>1.1748000000000001</v>
      </c>
      <c r="G97" s="980">
        <v>1.1748000000000001</v>
      </c>
      <c r="H97" s="980">
        <v>1.1748000000000001</v>
      </c>
      <c r="I97" s="980">
        <v>1.173</v>
      </c>
      <c r="J97" s="980">
        <v>1.173</v>
      </c>
      <c r="K97" s="980">
        <v>1.173</v>
      </c>
      <c r="L97" s="980">
        <v>1.173</v>
      </c>
      <c r="M97" s="980">
        <v>1.173</v>
      </c>
    </row>
    <row r="98" spans="1:14">
      <c r="A98" s="988">
        <v>1.3</v>
      </c>
      <c r="B98" s="980">
        <v>1.196</v>
      </c>
      <c r="C98" s="980">
        <v>1.196</v>
      </c>
      <c r="D98" s="980">
        <v>1.1559999999999999</v>
      </c>
      <c r="E98" s="980">
        <v>1.1559999999999999</v>
      </c>
      <c r="F98" s="980">
        <v>1.1559999999999999</v>
      </c>
      <c r="G98" s="980">
        <v>1.1559999999999999</v>
      </c>
      <c r="H98" s="980">
        <v>1.1559999999999999</v>
      </c>
      <c r="I98" s="980">
        <v>1.1468</v>
      </c>
      <c r="J98" s="980">
        <v>1.1468</v>
      </c>
      <c r="K98" s="980">
        <v>1.1468</v>
      </c>
      <c r="L98" s="980">
        <v>1.1468</v>
      </c>
      <c r="M98" s="980">
        <v>1.1468</v>
      </c>
    </row>
    <row r="99" spans="1:14">
      <c r="A99" s="988">
        <v>1.4</v>
      </c>
      <c r="B99" s="980">
        <v>1.18</v>
      </c>
      <c r="C99" s="980">
        <v>1.18</v>
      </c>
      <c r="D99" s="980">
        <v>1.1382000000000001</v>
      </c>
      <c r="E99" s="980">
        <v>1.1382000000000001</v>
      </c>
      <c r="F99" s="980">
        <v>1.1382000000000001</v>
      </c>
      <c r="G99" s="980">
        <v>1.1382000000000001</v>
      </c>
      <c r="H99" s="980">
        <v>1.1382000000000001</v>
      </c>
      <c r="I99" s="980">
        <v>1.1220000000000001</v>
      </c>
      <c r="J99" s="980">
        <v>1.1220000000000001</v>
      </c>
      <c r="K99" s="980">
        <v>1.1220000000000001</v>
      </c>
      <c r="L99" s="980">
        <v>1.1220000000000001</v>
      </c>
      <c r="M99" s="980">
        <v>1.1220000000000001</v>
      </c>
    </row>
    <row r="100" spans="1:14">
      <c r="A100" s="988">
        <v>1.5</v>
      </c>
      <c r="B100" s="980">
        <v>1.1649</v>
      </c>
      <c r="C100" s="980">
        <v>1.1649</v>
      </c>
      <c r="D100" s="980">
        <v>1.1214999999999999</v>
      </c>
      <c r="E100" s="980">
        <v>1.1214999999999999</v>
      </c>
      <c r="F100" s="980">
        <v>1.1214999999999999</v>
      </c>
      <c r="G100" s="980">
        <v>1.1214999999999999</v>
      </c>
      <c r="H100" s="980">
        <v>1.1214999999999999</v>
      </c>
      <c r="I100" s="980">
        <v>1.0985</v>
      </c>
      <c r="J100" s="980">
        <v>1.0985</v>
      </c>
      <c r="K100" s="980">
        <v>1.0985</v>
      </c>
      <c r="L100" s="980">
        <v>1.0985</v>
      </c>
      <c r="M100" s="980">
        <v>1.0985</v>
      </c>
    </row>
    <row r="101" spans="1:14">
      <c r="A101" s="988">
        <v>1.6</v>
      </c>
      <c r="B101" s="980">
        <v>1.1507000000000001</v>
      </c>
      <c r="C101" s="980">
        <v>1.1507000000000001</v>
      </c>
      <c r="D101" s="980">
        <v>1.1056999999999999</v>
      </c>
      <c r="E101" s="980">
        <v>1.1056999999999999</v>
      </c>
      <c r="F101" s="980">
        <v>1.1056999999999999</v>
      </c>
      <c r="G101" s="980">
        <v>1.1056999999999999</v>
      </c>
      <c r="H101" s="980">
        <v>1.1056999999999999</v>
      </c>
      <c r="I101" s="980">
        <v>1.0764</v>
      </c>
      <c r="J101" s="980">
        <v>1.0764</v>
      </c>
      <c r="K101" s="980">
        <v>1.0764</v>
      </c>
      <c r="L101" s="980">
        <v>1.0764</v>
      </c>
      <c r="M101" s="980">
        <v>1.0764</v>
      </c>
    </row>
    <row r="102" spans="1:14">
      <c r="A102" s="988">
        <v>1.7</v>
      </c>
      <c r="B102" s="980">
        <v>1.1373</v>
      </c>
      <c r="C102" s="980">
        <v>1.1373</v>
      </c>
      <c r="D102" s="980">
        <v>1.0908</v>
      </c>
      <c r="E102" s="980">
        <v>1.0908</v>
      </c>
      <c r="F102" s="980">
        <v>1.0908</v>
      </c>
      <c r="G102" s="980">
        <v>1.0908</v>
      </c>
      <c r="H102" s="980">
        <v>1.0908</v>
      </c>
      <c r="I102" s="980">
        <v>1.0556000000000001</v>
      </c>
      <c r="J102" s="980">
        <v>1.0556000000000001</v>
      </c>
      <c r="K102" s="980">
        <v>1.0556000000000001</v>
      </c>
      <c r="L102" s="980">
        <v>1.0556000000000001</v>
      </c>
      <c r="M102" s="980">
        <v>1.0556000000000001</v>
      </c>
    </row>
    <row r="103" spans="1:14">
      <c r="A103" s="988">
        <v>1.8</v>
      </c>
      <c r="B103" s="980">
        <v>1.1247</v>
      </c>
      <c r="C103" s="980">
        <v>1.1247</v>
      </c>
      <c r="D103" s="980">
        <v>1.0768</v>
      </c>
      <c r="E103" s="980">
        <v>1.0768</v>
      </c>
      <c r="F103" s="980">
        <v>1.0768</v>
      </c>
      <c r="G103" s="980">
        <v>1.0768</v>
      </c>
      <c r="H103" s="980">
        <v>1.0768</v>
      </c>
      <c r="I103" s="980">
        <v>1.0359</v>
      </c>
      <c r="J103" s="980">
        <v>1.0359</v>
      </c>
      <c r="K103" s="980">
        <v>1.0359</v>
      </c>
      <c r="L103" s="980">
        <v>1.0359</v>
      </c>
      <c r="M103" s="980">
        <v>1.0359</v>
      </c>
    </row>
    <row r="104" spans="1:14" ht="14.25">
      <c r="A104" s="971">
        <v>1.9</v>
      </c>
      <c r="B104" s="972">
        <v>1.1128</v>
      </c>
      <c r="C104" s="972">
        <v>1.1128</v>
      </c>
      <c r="D104" s="972">
        <v>1.0637000000000001</v>
      </c>
      <c r="E104" s="972">
        <v>1.0637000000000001</v>
      </c>
      <c r="F104" s="972">
        <v>1.0637000000000001</v>
      </c>
      <c r="G104" s="972">
        <v>1.0637000000000001</v>
      </c>
      <c r="H104" s="973">
        <v>1.0637000000000001</v>
      </c>
      <c r="I104" s="973">
        <v>1.0174000000000001</v>
      </c>
      <c r="J104" s="974">
        <v>1.0174000000000001</v>
      </c>
      <c r="K104" s="974">
        <v>1.0174000000000001</v>
      </c>
      <c r="L104" s="974">
        <v>1.0174000000000001</v>
      </c>
      <c r="M104" s="974">
        <v>1.0174000000000001</v>
      </c>
      <c r="N104" s="969"/>
    </row>
    <row r="105" spans="1:14">
      <c r="A105" s="971">
        <v>2</v>
      </c>
      <c r="B105" s="980">
        <v>1.1016999999999999</v>
      </c>
      <c r="C105" s="980">
        <v>1.1016999999999999</v>
      </c>
      <c r="D105" s="980">
        <v>1.0512999999999999</v>
      </c>
      <c r="E105" s="980">
        <v>1.0512999999999999</v>
      </c>
      <c r="F105" s="980">
        <v>1.0512999999999999</v>
      </c>
      <c r="G105" s="980">
        <v>1.0512999999999999</v>
      </c>
      <c r="H105" s="980">
        <v>1.0512999999999999</v>
      </c>
      <c r="I105" s="980">
        <v>1</v>
      </c>
      <c r="J105" s="980">
        <v>1</v>
      </c>
      <c r="K105" s="980">
        <v>1</v>
      </c>
      <c r="L105" s="980">
        <v>1</v>
      </c>
      <c r="M105" s="980">
        <v>1</v>
      </c>
    </row>
    <row r="106" spans="1:14">
      <c r="A106" s="971">
        <v>2.1</v>
      </c>
      <c r="B106" s="980">
        <v>1.0912999999999999</v>
      </c>
      <c r="C106" s="980">
        <v>1.0912999999999999</v>
      </c>
      <c r="D106" s="980">
        <v>1.0397000000000001</v>
      </c>
      <c r="E106" s="980">
        <v>1.0397000000000001</v>
      </c>
      <c r="F106" s="980">
        <v>1.0397000000000001</v>
      </c>
      <c r="G106" s="980">
        <v>1.0397000000000001</v>
      </c>
      <c r="H106" s="980">
        <v>1.0397000000000001</v>
      </c>
      <c r="I106" s="980">
        <v>0.98360000000000003</v>
      </c>
      <c r="J106" s="980">
        <v>0.98360000000000003</v>
      </c>
      <c r="K106" s="980">
        <v>0.98360000000000003</v>
      </c>
      <c r="L106" s="980">
        <v>0.98360000000000003</v>
      </c>
      <c r="M106" s="980">
        <v>0.98360000000000003</v>
      </c>
    </row>
    <row r="107" spans="1:14">
      <c r="A107" s="971">
        <v>2.2000000000000002</v>
      </c>
      <c r="B107" s="980">
        <v>1.0814999999999999</v>
      </c>
      <c r="C107" s="980">
        <v>1.0814999999999999</v>
      </c>
      <c r="D107" s="980">
        <v>1.0287999999999999</v>
      </c>
      <c r="E107" s="980">
        <v>1.0287999999999999</v>
      </c>
      <c r="F107" s="980">
        <v>1.0287999999999999</v>
      </c>
      <c r="G107" s="980">
        <v>1.0287999999999999</v>
      </c>
      <c r="H107" s="980">
        <v>1.0287999999999999</v>
      </c>
      <c r="I107" s="980">
        <v>0.96819999999999995</v>
      </c>
      <c r="J107" s="980">
        <v>0.96819999999999995</v>
      </c>
      <c r="K107" s="980">
        <v>0.96819999999999995</v>
      </c>
      <c r="L107" s="980">
        <v>0.96819999999999995</v>
      </c>
      <c r="M107" s="980">
        <v>0.96819999999999995</v>
      </c>
    </row>
    <row r="108" spans="1:14">
      <c r="A108" s="971">
        <v>2.2999999999999998</v>
      </c>
      <c r="B108" s="980">
        <v>1.0724</v>
      </c>
      <c r="C108" s="980">
        <v>1.0724</v>
      </c>
      <c r="D108" s="980">
        <v>1.0185999999999999</v>
      </c>
      <c r="E108" s="980">
        <v>1.0185999999999999</v>
      </c>
      <c r="F108" s="980">
        <v>1.0185999999999999</v>
      </c>
      <c r="G108" s="980">
        <v>1.0185999999999999</v>
      </c>
      <c r="H108" s="980">
        <v>1.0185999999999999</v>
      </c>
      <c r="I108" s="980">
        <v>0.95369999999999999</v>
      </c>
      <c r="J108" s="980">
        <v>0.95369999999999999</v>
      </c>
      <c r="K108" s="980">
        <v>0.95369999999999999</v>
      </c>
      <c r="L108" s="980">
        <v>0.95369999999999999</v>
      </c>
      <c r="M108" s="980">
        <v>0.95369999999999999</v>
      </c>
    </row>
    <row r="109" spans="1:14">
      <c r="A109" s="971">
        <v>2.4</v>
      </c>
      <c r="B109" s="980">
        <v>1.0638000000000001</v>
      </c>
      <c r="C109" s="980">
        <v>1.0638000000000001</v>
      </c>
      <c r="D109" s="980">
        <v>1.0089999999999999</v>
      </c>
      <c r="E109" s="980">
        <v>1.0089999999999999</v>
      </c>
      <c r="F109" s="980">
        <v>1.0089999999999999</v>
      </c>
      <c r="G109" s="980">
        <v>1.0089999999999999</v>
      </c>
      <c r="H109" s="980">
        <v>1.0089999999999999</v>
      </c>
      <c r="I109" s="980">
        <v>0.94010000000000005</v>
      </c>
      <c r="J109" s="980">
        <v>0.94010000000000005</v>
      </c>
      <c r="K109" s="980">
        <v>0.94010000000000005</v>
      </c>
      <c r="L109" s="980">
        <v>0.94010000000000005</v>
      </c>
      <c r="M109" s="980">
        <v>0.94010000000000005</v>
      </c>
    </row>
    <row r="110" spans="1:14">
      <c r="A110" s="971">
        <v>2.5</v>
      </c>
      <c r="B110" s="980">
        <v>1.0558000000000001</v>
      </c>
      <c r="C110" s="980">
        <v>1.0558000000000001</v>
      </c>
      <c r="D110" s="980">
        <v>1</v>
      </c>
      <c r="E110" s="980">
        <v>1</v>
      </c>
      <c r="F110" s="980">
        <v>1</v>
      </c>
      <c r="G110" s="980">
        <v>1</v>
      </c>
      <c r="H110" s="980">
        <v>1</v>
      </c>
      <c r="I110" s="980">
        <v>0.9274</v>
      </c>
      <c r="J110" s="980">
        <v>0.9274</v>
      </c>
      <c r="K110" s="980">
        <v>0.9274</v>
      </c>
      <c r="L110" s="980">
        <v>0.9274</v>
      </c>
      <c r="M110" s="980">
        <v>0.9274</v>
      </c>
    </row>
    <row r="111" spans="1:14">
      <c r="A111" s="971">
        <v>2.6</v>
      </c>
      <c r="B111" s="980">
        <v>1.0483</v>
      </c>
      <c r="C111" s="980">
        <v>1.0483</v>
      </c>
      <c r="D111" s="980">
        <v>0.99160000000000004</v>
      </c>
      <c r="E111" s="980">
        <v>0.99160000000000004</v>
      </c>
      <c r="F111" s="980">
        <v>0.99160000000000004</v>
      </c>
      <c r="G111" s="980">
        <v>0.99160000000000004</v>
      </c>
      <c r="H111" s="980">
        <v>0.99160000000000004</v>
      </c>
      <c r="I111" s="980">
        <v>0.91539999999999999</v>
      </c>
      <c r="J111" s="980">
        <v>0.91539999999999999</v>
      </c>
      <c r="K111" s="980">
        <v>0.91539999999999999</v>
      </c>
      <c r="L111" s="980">
        <v>0.91539999999999999</v>
      </c>
      <c r="M111" s="980">
        <v>0.91539999999999999</v>
      </c>
    </row>
    <row r="112" spans="1:14">
      <c r="A112" s="971">
        <v>2.7</v>
      </c>
      <c r="B112" s="980">
        <v>1.0412999999999999</v>
      </c>
      <c r="C112" s="980">
        <v>1.0412999999999999</v>
      </c>
      <c r="D112" s="980">
        <v>0.98370000000000002</v>
      </c>
      <c r="E112" s="980">
        <v>0.98370000000000002</v>
      </c>
      <c r="F112" s="980">
        <v>0.98370000000000002</v>
      </c>
      <c r="G112" s="980">
        <v>0.98370000000000002</v>
      </c>
      <c r="H112" s="980">
        <v>0.98370000000000002</v>
      </c>
      <c r="I112" s="980">
        <v>0.90429999999999999</v>
      </c>
      <c r="J112" s="980">
        <v>0.90429999999999999</v>
      </c>
      <c r="K112" s="980">
        <v>0.90429999999999999</v>
      </c>
      <c r="L112" s="980">
        <v>0.90429999999999999</v>
      </c>
      <c r="M112" s="980">
        <v>0.90429999999999999</v>
      </c>
    </row>
    <row r="113" spans="1:13">
      <c r="A113" s="971">
        <v>2.8</v>
      </c>
      <c r="B113" s="980">
        <v>1.0347999999999999</v>
      </c>
      <c r="C113" s="980">
        <v>1.0347999999999999</v>
      </c>
      <c r="D113" s="980">
        <v>0.97640000000000005</v>
      </c>
      <c r="E113" s="980">
        <v>0.97640000000000005</v>
      </c>
      <c r="F113" s="980">
        <v>0.97640000000000005</v>
      </c>
      <c r="G113" s="980">
        <v>0.97640000000000005</v>
      </c>
      <c r="H113" s="980">
        <v>0.97640000000000005</v>
      </c>
      <c r="I113" s="980">
        <v>0.89370000000000005</v>
      </c>
      <c r="J113" s="980">
        <v>0.89370000000000005</v>
      </c>
      <c r="K113" s="980">
        <v>0.89370000000000005</v>
      </c>
      <c r="L113" s="980">
        <v>0.89370000000000005</v>
      </c>
      <c r="M113" s="980">
        <v>0.89370000000000005</v>
      </c>
    </row>
    <row r="114" spans="1:13">
      <c r="A114" s="971">
        <v>2.9</v>
      </c>
      <c r="B114" s="980">
        <v>1.0286999999999999</v>
      </c>
      <c r="C114" s="980">
        <v>1.0286999999999999</v>
      </c>
      <c r="D114" s="980">
        <v>0.96950000000000003</v>
      </c>
      <c r="E114" s="980">
        <v>0.96950000000000003</v>
      </c>
      <c r="F114" s="980">
        <v>0.96950000000000003</v>
      </c>
      <c r="G114" s="980">
        <v>0.96950000000000003</v>
      </c>
      <c r="H114" s="980">
        <v>0.96950000000000003</v>
      </c>
      <c r="I114" s="980">
        <v>0.88390000000000002</v>
      </c>
      <c r="J114" s="980">
        <v>0.88390000000000002</v>
      </c>
      <c r="K114" s="980">
        <v>0.88390000000000002</v>
      </c>
      <c r="L114" s="980">
        <v>0.88390000000000002</v>
      </c>
      <c r="M114" s="980">
        <v>0.88390000000000002</v>
      </c>
    </row>
    <row r="115" spans="1:13">
      <c r="A115" s="971">
        <v>3</v>
      </c>
      <c r="B115" s="980">
        <v>1.0229999999999999</v>
      </c>
      <c r="C115" s="980">
        <v>1.0229999999999999</v>
      </c>
      <c r="D115" s="980">
        <v>0.96309999999999996</v>
      </c>
      <c r="E115" s="980">
        <v>0.96309999999999996</v>
      </c>
      <c r="F115" s="980">
        <v>0.96309999999999996</v>
      </c>
      <c r="G115" s="980">
        <v>0.96309999999999996</v>
      </c>
      <c r="H115" s="980">
        <v>0.96309999999999996</v>
      </c>
      <c r="I115" s="980">
        <v>0.87460000000000004</v>
      </c>
      <c r="J115" s="980">
        <v>0.87460000000000004</v>
      </c>
      <c r="K115" s="980">
        <v>0.87460000000000004</v>
      </c>
      <c r="L115" s="980">
        <v>0.87460000000000004</v>
      </c>
      <c r="M115" s="980">
        <v>0.87460000000000004</v>
      </c>
    </row>
    <row r="116" spans="1:13">
      <c r="A116" s="971">
        <v>3.1</v>
      </c>
      <c r="B116" s="980">
        <v>1.0177</v>
      </c>
      <c r="C116" s="980">
        <v>1.0177</v>
      </c>
      <c r="D116" s="980">
        <v>0.95709999999999995</v>
      </c>
      <c r="E116" s="980">
        <v>0.95709999999999995</v>
      </c>
      <c r="F116" s="980">
        <v>0.95709999999999995</v>
      </c>
      <c r="G116" s="980">
        <v>0.95709999999999995</v>
      </c>
      <c r="H116" s="980">
        <v>0.95709999999999995</v>
      </c>
      <c r="I116" s="980">
        <v>0.8659</v>
      </c>
      <c r="J116" s="980">
        <v>0.8659</v>
      </c>
      <c r="K116" s="980">
        <v>0.8659</v>
      </c>
      <c r="L116" s="980">
        <v>0.8659</v>
      </c>
      <c r="M116" s="980">
        <v>0.8659</v>
      </c>
    </row>
    <row r="117" spans="1:13">
      <c r="A117" s="971">
        <v>3.2</v>
      </c>
      <c r="B117" s="980">
        <v>1.0127999999999999</v>
      </c>
      <c r="C117" s="980">
        <v>1.0127999999999999</v>
      </c>
      <c r="D117" s="980">
        <v>0.9516</v>
      </c>
      <c r="E117" s="980">
        <v>0.9516</v>
      </c>
      <c r="F117" s="980">
        <v>0.9516</v>
      </c>
      <c r="G117" s="980">
        <v>0.9516</v>
      </c>
      <c r="H117" s="980">
        <v>0.9516</v>
      </c>
      <c r="I117" s="980">
        <v>0.85780000000000001</v>
      </c>
      <c r="J117" s="980">
        <v>0.85780000000000001</v>
      </c>
      <c r="K117" s="980">
        <v>0.85780000000000001</v>
      </c>
      <c r="L117" s="980">
        <v>0.85780000000000001</v>
      </c>
      <c r="M117" s="980">
        <v>0.85780000000000001</v>
      </c>
    </row>
    <row r="118" spans="1:13">
      <c r="A118" s="971">
        <v>3.3</v>
      </c>
      <c r="B118" s="980">
        <v>1.0082</v>
      </c>
      <c r="C118" s="980">
        <v>1.0082</v>
      </c>
      <c r="D118" s="980">
        <v>0.94640000000000002</v>
      </c>
      <c r="E118" s="980">
        <v>0.94640000000000002</v>
      </c>
      <c r="F118" s="980">
        <v>0.94640000000000002</v>
      </c>
      <c r="G118" s="980">
        <v>0.94640000000000002</v>
      </c>
      <c r="H118" s="980">
        <v>0.94640000000000002</v>
      </c>
      <c r="I118" s="980">
        <v>0.85029999999999994</v>
      </c>
      <c r="J118" s="980">
        <v>0.85029999999999994</v>
      </c>
      <c r="K118" s="980">
        <v>0.85029999999999994</v>
      </c>
      <c r="L118" s="980">
        <v>0.85029999999999994</v>
      </c>
      <c r="M118" s="980">
        <v>0.85029999999999994</v>
      </c>
    </row>
    <row r="119" spans="1:13">
      <c r="A119" s="971">
        <v>3.4</v>
      </c>
      <c r="B119" s="980">
        <v>1.004</v>
      </c>
      <c r="C119" s="980">
        <v>1.004</v>
      </c>
      <c r="D119" s="980">
        <v>0.9415</v>
      </c>
      <c r="E119" s="980">
        <v>0.9415</v>
      </c>
      <c r="F119" s="980">
        <v>0.9415</v>
      </c>
      <c r="G119" s="980">
        <v>0.9415</v>
      </c>
      <c r="H119" s="980">
        <v>0.9415</v>
      </c>
      <c r="I119" s="980">
        <v>0.84319999999999995</v>
      </c>
      <c r="J119" s="980">
        <v>0.84319999999999995</v>
      </c>
      <c r="K119" s="980">
        <v>0.84319999999999995</v>
      </c>
      <c r="L119" s="980">
        <v>0.84319999999999995</v>
      </c>
      <c r="M119" s="980">
        <v>0.84319999999999995</v>
      </c>
    </row>
    <row r="120" spans="1:13">
      <c r="A120" s="971">
        <v>3.5</v>
      </c>
      <c r="B120" s="980">
        <v>1</v>
      </c>
      <c r="C120" s="980">
        <v>1</v>
      </c>
      <c r="D120" s="980">
        <v>0.93700000000000006</v>
      </c>
      <c r="E120" s="980">
        <v>0.93700000000000006</v>
      </c>
      <c r="F120" s="980">
        <v>0.93700000000000006</v>
      </c>
      <c r="G120" s="980">
        <v>0.93700000000000006</v>
      </c>
      <c r="H120" s="980">
        <v>0.93700000000000006</v>
      </c>
      <c r="I120" s="980">
        <v>0.83660000000000001</v>
      </c>
      <c r="J120" s="980">
        <v>0.83660000000000001</v>
      </c>
      <c r="K120" s="980">
        <v>0.83660000000000001</v>
      </c>
      <c r="L120" s="980">
        <v>0.83660000000000001</v>
      </c>
      <c r="M120" s="980">
        <v>0.83660000000000001</v>
      </c>
    </row>
    <row r="121" spans="1:13">
      <c r="A121" s="971">
        <v>3.6</v>
      </c>
      <c r="B121" s="980">
        <v>0.99629999999999996</v>
      </c>
      <c r="C121" s="980">
        <v>0.99629999999999996</v>
      </c>
      <c r="D121" s="980">
        <v>0.93279999999999996</v>
      </c>
      <c r="E121" s="980">
        <v>0.93279999999999996</v>
      </c>
      <c r="F121" s="980">
        <v>0.93279999999999996</v>
      </c>
      <c r="G121" s="980">
        <v>0.93279999999999996</v>
      </c>
      <c r="H121" s="980">
        <v>0.93279999999999996</v>
      </c>
      <c r="I121" s="980">
        <v>0.83040000000000003</v>
      </c>
      <c r="J121" s="980">
        <v>0.83040000000000003</v>
      </c>
      <c r="K121" s="980">
        <v>0.83040000000000003</v>
      </c>
      <c r="L121" s="980">
        <v>0.83040000000000003</v>
      </c>
      <c r="M121" s="980">
        <v>0.83040000000000003</v>
      </c>
    </row>
    <row r="122" spans="1:13">
      <c r="A122" s="971">
        <v>3.7</v>
      </c>
      <c r="B122" s="980">
        <v>0.9929</v>
      </c>
      <c r="C122" s="980">
        <v>0.9929</v>
      </c>
      <c r="D122" s="980">
        <v>0.92879999999999996</v>
      </c>
      <c r="E122" s="980">
        <v>0.92879999999999996</v>
      </c>
      <c r="F122" s="980">
        <v>0.92879999999999996</v>
      </c>
      <c r="G122" s="980">
        <v>0.92879999999999996</v>
      </c>
      <c r="H122" s="980">
        <v>0.92879999999999996</v>
      </c>
      <c r="I122" s="980">
        <v>0.8246</v>
      </c>
      <c r="J122" s="980">
        <v>0.8246</v>
      </c>
      <c r="K122" s="980">
        <v>0.8246</v>
      </c>
      <c r="L122" s="980">
        <v>0.8246</v>
      </c>
      <c r="M122" s="980">
        <v>0.8246</v>
      </c>
    </row>
    <row r="123" spans="1:13">
      <c r="A123" s="971">
        <v>3.8</v>
      </c>
      <c r="B123" s="980">
        <v>0.98970000000000002</v>
      </c>
      <c r="C123" s="980">
        <v>0.98970000000000002</v>
      </c>
      <c r="D123" s="980">
        <v>0.92520000000000002</v>
      </c>
      <c r="E123" s="980">
        <v>0.92520000000000002</v>
      </c>
      <c r="F123" s="980">
        <v>0.92520000000000002</v>
      </c>
      <c r="G123" s="980">
        <v>0.92520000000000002</v>
      </c>
      <c r="H123" s="980">
        <v>0.92520000000000002</v>
      </c>
      <c r="I123" s="980">
        <v>0.81920000000000004</v>
      </c>
      <c r="J123" s="980">
        <v>0.81920000000000004</v>
      </c>
      <c r="K123" s="980">
        <v>0.81920000000000004</v>
      </c>
      <c r="L123" s="980">
        <v>0.81920000000000004</v>
      </c>
      <c r="M123" s="980">
        <v>0.81920000000000004</v>
      </c>
    </row>
    <row r="124" spans="1:13">
      <c r="A124" s="971">
        <v>3.9</v>
      </c>
      <c r="B124" s="980">
        <v>0.98670000000000002</v>
      </c>
      <c r="C124" s="980">
        <v>0.98670000000000002</v>
      </c>
      <c r="D124" s="980">
        <v>0.92179999999999995</v>
      </c>
      <c r="E124" s="980">
        <v>0.92179999999999995</v>
      </c>
      <c r="F124" s="980">
        <v>0.92179999999999995</v>
      </c>
      <c r="G124" s="980">
        <v>0.92179999999999995</v>
      </c>
      <c r="H124" s="980">
        <v>0.92179999999999995</v>
      </c>
      <c r="I124" s="980">
        <v>0.81410000000000005</v>
      </c>
      <c r="J124" s="980">
        <v>0.81410000000000005</v>
      </c>
      <c r="K124" s="980">
        <v>0.81410000000000005</v>
      </c>
      <c r="L124" s="980">
        <v>0.81410000000000005</v>
      </c>
      <c r="M124" s="980">
        <v>0.81410000000000005</v>
      </c>
    </row>
    <row r="125" spans="1:13">
      <c r="A125" s="988">
        <v>4</v>
      </c>
      <c r="B125" s="980">
        <v>0.98380000000000001</v>
      </c>
      <c r="C125" s="980">
        <v>0.98380000000000001</v>
      </c>
      <c r="D125" s="980">
        <v>0.91859999999999997</v>
      </c>
      <c r="E125" s="980">
        <v>0.91859999999999997</v>
      </c>
      <c r="F125" s="980">
        <v>0.91859999999999997</v>
      </c>
      <c r="G125" s="980">
        <v>0.91859999999999997</v>
      </c>
      <c r="H125" s="980">
        <v>0.91859999999999997</v>
      </c>
      <c r="I125" s="980">
        <v>0.80940000000000001</v>
      </c>
      <c r="J125" s="980">
        <v>0.80940000000000001</v>
      </c>
      <c r="K125" s="980">
        <v>0.80940000000000001</v>
      </c>
      <c r="L125" s="980">
        <v>0.80940000000000001</v>
      </c>
      <c r="M125" s="980">
        <v>0.80940000000000001</v>
      </c>
    </row>
    <row r="126" spans="1:13">
      <c r="A126" s="988">
        <v>4.0999999999999996</v>
      </c>
      <c r="B126" s="980">
        <v>0.98099999999999998</v>
      </c>
      <c r="C126" s="980">
        <v>0.98099999999999998</v>
      </c>
      <c r="D126" s="980">
        <v>0.91559999999999997</v>
      </c>
      <c r="E126" s="980">
        <v>0.91559999999999997</v>
      </c>
      <c r="F126" s="980">
        <v>0.91559999999999997</v>
      </c>
      <c r="G126" s="980">
        <v>0.91559999999999997</v>
      </c>
      <c r="H126" s="980">
        <v>0.91559999999999997</v>
      </c>
      <c r="I126" s="980">
        <v>0.80489999999999995</v>
      </c>
      <c r="J126" s="980">
        <v>0.80489999999999995</v>
      </c>
      <c r="K126" s="980">
        <v>0.80489999999999995</v>
      </c>
      <c r="L126" s="980">
        <v>0.80489999999999995</v>
      </c>
      <c r="M126" s="980">
        <v>0.80489999999999995</v>
      </c>
    </row>
    <row r="127" spans="1:13">
      <c r="A127" s="988">
        <v>4.2</v>
      </c>
      <c r="B127" s="980">
        <v>0.97829999999999995</v>
      </c>
      <c r="C127" s="980">
        <v>0.97829999999999995</v>
      </c>
      <c r="D127" s="980">
        <v>0.91269999999999996</v>
      </c>
      <c r="E127" s="980">
        <v>0.91269999999999996</v>
      </c>
      <c r="F127" s="980">
        <v>0.91269999999999996</v>
      </c>
      <c r="G127" s="980">
        <v>0.91269999999999996</v>
      </c>
      <c r="H127" s="980">
        <v>0.91269999999999996</v>
      </c>
      <c r="I127" s="980">
        <v>0.80059999999999998</v>
      </c>
      <c r="J127" s="980">
        <v>0.80059999999999998</v>
      </c>
      <c r="K127" s="980">
        <v>0.80059999999999998</v>
      </c>
      <c r="L127" s="980">
        <v>0.80059999999999998</v>
      </c>
      <c r="M127" s="980">
        <v>0.80059999999999998</v>
      </c>
    </row>
    <row r="128" spans="1:13">
      <c r="A128" s="988">
        <v>4.3</v>
      </c>
      <c r="B128" s="980">
        <v>0.97570000000000001</v>
      </c>
      <c r="C128" s="980">
        <v>0.97570000000000001</v>
      </c>
      <c r="D128" s="980">
        <v>0.90990000000000004</v>
      </c>
      <c r="E128" s="980">
        <v>0.90990000000000004</v>
      </c>
      <c r="F128" s="980">
        <v>0.90990000000000004</v>
      </c>
      <c r="G128" s="980">
        <v>0.90990000000000004</v>
      </c>
      <c r="H128" s="980">
        <v>0.90990000000000004</v>
      </c>
      <c r="I128" s="980">
        <v>0.79649999999999999</v>
      </c>
      <c r="J128" s="980">
        <v>0.79649999999999999</v>
      </c>
      <c r="K128" s="980">
        <v>0.79649999999999999</v>
      </c>
      <c r="L128" s="980">
        <v>0.79649999999999999</v>
      </c>
      <c r="M128" s="980">
        <v>0.79649999999999999</v>
      </c>
    </row>
    <row r="129" spans="1:13">
      <c r="A129" s="988">
        <v>4.4000000000000004</v>
      </c>
      <c r="B129" s="980">
        <v>0.97319999999999995</v>
      </c>
      <c r="C129" s="980">
        <v>0.97319999999999995</v>
      </c>
      <c r="D129" s="980">
        <v>0.90720000000000001</v>
      </c>
      <c r="E129" s="980">
        <v>0.90720000000000001</v>
      </c>
      <c r="F129" s="980">
        <v>0.90720000000000001</v>
      </c>
      <c r="G129" s="980">
        <v>0.90720000000000001</v>
      </c>
      <c r="H129" s="980">
        <v>0.90720000000000001</v>
      </c>
      <c r="I129" s="980">
        <v>0.79259999999999997</v>
      </c>
      <c r="J129" s="980">
        <v>0.79259999999999997</v>
      </c>
      <c r="K129" s="980">
        <v>0.79259999999999997</v>
      </c>
      <c r="L129" s="980">
        <v>0.79259999999999997</v>
      </c>
      <c r="M129" s="980">
        <v>0.79259999999999997</v>
      </c>
    </row>
    <row r="130" spans="1:13">
      <c r="A130" s="988">
        <v>4.5</v>
      </c>
      <c r="B130" s="980">
        <v>0.9708</v>
      </c>
      <c r="C130" s="980">
        <v>0.9708</v>
      </c>
      <c r="D130" s="980">
        <v>0.90459999999999996</v>
      </c>
      <c r="E130" s="980">
        <v>0.90459999999999996</v>
      </c>
      <c r="F130" s="980">
        <v>0.90459999999999996</v>
      </c>
      <c r="G130" s="980">
        <v>0.90459999999999996</v>
      </c>
      <c r="H130" s="980">
        <v>0.90459999999999996</v>
      </c>
      <c r="I130" s="980">
        <v>0.78890000000000005</v>
      </c>
      <c r="J130" s="980">
        <v>0.78890000000000005</v>
      </c>
      <c r="K130" s="980">
        <v>0.78890000000000005</v>
      </c>
      <c r="L130" s="980">
        <v>0.78890000000000005</v>
      </c>
      <c r="M130" s="980">
        <v>0.78890000000000005</v>
      </c>
    </row>
    <row r="131" spans="1:13">
      <c r="A131" s="988">
        <v>4.5999999999999996</v>
      </c>
      <c r="B131" s="980">
        <v>0.96850000000000003</v>
      </c>
      <c r="C131" s="980">
        <v>0.96850000000000003</v>
      </c>
      <c r="D131" s="980">
        <v>0.90210000000000001</v>
      </c>
      <c r="E131" s="980">
        <v>0.90210000000000001</v>
      </c>
      <c r="F131" s="980">
        <v>0.90210000000000001</v>
      </c>
      <c r="G131" s="980">
        <v>0.90210000000000001</v>
      </c>
      <c r="H131" s="980">
        <v>0.90210000000000001</v>
      </c>
      <c r="I131" s="980">
        <v>0.78539999999999999</v>
      </c>
      <c r="J131" s="980">
        <v>0.78539999999999999</v>
      </c>
      <c r="K131" s="980">
        <v>0.78539999999999999</v>
      </c>
      <c r="L131" s="980">
        <v>0.78539999999999999</v>
      </c>
      <c r="M131" s="980">
        <v>0.78539999999999999</v>
      </c>
    </row>
    <row r="132" spans="1:13">
      <c r="A132" s="988">
        <v>4.7</v>
      </c>
      <c r="B132" s="980">
        <v>0.96630000000000005</v>
      </c>
      <c r="C132" s="980">
        <v>0.96630000000000005</v>
      </c>
      <c r="D132" s="980">
        <v>0.89959999999999996</v>
      </c>
      <c r="E132" s="980">
        <v>0.89959999999999996</v>
      </c>
      <c r="F132" s="980">
        <v>0.89959999999999996</v>
      </c>
      <c r="G132" s="980">
        <v>0.89959999999999996</v>
      </c>
      <c r="H132" s="980">
        <v>0.89959999999999996</v>
      </c>
      <c r="I132" s="980">
        <v>0.78210000000000002</v>
      </c>
      <c r="J132" s="980">
        <v>0.78210000000000002</v>
      </c>
      <c r="K132" s="980">
        <v>0.78210000000000002</v>
      </c>
      <c r="L132" s="980">
        <v>0.78210000000000002</v>
      </c>
      <c r="M132" s="980">
        <v>0.78210000000000002</v>
      </c>
    </row>
    <row r="133" spans="1:13">
      <c r="A133" s="988">
        <v>4.8</v>
      </c>
      <c r="B133" s="980">
        <v>0.96409999999999996</v>
      </c>
      <c r="C133" s="980">
        <v>0.96409999999999996</v>
      </c>
      <c r="D133" s="980">
        <v>0.8972</v>
      </c>
      <c r="E133" s="980">
        <v>0.8972</v>
      </c>
      <c r="F133" s="980">
        <v>0.8972</v>
      </c>
      <c r="G133" s="980">
        <v>0.8972</v>
      </c>
      <c r="H133" s="980">
        <v>0.8972</v>
      </c>
      <c r="I133" s="980">
        <v>0.77890000000000004</v>
      </c>
      <c r="J133" s="980">
        <v>0.77890000000000004</v>
      </c>
      <c r="K133" s="980">
        <v>0.77890000000000004</v>
      </c>
      <c r="L133" s="980">
        <v>0.77890000000000004</v>
      </c>
      <c r="M133" s="980">
        <v>0.77890000000000004</v>
      </c>
    </row>
    <row r="134" spans="1:13">
      <c r="A134" s="988">
        <v>4.9000000000000004</v>
      </c>
      <c r="B134" s="980">
        <v>0.96199999999999997</v>
      </c>
      <c r="C134" s="980">
        <v>0.96199999999999997</v>
      </c>
      <c r="D134" s="980">
        <v>0.89480000000000004</v>
      </c>
      <c r="E134" s="980">
        <v>0.89480000000000004</v>
      </c>
      <c r="F134" s="980">
        <v>0.89480000000000004</v>
      </c>
      <c r="G134" s="980">
        <v>0.89480000000000004</v>
      </c>
      <c r="H134" s="980">
        <v>0.89480000000000004</v>
      </c>
      <c r="I134" s="980">
        <v>0.77580000000000005</v>
      </c>
      <c r="J134" s="980">
        <v>0.77580000000000005</v>
      </c>
      <c r="K134" s="980">
        <v>0.77580000000000005</v>
      </c>
      <c r="L134" s="980">
        <v>0.77580000000000005</v>
      </c>
      <c r="M134" s="980">
        <v>0.77580000000000005</v>
      </c>
    </row>
    <row r="135" spans="1:13">
      <c r="A135" s="988">
        <v>5</v>
      </c>
      <c r="B135" s="980">
        <v>0.95989999999999998</v>
      </c>
      <c r="C135" s="980">
        <v>0.95989999999999998</v>
      </c>
      <c r="D135" s="980">
        <v>0.89239999999999997</v>
      </c>
      <c r="E135" s="980">
        <v>0.89239999999999997</v>
      </c>
      <c r="F135" s="980">
        <v>0.89239999999999997</v>
      </c>
      <c r="G135" s="980">
        <v>0.89239999999999997</v>
      </c>
      <c r="H135" s="980">
        <v>0.89239999999999997</v>
      </c>
      <c r="I135" s="980">
        <v>0.77280000000000004</v>
      </c>
      <c r="J135" s="980">
        <v>0.77280000000000004</v>
      </c>
      <c r="K135" s="980">
        <v>0.77280000000000004</v>
      </c>
      <c r="L135" s="980">
        <v>0.77280000000000004</v>
      </c>
      <c r="M135" s="980">
        <v>0.77280000000000004</v>
      </c>
    </row>
    <row r="136" spans="1:13">
      <c r="A136" s="988">
        <v>5.0999999999999996</v>
      </c>
      <c r="B136" s="980">
        <v>0.95779999999999998</v>
      </c>
      <c r="C136" s="980">
        <v>0.95779999999999998</v>
      </c>
      <c r="D136" s="980">
        <v>0.8901</v>
      </c>
      <c r="E136" s="980">
        <v>0.8901</v>
      </c>
      <c r="F136" s="980">
        <v>0.8901</v>
      </c>
      <c r="G136" s="980">
        <v>0.8901</v>
      </c>
      <c r="H136" s="980">
        <v>0.8901</v>
      </c>
      <c r="I136" s="980">
        <v>0.76990000000000003</v>
      </c>
      <c r="J136" s="980">
        <v>0.76990000000000003</v>
      </c>
      <c r="K136" s="980">
        <v>0.76990000000000003</v>
      </c>
      <c r="L136" s="980">
        <v>0.76990000000000003</v>
      </c>
      <c r="M136" s="980">
        <v>0.76990000000000003</v>
      </c>
    </row>
    <row r="137" spans="1:13">
      <c r="A137" s="988">
        <v>5.2</v>
      </c>
      <c r="B137" s="980">
        <v>0.95579999999999998</v>
      </c>
      <c r="C137" s="980">
        <v>0.95579999999999998</v>
      </c>
      <c r="D137" s="980">
        <v>0.88780000000000003</v>
      </c>
      <c r="E137" s="980">
        <v>0.88780000000000003</v>
      </c>
      <c r="F137" s="980">
        <v>0.88780000000000003</v>
      </c>
      <c r="G137" s="980">
        <v>0.88780000000000003</v>
      </c>
      <c r="H137" s="980">
        <v>0.88780000000000003</v>
      </c>
      <c r="I137" s="980">
        <v>0.76700000000000002</v>
      </c>
      <c r="J137" s="980">
        <v>0.76700000000000002</v>
      </c>
      <c r="K137" s="980">
        <v>0.76700000000000002</v>
      </c>
      <c r="L137" s="980">
        <v>0.76700000000000002</v>
      </c>
      <c r="M137" s="980">
        <v>0.76700000000000002</v>
      </c>
    </row>
    <row r="138" spans="1:13">
      <c r="A138" s="988">
        <v>5.3</v>
      </c>
      <c r="B138" s="980">
        <v>0.95379999999999998</v>
      </c>
      <c r="C138" s="980">
        <v>0.95379999999999998</v>
      </c>
      <c r="D138" s="980">
        <v>0.88549999999999995</v>
      </c>
      <c r="E138" s="980">
        <v>0.88549999999999995</v>
      </c>
      <c r="F138" s="980">
        <v>0.88549999999999995</v>
      </c>
      <c r="G138" s="980">
        <v>0.88549999999999995</v>
      </c>
      <c r="H138" s="980">
        <v>0.88549999999999995</v>
      </c>
      <c r="I138" s="980">
        <v>0.76419999999999999</v>
      </c>
      <c r="J138" s="980">
        <v>0.76419999999999999</v>
      </c>
      <c r="K138" s="980">
        <v>0.76419999999999999</v>
      </c>
      <c r="L138" s="980">
        <v>0.76419999999999999</v>
      </c>
      <c r="M138" s="980">
        <v>0.76419999999999999</v>
      </c>
    </row>
    <row r="139" spans="1:13">
      <c r="A139" s="988">
        <v>5.4</v>
      </c>
      <c r="B139" s="980">
        <v>0.95179999999999998</v>
      </c>
      <c r="C139" s="980">
        <v>0.95179999999999998</v>
      </c>
      <c r="D139" s="980">
        <v>0.88329999999999997</v>
      </c>
      <c r="E139" s="980">
        <v>0.88329999999999997</v>
      </c>
      <c r="F139" s="980">
        <v>0.88329999999999997</v>
      </c>
      <c r="G139" s="980">
        <v>0.88329999999999997</v>
      </c>
      <c r="H139" s="980">
        <v>0.88329999999999997</v>
      </c>
      <c r="I139" s="980">
        <v>0.76139999999999997</v>
      </c>
      <c r="J139" s="980">
        <v>0.76139999999999997</v>
      </c>
      <c r="K139" s="980">
        <v>0.76139999999999997</v>
      </c>
      <c r="L139" s="980">
        <v>0.76139999999999997</v>
      </c>
      <c r="M139" s="980">
        <v>0.76139999999999997</v>
      </c>
    </row>
    <row r="140" spans="1:13">
      <c r="A140" s="988">
        <v>5.5</v>
      </c>
      <c r="B140" s="980">
        <v>0.94979999999999998</v>
      </c>
      <c r="C140" s="980">
        <v>0.94979999999999998</v>
      </c>
      <c r="D140" s="980">
        <v>0.88109999999999999</v>
      </c>
      <c r="E140" s="980">
        <v>0.88109999999999999</v>
      </c>
      <c r="F140" s="980">
        <v>0.88109999999999999</v>
      </c>
      <c r="G140" s="980">
        <v>0.88109999999999999</v>
      </c>
      <c r="H140" s="980">
        <v>0.88109999999999999</v>
      </c>
      <c r="I140" s="980">
        <v>0.75860000000000005</v>
      </c>
      <c r="J140" s="980">
        <v>0.75860000000000005</v>
      </c>
      <c r="K140" s="980">
        <v>0.75860000000000005</v>
      </c>
      <c r="L140" s="980">
        <v>0.75860000000000005</v>
      </c>
      <c r="M140" s="980">
        <v>0.75860000000000005</v>
      </c>
    </row>
    <row r="141" spans="1:13">
      <c r="A141" s="988">
        <v>5.6</v>
      </c>
      <c r="B141" s="980">
        <v>0.94789999999999996</v>
      </c>
      <c r="C141" s="980">
        <v>0.94789999999999996</v>
      </c>
      <c r="D141" s="980">
        <v>0.87890000000000001</v>
      </c>
      <c r="E141" s="980">
        <v>0.87890000000000001</v>
      </c>
      <c r="F141" s="980">
        <v>0.87890000000000001</v>
      </c>
      <c r="G141" s="980">
        <v>0.87890000000000001</v>
      </c>
      <c r="H141" s="980">
        <v>0.87890000000000001</v>
      </c>
      <c r="I141" s="980">
        <v>0.75590000000000002</v>
      </c>
      <c r="J141" s="980">
        <v>0.75590000000000002</v>
      </c>
      <c r="K141" s="980">
        <v>0.75590000000000002</v>
      </c>
      <c r="L141" s="980">
        <v>0.75590000000000002</v>
      </c>
      <c r="M141" s="980">
        <v>0.75590000000000002</v>
      </c>
    </row>
    <row r="142" spans="1:13">
      <c r="A142" s="988">
        <v>5.7</v>
      </c>
      <c r="B142" s="980">
        <v>0.94599999999999995</v>
      </c>
      <c r="C142" s="980">
        <v>0.94599999999999995</v>
      </c>
      <c r="D142" s="980">
        <v>0.87670000000000003</v>
      </c>
      <c r="E142" s="980">
        <v>0.87670000000000003</v>
      </c>
      <c r="F142" s="980">
        <v>0.87670000000000003</v>
      </c>
      <c r="G142" s="980">
        <v>0.87670000000000003</v>
      </c>
      <c r="H142" s="980">
        <v>0.87670000000000003</v>
      </c>
      <c r="I142" s="980">
        <v>0.75319999999999998</v>
      </c>
      <c r="J142" s="980">
        <v>0.75319999999999998</v>
      </c>
      <c r="K142" s="980">
        <v>0.75319999999999998</v>
      </c>
      <c r="L142" s="980">
        <v>0.75319999999999998</v>
      </c>
      <c r="M142" s="980">
        <v>0.75319999999999998</v>
      </c>
    </row>
    <row r="143" spans="1:13">
      <c r="A143" s="988">
        <v>5.8</v>
      </c>
      <c r="B143" s="980">
        <v>0.94410000000000005</v>
      </c>
      <c r="C143" s="980">
        <v>0.94410000000000005</v>
      </c>
      <c r="D143" s="980">
        <v>0.87460000000000004</v>
      </c>
      <c r="E143" s="980">
        <v>0.87460000000000004</v>
      </c>
      <c r="F143" s="980">
        <v>0.87460000000000004</v>
      </c>
      <c r="G143" s="980">
        <v>0.87460000000000004</v>
      </c>
      <c r="H143" s="980">
        <v>0.87460000000000004</v>
      </c>
      <c r="I143" s="980">
        <v>0.75049999999999994</v>
      </c>
      <c r="J143" s="980">
        <v>0.75049999999999994</v>
      </c>
      <c r="K143" s="980">
        <v>0.75049999999999994</v>
      </c>
      <c r="L143" s="980">
        <v>0.75049999999999994</v>
      </c>
      <c r="M143" s="980">
        <v>0.75049999999999994</v>
      </c>
    </row>
    <row r="144" spans="1:13">
      <c r="A144" s="988">
        <v>5.9</v>
      </c>
      <c r="B144" s="980">
        <v>0.94220000000000004</v>
      </c>
      <c r="C144" s="980">
        <v>0.94220000000000004</v>
      </c>
      <c r="D144" s="980">
        <v>0.87250000000000005</v>
      </c>
      <c r="E144" s="980">
        <v>0.87250000000000005</v>
      </c>
      <c r="F144" s="980">
        <v>0.87250000000000005</v>
      </c>
      <c r="G144" s="980">
        <v>0.87250000000000005</v>
      </c>
      <c r="H144" s="980">
        <v>0.87250000000000005</v>
      </c>
      <c r="I144" s="980">
        <v>0.74780000000000002</v>
      </c>
      <c r="J144" s="980">
        <v>0.74780000000000002</v>
      </c>
      <c r="K144" s="980">
        <v>0.74780000000000002</v>
      </c>
      <c r="L144" s="980">
        <v>0.74780000000000002</v>
      </c>
      <c r="M144" s="980">
        <v>0.74780000000000002</v>
      </c>
    </row>
    <row r="145" spans="1:13">
      <c r="A145" s="988">
        <v>6</v>
      </c>
      <c r="B145" s="980">
        <v>0.94040000000000001</v>
      </c>
      <c r="C145" s="980">
        <v>0.94040000000000001</v>
      </c>
      <c r="D145" s="980">
        <v>0.87039999999999995</v>
      </c>
      <c r="E145" s="980">
        <v>0.87039999999999995</v>
      </c>
      <c r="F145" s="980">
        <v>0.87039999999999995</v>
      </c>
      <c r="G145" s="980">
        <v>0.87039999999999995</v>
      </c>
      <c r="H145" s="980">
        <v>0.87039999999999995</v>
      </c>
      <c r="I145" s="980">
        <v>0.74519999999999997</v>
      </c>
      <c r="J145" s="980">
        <v>0.74519999999999997</v>
      </c>
      <c r="K145" s="980">
        <v>0.74519999999999997</v>
      </c>
      <c r="L145" s="980">
        <v>0.74519999999999997</v>
      </c>
      <c r="M145" s="980">
        <v>0.74519999999999997</v>
      </c>
    </row>
    <row r="146" spans="1:13">
      <c r="A146" s="988">
        <v>6.1</v>
      </c>
      <c r="B146" s="980">
        <v>0.93859999999999999</v>
      </c>
      <c r="C146" s="980">
        <v>0.93859999999999999</v>
      </c>
      <c r="D146" s="980">
        <v>0.86829999999999996</v>
      </c>
      <c r="E146" s="980">
        <v>0.86829999999999996</v>
      </c>
      <c r="F146" s="980">
        <v>0.86829999999999996</v>
      </c>
      <c r="G146" s="980">
        <v>0.86829999999999996</v>
      </c>
      <c r="H146" s="980">
        <v>0.86829999999999996</v>
      </c>
      <c r="I146" s="980">
        <v>0.74260000000000004</v>
      </c>
      <c r="J146" s="980">
        <v>0.74260000000000004</v>
      </c>
      <c r="K146" s="980">
        <v>0.74260000000000004</v>
      </c>
      <c r="L146" s="980">
        <v>0.74260000000000004</v>
      </c>
      <c r="M146" s="980">
        <v>0.74260000000000004</v>
      </c>
    </row>
    <row r="147" spans="1:13">
      <c r="A147" s="988">
        <v>6.2</v>
      </c>
      <c r="B147" s="980">
        <v>0.93679999999999997</v>
      </c>
      <c r="C147" s="980">
        <v>0.93679999999999997</v>
      </c>
      <c r="D147" s="980">
        <v>0.86619999999999997</v>
      </c>
      <c r="E147" s="980">
        <v>0.86619999999999997</v>
      </c>
      <c r="F147" s="980">
        <v>0.86619999999999997</v>
      </c>
      <c r="G147" s="980">
        <v>0.86619999999999997</v>
      </c>
      <c r="H147" s="980">
        <v>0.86619999999999997</v>
      </c>
      <c r="I147" s="980">
        <v>0.74</v>
      </c>
      <c r="J147" s="980">
        <v>0.74</v>
      </c>
      <c r="K147" s="980">
        <v>0.74</v>
      </c>
      <c r="L147" s="980">
        <v>0.74</v>
      </c>
      <c r="M147" s="980">
        <v>0.74</v>
      </c>
    </row>
    <row r="148" spans="1:13">
      <c r="A148" s="988">
        <v>6.3</v>
      </c>
      <c r="B148" s="980">
        <v>0.93500000000000005</v>
      </c>
      <c r="C148" s="980">
        <v>0.93500000000000005</v>
      </c>
      <c r="D148" s="980">
        <v>0.86409999999999998</v>
      </c>
      <c r="E148" s="980">
        <v>0.86409999999999998</v>
      </c>
      <c r="F148" s="980">
        <v>0.86409999999999998</v>
      </c>
      <c r="G148" s="980">
        <v>0.86409999999999998</v>
      </c>
      <c r="H148" s="980">
        <v>0.86409999999999998</v>
      </c>
      <c r="I148" s="980">
        <v>0.73740000000000006</v>
      </c>
      <c r="J148" s="980">
        <v>0.73740000000000006</v>
      </c>
      <c r="K148" s="980">
        <v>0.73740000000000006</v>
      </c>
      <c r="L148" s="980">
        <v>0.73740000000000006</v>
      </c>
      <c r="M148" s="980">
        <v>0.73740000000000006</v>
      </c>
    </row>
    <row r="149" spans="1:13">
      <c r="A149" s="988">
        <v>6.4</v>
      </c>
      <c r="B149" s="980">
        <v>0.93320000000000003</v>
      </c>
      <c r="C149" s="980">
        <v>0.93320000000000003</v>
      </c>
      <c r="D149" s="980">
        <v>0.86209999999999998</v>
      </c>
      <c r="E149" s="980">
        <v>0.86209999999999998</v>
      </c>
      <c r="F149" s="980">
        <v>0.86209999999999998</v>
      </c>
      <c r="G149" s="980">
        <v>0.86209999999999998</v>
      </c>
      <c r="H149" s="980">
        <v>0.86209999999999998</v>
      </c>
      <c r="I149" s="980">
        <v>0.73480000000000001</v>
      </c>
      <c r="J149" s="980">
        <v>0.73480000000000001</v>
      </c>
      <c r="K149" s="980">
        <v>0.73480000000000001</v>
      </c>
      <c r="L149" s="980">
        <v>0.73480000000000001</v>
      </c>
      <c r="M149" s="980">
        <v>0.73480000000000001</v>
      </c>
    </row>
    <row r="150" spans="1:13">
      <c r="A150" s="988">
        <v>6.5</v>
      </c>
      <c r="B150" s="980">
        <v>0.93149999999999999</v>
      </c>
      <c r="C150" s="980">
        <v>0.93149999999999999</v>
      </c>
      <c r="D150" s="980">
        <v>0.86009999999999998</v>
      </c>
      <c r="E150" s="980">
        <v>0.86009999999999998</v>
      </c>
      <c r="F150" s="980">
        <v>0.86009999999999998</v>
      </c>
      <c r="G150" s="980">
        <v>0.86009999999999998</v>
      </c>
      <c r="H150" s="980">
        <v>0.86009999999999998</v>
      </c>
      <c r="I150" s="980">
        <v>0.73229999999999995</v>
      </c>
      <c r="J150" s="980">
        <v>0.73229999999999995</v>
      </c>
      <c r="K150" s="980">
        <v>0.73229999999999995</v>
      </c>
      <c r="L150" s="980">
        <v>0.73229999999999995</v>
      </c>
      <c r="M150" s="980">
        <v>0.73229999999999995</v>
      </c>
    </row>
    <row r="151" spans="1:13">
      <c r="A151" s="988">
        <v>6.6</v>
      </c>
      <c r="B151" s="980">
        <v>0.92979999999999996</v>
      </c>
      <c r="C151" s="980">
        <v>0.92979999999999996</v>
      </c>
      <c r="D151" s="980">
        <v>0.85809999999999997</v>
      </c>
      <c r="E151" s="980">
        <v>0.85809999999999997</v>
      </c>
      <c r="F151" s="980">
        <v>0.85809999999999997</v>
      </c>
      <c r="G151" s="980">
        <v>0.85809999999999997</v>
      </c>
      <c r="H151" s="980">
        <v>0.85809999999999997</v>
      </c>
      <c r="I151" s="980">
        <v>0.7298</v>
      </c>
      <c r="J151" s="980">
        <v>0.7298</v>
      </c>
      <c r="K151" s="980">
        <v>0.7298</v>
      </c>
      <c r="L151" s="980">
        <v>0.7298</v>
      </c>
      <c r="M151" s="980">
        <v>0.7298</v>
      </c>
    </row>
    <row r="152" spans="1:13">
      <c r="A152" s="988">
        <v>6.7</v>
      </c>
      <c r="B152" s="980">
        <v>0.92810000000000004</v>
      </c>
      <c r="C152" s="980">
        <v>0.92810000000000004</v>
      </c>
      <c r="D152" s="980">
        <v>0.85609999999999997</v>
      </c>
      <c r="E152" s="980">
        <v>0.85609999999999997</v>
      </c>
      <c r="F152" s="980">
        <v>0.85609999999999997</v>
      </c>
      <c r="G152" s="980">
        <v>0.85609999999999997</v>
      </c>
      <c r="H152" s="980">
        <v>0.85609999999999997</v>
      </c>
      <c r="I152" s="980">
        <v>0.72729999999999995</v>
      </c>
      <c r="J152" s="980">
        <v>0.72729999999999995</v>
      </c>
      <c r="K152" s="980">
        <v>0.72729999999999995</v>
      </c>
      <c r="L152" s="980">
        <v>0.72729999999999995</v>
      </c>
      <c r="M152" s="980">
        <v>0.72729999999999995</v>
      </c>
    </row>
    <row r="153" spans="1:13">
      <c r="A153" s="988">
        <v>6.8</v>
      </c>
      <c r="B153" s="980">
        <v>0.9264</v>
      </c>
      <c r="C153" s="980">
        <v>0.9264</v>
      </c>
      <c r="D153" s="980">
        <v>0.85409999999999997</v>
      </c>
      <c r="E153" s="980">
        <v>0.85409999999999997</v>
      </c>
      <c r="F153" s="980">
        <v>0.85409999999999997</v>
      </c>
      <c r="G153" s="980">
        <v>0.85409999999999997</v>
      </c>
      <c r="H153" s="980">
        <v>0.85409999999999997</v>
      </c>
      <c r="I153" s="980">
        <v>0.7248</v>
      </c>
      <c r="J153" s="980">
        <v>0.7248</v>
      </c>
      <c r="K153" s="980">
        <v>0.7248</v>
      </c>
      <c r="L153" s="980">
        <v>0.7248</v>
      </c>
      <c r="M153" s="980">
        <v>0.7248</v>
      </c>
    </row>
    <row r="154" spans="1:13">
      <c r="A154" s="988">
        <v>6.9</v>
      </c>
      <c r="B154" s="980">
        <v>0.92469999999999997</v>
      </c>
      <c r="C154" s="980">
        <v>0.92469999999999997</v>
      </c>
      <c r="D154" s="980">
        <v>0.85209999999999997</v>
      </c>
      <c r="E154" s="980">
        <v>0.85209999999999997</v>
      </c>
      <c r="F154" s="980">
        <v>0.85209999999999997</v>
      </c>
      <c r="G154" s="980">
        <v>0.85209999999999997</v>
      </c>
      <c r="H154" s="980">
        <v>0.85209999999999997</v>
      </c>
      <c r="I154" s="980">
        <v>0.72230000000000005</v>
      </c>
      <c r="J154" s="980">
        <v>0.72230000000000005</v>
      </c>
      <c r="K154" s="980">
        <v>0.72230000000000005</v>
      </c>
      <c r="L154" s="980">
        <v>0.72230000000000005</v>
      </c>
      <c r="M154" s="980">
        <v>0.72230000000000005</v>
      </c>
    </row>
    <row r="155" spans="1:13">
      <c r="A155" s="971">
        <v>7</v>
      </c>
      <c r="B155" s="980">
        <v>0.92300000000000004</v>
      </c>
      <c r="C155" s="980">
        <v>0.92300000000000004</v>
      </c>
      <c r="D155" s="980">
        <v>0.85019999999999996</v>
      </c>
      <c r="E155" s="980">
        <v>0.85019999999999996</v>
      </c>
      <c r="F155" s="980">
        <v>0.85019999999999996</v>
      </c>
      <c r="G155" s="980">
        <v>0.85019999999999996</v>
      </c>
      <c r="H155" s="980">
        <v>0.85019999999999996</v>
      </c>
      <c r="I155" s="980">
        <v>0.71989999999999998</v>
      </c>
      <c r="J155" s="980">
        <v>0.71989999999999998</v>
      </c>
      <c r="K155" s="980">
        <v>0.71989999999999998</v>
      </c>
      <c r="L155" s="980">
        <v>0.71989999999999998</v>
      </c>
      <c r="M155" s="980">
        <v>0.71989999999999998</v>
      </c>
    </row>
    <row r="156" spans="1:13">
      <c r="A156" s="971">
        <v>7.1</v>
      </c>
      <c r="B156" s="980">
        <v>0.9214</v>
      </c>
      <c r="C156" s="980">
        <v>0.9214</v>
      </c>
      <c r="D156" s="980">
        <v>0.84830000000000005</v>
      </c>
      <c r="E156" s="980">
        <v>0.84830000000000005</v>
      </c>
      <c r="F156" s="980">
        <v>0.84830000000000005</v>
      </c>
      <c r="G156" s="980">
        <v>0.84830000000000005</v>
      </c>
      <c r="H156" s="980">
        <v>0.84830000000000005</v>
      </c>
      <c r="I156" s="980">
        <v>0.71750000000000003</v>
      </c>
      <c r="J156" s="980">
        <v>0.71750000000000003</v>
      </c>
      <c r="K156" s="980">
        <v>0.71750000000000003</v>
      </c>
      <c r="L156" s="980">
        <v>0.71750000000000003</v>
      </c>
      <c r="M156" s="980">
        <v>0.71750000000000003</v>
      </c>
    </row>
    <row r="157" spans="1:13">
      <c r="A157" s="971">
        <v>7.2</v>
      </c>
      <c r="B157" s="980">
        <v>0.91979999999999995</v>
      </c>
      <c r="C157" s="980">
        <v>0.91979999999999995</v>
      </c>
      <c r="D157" s="980">
        <v>0.84640000000000004</v>
      </c>
      <c r="E157" s="980">
        <v>0.84640000000000004</v>
      </c>
      <c r="F157" s="980">
        <v>0.84640000000000004</v>
      </c>
      <c r="G157" s="980">
        <v>0.84640000000000004</v>
      </c>
      <c r="H157" s="980">
        <v>0.84640000000000004</v>
      </c>
      <c r="I157" s="980">
        <v>0.71509999999999996</v>
      </c>
      <c r="J157" s="980">
        <v>0.71509999999999996</v>
      </c>
      <c r="K157" s="980">
        <v>0.71509999999999996</v>
      </c>
      <c r="L157" s="980">
        <v>0.71509999999999996</v>
      </c>
      <c r="M157" s="980">
        <v>0.71509999999999996</v>
      </c>
    </row>
    <row r="158" spans="1:13">
      <c r="A158" s="971">
        <v>7.3</v>
      </c>
      <c r="B158" s="980">
        <v>0.91820000000000002</v>
      </c>
      <c r="C158" s="980">
        <v>0.91820000000000002</v>
      </c>
      <c r="D158" s="980">
        <v>0.84450000000000003</v>
      </c>
      <c r="E158" s="980">
        <v>0.84450000000000003</v>
      </c>
      <c r="F158" s="980">
        <v>0.84450000000000003</v>
      </c>
      <c r="G158" s="980">
        <v>0.84450000000000003</v>
      </c>
      <c r="H158" s="980">
        <v>0.84450000000000003</v>
      </c>
      <c r="I158" s="980">
        <v>0.7127</v>
      </c>
      <c r="J158" s="980">
        <v>0.7127</v>
      </c>
      <c r="K158" s="980">
        <v>0.7127</v>
      </c>
      <c r="L158" s="980">
        <v>0.7127</v>
      </c>
      <c r="M158" s="980">
        <v>0.7127</v>
      </c>
    </row>
    <row r="159" spans="1:13">
      <c r="A159" s="971">
        <v>7.4</v>
      </c>
      <c r="B159" s="980">
        <v>0.91659999999999997</v>
      </c>
      <c r="C159" s="980">
        <v>0.91659999999999997</v>
      </c>
      <c r="D159" s="980">
        <v>0.84260000000000002</v>
      </c>
      <c r="E159" s="980">
        <v>0.84260000000000002</v>
      </c>
      <c r="F159" s="980">
        <v>0.84260000000000002</v>
      </c>
      <c r="G159" s="980">
        <v>0.84260000000000002</v>
      </c>
      <c r="H159" s="980">
        <v>0.84260000000000002</v>
      </c>
      <c r="I159" s="980">
        <v>0.71030000000000004</v>
      </c>
      <c r="J159" s="980">
        <v>0.71030000000000004</v>
      </c>
      <c r="K159" s="980">
        <v>0.71030000000000004</v>
      </c>
      <c r="L159" s="980">
        <v>0.71030000000000004</v>
      </c>
      <c r="M159" s="980">
        <v>0.71030000000000004</v>
      </c>
    </row>
    <row r="160" spans="1:13">
      <c r="A160" s="971">
        <v>7.5</v>
      </c>
      <c r="B160" s="980">
        <v>0.91500000000000004</v>
      </c>
      <c r="C160" s="980">
        <v>0.91500000000000004</v>
      </c>
      <c r="D160" s="980">
        <v>0.8407</v>
      </c>
      <c r="E160" s="980">
        <v>0.8407</v>
      </c>
      <c r="F160" s="980">
        <v>0.8407</v>
      </c>
      <c r="G160" s="980">
        <v>0.8407</v>
      </c>
      <c r="H160" s="980">
        <v>0.8407</v>
      </c>
      <c r="I160" s="980">
        <v>0.70799999999999996</v>
      </c>
      <c r="J160" s="980">
        <v>0.70799999999999996</v>
      </c>
      <c r="K160" s="980">
        <v>0.70799999999999996</v>
      </c>
      <c r="L160" s="980">
        <v>0.70799999999999996</v>
      </c>
      <c r="M160" s="980">
        <v>0.70799999999999996</v>
      </c>
    </row>
    <row r="161" spans="1:13">
      <c r="A161" s="988">
        <v>7.6</v>
      </c>
      <c r="B161" s="980">
        <v>0.91339999999999999</v>
      </c>
      <c r="C161" s="980">
        <v>0.91339999999999999</v>
      </c>
      <c r="D161" s="980">
        <v>0.83889999999999998</v>
      </c>
      <c r="E161" s="980">
        <v>0.83889999999999998</v>
      </c>
      <c r="F161" s="980">
        <v>0.83889999999999998</v>
      </c>
      <c r="G161" s="980">
        <v>0.83889999999999998</v>
      </c>
      <c r="H161" s="980">
        <v>0.83889999999999998</v>
      </c>
      <c r="I161" s="980">
        <v>0.70569999999999999</v>
      </c>
      <c r="J161" s="980">
        <v>0.70569999999999999</v>
      </c>
      <c r="K161" s="980">
        <v>0.70569999999999999</v>
      </c>
      <c r="L161" s="980">
        <v>0.70569999999999999</v>
      </c>
      <c r="M161" s="980">
        <v>0.70569999999999999</v>
      </c>
    </row>
    <row r="162" spans="1:13">
      <c r="A162" s="971">
        <v>7.7</v>
      </c>
      <c r="B162" s="980">
        <v>0.91190000000000004</v>
      </c>
      <c r="C162" s="980">
        <v>0.91190000000000004</v>
      </c>
      <c r="D162" s="980">
        <v>0.83709999999999996</v>
      </c>
      <c r="E162" s="980">
        <v>0.83709999999999996</v>
      </c>
      <c r="F162" s="980">
        <v>0.83709999999999996</v>
      </c>
      <c r="G162" s="980">
        <v>0.83709999999999996</v>
      </c>
      <c r="H162" s="980">
        <v>0.83709999999999996</v>
      </c>
      <c r="I162" s="980">
        <v>0.70340000000000003</v>
      </c>
      <c r="J162" s="980">
        <v>0.70340000000000003</v>
      </c>
      <c r="K162" s="980">
        <v>0.70340000000000003</v>
      </c>
      <c r="L162" s="980">
        <v>0.70340000000000003</v>
      </c>
      <c r="M162" s="980">
        <v>0.70340000000000003</v>
      </c>
    </row>
    <row r="163" spans="1:13">
      <c r="A163" s="971">
        <v>7.8</v>
      </c>
      <c r="B163" s="980">
        <v>0.91039999999999999</v>
      </c>
      <c r="C163" s="980">
        <v>0.91039999999999999</v>
      </c>
      <c r="D163" s="980">
        <v>0.83530000000000004</v>
      </c>
      <c r="E163" s="980">
        <v>0.83530000000000004</v>
      </c>
      <c r="F163" s="980">
        <v>0.83530000000000004</v>
      </c>
      <c r="G163" s="980">
        <v>0.83530000000000004</v>
      </c>
      <c r="H163" s="980">
        <v>0.83530000000000004</v>
      </c>
      <c r="I163" s="980">
        <v>0.70109999999999995</v>
      </c>
      <c r="J163" s="980">
        <v>0.70109999999999995</v>
      </c>
      <c r="K163" s="980">
        <v>0.70109999999999995</v>
      </c>
      <c r="L163" s="980">
        <v>0.70109999999999995</v>
      </c>
      <c r="M163" s="980">
        <v>0.70109999999999995</v>
      </c>
    </row>
    <row r="164" spans="1:13">
      <c r="A164" s="971">
        <v>7.9</v>
      </c>
      <c r="B164" s="980">
        <v>0.90890000000000004</v>
      </c>
      <c r="C164" s="980">
        <v>0.90890000000000004</v>
      </c>
      <c r="D164" s="980">
        <v>0.83350000000000002</v>
      </c>
      <c r="E164" s="980">
        <v>0.83350000000000002</v>
      </c>
      <c r="F164" s="980">
        <v>0.83350000000000002</v>
      </c>
      <c r="G164" s="980">
        <v>0.83350000000000002</v>
      </c>
      <c r="H164" s="980">
        <v>0.83350000000000002</v>
      </c>
      <c r="I164" s="980">
        <v>0.69879999999999998</v>
      </c>
      <c r="J164" s="980">
        <v>0.69879999999999998</v>
      </c>
      <c r="K164" s="980">
        <v>0.69879999999999998</v>
      </c>
      <c r="L164" s="980">
        <v>0.69879999999999998</v>
      </c>
      <c r="M164" s="980">
        <v>0.69879999999999998</v>
      </c>
    </row>
    <row r="165" spans="1:13">
      <c r="A165" s="971">
        <v>8</v>
      </c>
      <c r="B165" s="980">
        <v>0.90739999999999998</v>
      </c>
      <c r="C165" s="980">
        <v>0.90739999999999998</v>
      </c>
      <c r="D165" s="980">
        <v>0.83169999999999999</v>
      </c>
      <c r="E165" s="980">
        <v>0.83169999999999999</v>
      </c>
      <c r="F165" s="980">
        <v>0.83169999999999999</v>
      </c>
      <c r="G165" s="980">
        <v>0.83169999999999999</v>
      </c>
      <c r="H165" s="980">
        <v>0.83169999999999999</v>
      </c>
      <c r="I165" s="980">
        <v>0.6966</v>
      </c>
      <c r="J165" s="980">
        <v>0.6966</v>
      </c>
      <c r="K165" s="980">
        <v>0.6966</v>
      </c>
      <c r="L165" s="980">
        <v>0.6966</v>
      </c>
      <c r="M165" s="980">
        <v>0.6966</v>
      </c>
    </row>
    <row r="166" spans="1:13">
      <c r="A166" s="971">
        <v>8.1</v>
      </c>
      <c r="B166" s="980">
        <v>0.90590000000000004</v>
      </c>
      <c r="C166" s="980">
        <v>0.90590000000000004</v>
      </c>
      <c r="D166" s="980">
        <v>0.82989999999999997</v>
      </c>
      <c r="E166" s="980">
        <v>0.82989999999999997</v>
      </c>
      <c r="F166" s="980">
        <v>0.82989999999999997</v>
      </c>
      <c r="G166" s="980">
        <v>0.82989999999999997</v>
      </c>
      <c r="H166" s="980">
        <v>0.82989999999999997</v>
      </c>
      <c r="I166" s="980">
        <v>0.69440000000000002</v>
      </c>
      <c r="J166" s="980">
        <v>0.69440000000000002</v>
      </c>
      <c r="K166" s="980">
        <v>0.69440000000000002</v>
      </c>
      <c r="L166" s="980">
        <v>0.69440000000000002</v>
      </c>
      <c r="M166" s="980">
        <v>0.69440000000000002</v>
      </c>
    </row>
    <row r="167" spans="1:13">
      <c r="A167" s="971">
        <v>8.1999999999999993</v>
      </c>
      <c r="B167" s="980">
        <v>0.90439999999999998</v>
      </c>
      <c r="C167" s="980">
        <v>0.90439999999999998</v>
      </c>
      <c r="D167" s="980">
        <v>0.82820000000000005</v>
      </c>
      <c r="E167" s="980">
        <v>0.82820000000000005</v>
      </c>
      <c r="F167" s="980">
        <v>0.82820000000000005</v>
      </c>
      <c r="G167" s="980">
        <v>0.82820000000000005</v>
      </c>
      <c r="H167" s="980">
        <v>0.82820000000000005</v>
      </c>
      <c r="I167" s="980">
        <v>0.69220000000000004</v>
      </c>
      <c r="J167" s="980">
        <v>0.69220000000000004</v>
      </c>
      <c r="K167" s="980">
        <v>0.69220000000000004</v>
      </c>
      <c r="L167" s="980">
        <v>0.69220000000000004</v>
      </c>
      <c r="M167" s="980">
        <v>0.69220000000000004</v>
      </c>
    </row>
    <row r="168" spans="1:13">
      <c r="A168" s="971">
        <v>8.3000000000000007</v>
      </c>
      <c r="B168" s="980">
        <v>0.90300000000000002</v>
      </c>
      <c r="C168" s="980">
        <v>0.90300000000000002</v>
      </c>
      <c r="D168" s="980">
        <v>0.82650000000000001</v>
      </c>
      <c r="E168" s="980">
        <v>0.82650000000000001</v>
      </c>
      <c r="F168" s="980">
        <v>0.82650000000000001</v>
      </c>
      <c r="G168" s="980">
        <v>0.82650000000000001</v>
      </c>
      <c r="H168" s="980">
        <v>0.82650000000000001</v>
      </c>
      <c r="I168" s="980">
        <v>0.69</v>
      </c>
      <c r="J168" s="980">
        <v>0.69</v>
      </c>
      <c r="K168" s="980">
        <v>0.69</v>
      </c>
      <c r="L168" s="980">
        <v>0.69</v>
      </c>
      <c r="M168" s="980">
        <v>0.69</v>
      </c>
    </row>
    <row r="169" spans="1:13">
      <c r="A169" s="971">
        <v>8.4</v>
      </c>
      <c r="B169" s="980">
        <v>0.90159999999999996</v>
      </c>
      <c r="C169" s="980">
        <v>0.90159999999999996</v>
      </c>
      <c r="D169" s="980">
        <v>0.82479999999999998</v>
      </c>
      <c r="E169" s="980">
        <v>0.82479999999999998</v>
      </c>
      <c r="F169" s="980">
        <v>0.82479999999999998</v>
      </c>
      <c r="G169" s="980">
        <v>0.82479999999999998</v>
      </c>
      <c r="H169" s="980">
        <v>0.82479999999999998</v>
      </c>
      <c r="I169" s="980">
        <v>0.68779999999999997</v>
      </c>
      <c r="J169" s="980">
        <v>0.68779999999999997</v>
      </c>
      <c r="K169" s="980">
        <v>0.68779999999999997</v>
      </c>
      <c r="L169" s="980">
        <v>0.68779999999999997</v>
      </c>
      <c r="M169" s="980">
        <v>0.68779999999999997</v>
      </c>
    </row>
    <row r="170" spans="1:13">
      <c r="A170" s="971">
        <v>8.5</v>
      </c>
      <c r="B170" s="980">
        <v>0.9002</v>
      </c>
      <c r="C170" s="980">
        <v>0.9002</v>
      </c>
      <c r="D170" s="980">
        <v>0.82310000000000005</v>
      </c>
      <c r="E170" s="980">
        <v>0.82310000000000005</v>
      </c>
      <c r="F170" s="980">
        <v>0.82310000000000005</v>
      </c>
      <c r="G170" s="980">
        <v>0.82310000000000005</v>
      </c>
      <c r="H170" s="980">
        <v>0.82310000000000005</v>
      </c>
      <c r="I170" s="980">
        <v>0.68569999999999998</v>
      </c>
      <c r="J170" s="980">
        <v>0.68569999999999998</v>
      </c>
      <c r="K170" s="980">
        <v>0.68569999999999998</v>
      </c>
      <c r="L170" s="980">
        <v>0.68569999999999998</v>
      </c>
      <c r="M170" s="980">
        <v>0.68569999999999998</v>
      </c>
    </row>
    <row r="171" spans="1:13">
      <c r="A171" s="971">
        <v>8.6</v>
      </c>
      <c r="B171" s="980">
        <v>0.89880000000000004</v>
      </c>
      <c r="C171" s="980">
        <v>0.89880000000000004</v>
      </c>
      <c r="D171" s="980">
        <v>0.82140000000000002</v>
      </c>
      <c r="E171" s="980">
        <v>0.82140000000000002</v>
      </c>
      <c r="F171" s="980">
        <v>0.82140000000000002</v>
      </c>
      <c r="G171" s="980">
        <v>0.82140000000000002</v>
      </c>
      <c r="H171" s="980">
        <v>0.82140000000000002</v>
      </c>
      <c r="I171" s="980">
        <v>0.68359999999999999</v>
      </c>
      <c r="J171" s="980">
        <v>0.68359999999999999</v>
      </c>
      <c r="K171" s="980">
        <v>0.68359999999999999</v>
      </c>
      <c r="L171" s="980">
        <v>0.68359999999999999</v>
      </c>
      <c r="M171" s="980">
        <v>0.68359999999999999</v>
      </c>
    </row>
    <row r="172" spans="1:13">
      <c r="A172" s="971">
        <v>8.6999999999999993</v>
      </c>
      <c r="B172" s="980">
        <v>0.89739999999999998</v>
      </c>
      <c r="C172" s="980">
        <v>0.89739999999999998</v>
      </c>
      <c r="D172" s="980">
        <v>0.81969999999999998</v>
      </c>
      <c r="E172" s="980">
        <v>0.81969999999999998</v>
      </c>
      <c r="F172" s="980">
        <v>0.81969999999999998</v>
      </c>
      <c r="G172" s="980">
        <v>0.81969999999999998</v>
      </c>
      <c r="H172" s="980">
        <v>0.81969999999999998</v>
      </c>
      <c r="I172" s="980">
        <v>0.68149999999999999</v>
      </c>
      <c r="J172" s="980">
        <v>0.68149999999999999</v>
      </c>
      <c r="K172" s="980">
        <v>0.68149999999999999</v>
      </c>
      <c r="L172" s="980">
        <v>0.68149999999999999</v>
      </c>
      <c r="M172" s="980">
        <v>0.68149999999999999</v>
      </c>
    </row>
    <row r="173" spans="1:13">
      <c r="A173" s="971">
        <v>8.8000000000000007</v>
      </c>
      <c r="B173" s="980">
        <v>0.89600000000000002</v>
      </c>
      <c r="C173" s="980">
        <v>0.89600000000000002</v>
      </c>
      <c r="D173" s="980">
        <v>0.81810000000000005</v>
      </c>
      <c r="E173" s="980">
        <v>0.81810000000000005</v>
      </c>
      <c r="F173" s="980">
        <v>0.81810000000000005</v>
      </c>
      <c r="G173" s="980">
        <v>0.81810000000000005</v>
      </c>
      <c r="H173" s="980">
        <v>0.81810000000000005</v>
      </c>
      <c r="I173" s="980">
        <v>0.6794</v>
      </c>
      <c r="J173" s="980">
        <v>0.6794</v>
      </c>
      <c r="K173" s="980">
        <v>0.6794</v>
      </c>
      <c r="L173" s="980">
        <v>0.6794</v>
      </c>
      <c r="M173" s="980">
        <v>0.6794</v>
      </c>
    </row>
    <row r="174" spans="1:13">
      <c r="A174" s="971">
        <v>8.9</v>
      </c>
      <c r="B174" s="980">
        <v>0.89470000000000005</v>
      </c>
      <c r="C174" s="980">
        <v>0.89470000000000005</v>
      </c>
      <c r="D174" s="980">
        <v>0.8165</v>
      </c>
      <c r="E174" s="980">
        <v>0.8165</v>
      </c>
      <c r="F174" s="980">
        <v>0.8165</v>
      </c>
      <c r="G174" s="980">
        <v>0.8165</v>
      </c>
      <c r="H174" s="980">
        <v>0.8165</v>
      </c>
      <c r="I174" s="980">
        <v>0.6774</v>
      </c>
      <c r="J174" s="980">
        <v>0.6774</v>
      </c>
      <c r="K174" s="980">
        <v>0.6774</v>
      </c>
      <c r="L174" s="980">
        <v>0.6774</v>
      </c>
      <c r="M174" s="980">
        <v>0.6774</v>
      </c>
    </row>
    <row r="175" spans="1:13">
      <c r="A175" s="971">
        <v>9</v>
      </c>
      <c r="B175" s="980">
        <v>0.89339999999999997</v>
      </c>
      <c r="C175" s="980">
        <v>0.89339999999999997</v>
      </c>
      <c r="D175" s="980">
        <v>0.81489999999999996</v>
      </c>
      <c r="E175" s="980">
        <v>0.81489999999999996</v>
      </c>
      <c r="F175" s="980">
        <v>0.81489999999999996</v>
      </c>
      <c r="G175" s="980">
        <v>0.81489999999999996</v>
      </c>
      <c r="H175" s="980">
        <v>0.81489999999999996</v>
      </c>
      <c r="I175" s="980">
        <v>0.6754</v>
      </c>
      <c r="J175" s="980">
        <v>0.6754</v>
      </c>
      <c r="K175" s="980">
        <v>0.6754</v>
      </c>
      <c r="L175" s="980">
        <v>0.6754</v>
      </c>
      <c r="M175" s="980">
        <v>0.6754</v>
      </c>
    </row>
    <row r="176" spans="1:13">
      <c r="A176" s="971">
        <v>9.1</v>
      </c>
      <c r="B176" s="980">
        <v>0.8921</v>
      </c>
      <c r="C176" s="980">
        <v>0.8921</v>
      </c>
      <c r="D176" s="980">
        <v>0.81330000000000002</v>
      </c>
      <c r="E176" s="980">
        <v>0.81330000000000002</v>
      </c>
      <c r="F176" s="980">
        <v>0.81330000000000002</v>
      </c>
      <c r="G176" s="980">
        <v>0.81330000000000002</v>
      </c>
      <c r="H176" s="980">
        <v>0.81330000000000002</v>
      </c>
      <c r="I176" s="980">
        <v>0.6734</v>
      </c>
      <c r="J176" s="980">
        <v>0.6734</v>
      </c>
      <c r="K176" s="980">
        <v>0.6734</v>
      </c>
      <c r="L176" s="980">
        <v>0.6734</v>
      </c>
      <c r="M176" s="980">
        <v>0.6734</v>
      </c>
    </row>
    <row r="177" spans="1:13">
      <c r="A177" s="971">
        <v>9.1999999999999993</v>
      </c>
      <c r="B177" s="980">
        <v>0.89080000000000004</v>
      </c>
      <c r="C177" s="980">
        <v>0.89080000000000004</v>
      </c>
      <c r="D177" s="980">
        <v>0.81169999999999998</v>
      </c>
      <c r="E177" s="980">
        <v>0.81169999999999998</v>
      </c>
      <c r="F177" s="980">
        <v>0.81169999999999998</v>
      </c>
      <c r="G177" s="980">
        <v>0.81169999999999998</v>
      </c>
      <c r="H177" s="980">
        <v>0.81169999999999998</v>
      </c>
      <c r="I177" s="980">
        <v>0.6714</v>
      </c>
      <c r="J177" s="980">
        <v>0.6714</v>
      </c>
      <c r="K177" s="980">
        <v>0.6714</v>
      </c>
      <c r="L177" s="980">
        <v>0.6714</v>
      </c>
      <c r="M177" s="980">
        <v>0.6714</v>
      </c>
    </row>
    <row r="178" spans="1:13">
      <c r="A178" s="971">
        <v>9.3000000000000007</v>
      </c>
      <c r="B178" s="980">
        <v>0.88949999999999996</v>
      </c>
      <c r="C178" s="980">
        <v>0.88949999999999996</v>
      </c>
      <c r="D178" s="980">
        <v>0.81010000000000004</v>
      </c>
      <c r="E178" s="980">
        <v>0.81010000000000004</v>
      </c>
      <c r="F178" s="980">
        <v>0.81010000000000004</v>
      </c>
      <c r="G178" s="980">
        <v>0.81010000000000004</v>
      </c>
      <c r="H178" s="980">
        <v>0.81010000000000004</v>
      </c>
      <c r="I178" s="980">
        <v>0.6694</v>
      </c>
      <c r="J178" s="980">
        <v>0.6694</v>
      </c>
      <c r="K178" s="980">
        <v>0.6694</v>
      </c>
      <c r="L178" s="980">
        <v>0.6694</v>
      </c>
      <c r="M178" s="980">
        <v>0.6694</v>
      </c>
    </row>
    <row r="179" spans="1:13">
      <c r="A179" s="971">
        <v>9.4</v>
      </c>
      <c r="B179" s="980">
        <v>0.88819999999999999</v>
      </c>
      <c r="C179" s="980">
        <v>0.88819999999999999</v>
      </c>
      <c r="D179" s="980">
        <v>0.8085</v>
      </c>
      <c r="E179" s="980">
        <v>0.8085</v>
      </c>
      <c r="F179" s="980">
        <v>0.8085</v>
      </c>
      <c r="G179" s="980">
        <v>0.8085</v>
      </c>
      <c r="H179" s="980">
        <v>0.8085</v>
      </c>
      <c r="I179" s="980">
        <v>0.66739999999999999</v>
      </c>
      <c r="J179" s="980">
        <v>0.66739999999999999</v>
      </c>
      <c r="K179" s="980">
        <v>0.66739999999999999</v>
      </c>
      <c r="L179" s="980">
        <v>0.66739999999999999</v>
      </c>
      <c r="M179" s="980">
        <v>0.66739999999999999</v>
      </c>
    </row>
    <row r="180" spans="1:13">
      <c r="A180" s="971">
        <v>9.5</v>
      </c>
      <c r="B180" s="980">
        <v>0.88700000000000001</v>
      </c>
      <c r="C180" s="980">
        <v>0.88700000000000001</v>
      </c>
      <c r="D180" s="980">
        <v>0.80700000000000005</v>
      </c>
      <c r="E180" s="980">
        <v>0.80700000000000005</v>
      </c>
      <c r="F180" s="980">
        <v>0.80700000000000005</v>
      </c>
      <c r="G180" s="980">
        <v>0.80700000000000005</v>
      </c>
      <c r="H180" s="980">
        <v>0.80700000000000005</v>
      </c>
      <c r="I180" s="980">
        <v>0.66549999999999998</v>
      </c>
      <c r="J180" s="980">
        <v>0.66549999999999998</v>
      </c>
      <c r="K180" s="980">
        <v>0.66549999999999998</v>
      </c>
      <c r="L180" s="980">
        <v>0.66549999999999998</v>
      </c>
      <c r="M180" s="980">
        <v>0.66549999999999998</v>
      </c>
    </row>
    <row r="181" spans="1:13">
      <c r="A181" s="971">
        <v>9.6</v>
      </c>
      <c r="B181" s="980">
        <v>0.88580000000000003</v>
      </c>
      <c r="C181" s="980">
        <v>0.88580000000000003</v>
      </c>
      <c r="D181" s="980">
        <v>0.80549999999999999</v>
      </c>
      <c r="E181" s="980">
        <v>0.80549999999999999</v>
      </c>
      <c r="F181" s="980">
        <v>0.80549999999999999</v>
      </c>
      <c r="G181" s="980">
        <v>0.80549999999999999</v>
      </c>
      <c r="H181" s="980">
        <v>0.80549999999999999</v>
      </c>
      <c r="I181" s="980">
        <v>0.66359999999999997</v>
      </c>
      <c r="J181" s="980">
        <v>0.66359999999999997</v>
      </c>
      <c r="K181" s="980">
        <v>0.66359999999999997</v>
      </c>
      <c r="L181" s="980">
        <v>0.66359999999999997</v>
      </c>
      <c r="M181" s="980">
        <v>0.66359999999999997</v>
      </c>
    </row>
    <row r="182" spans="1:13">
      <c r="A182" s="971">
        <v>9.6999999999999993</v>
      </c>
      <c r="B182" s="980">
        <v>0.88460000000000005</v>
      </c>
      <c r="C182" s="980">
        <v>0.88460000000000005</v>
      </c>
      <c r="D182" s="980">
        <v>0.80400000000000005</v>
      </c>
      <c r="E182" s="980">
        <v>0.80400000000000005</v>
      </c>
      <c r="F182" s="980">
        <v>0.80400000000000005</v>
      </c>
      <c r="G182" s="980">
        <v>0.80400000000000005</v>
      </c>
      <c r="H182" s="980">
        <v>0.80400000000000005</v>
      </c>
      <c r="I182" s="980">
        <v>0.66169999999999995</v>
      </c>
      <c r="J182" s="980">
        <v>0.66169999999999995</v>
      </c>
      <c r="K182" s="980">
        <v>0.66169999999999995</v>
      </c>
      <c r="L182" s="980">
        <v>0.66169999999999995</v>
      </c>
      <c r="M182" s="980">
        <v>0.66169999999999995</v>
      </c>
    </row>
    <row r="183" spans="1:13">
      <c r="A183" s="971">
        <v>9.8000000000000007</v>
      </c>
      <c r="B183" s="980">
        <v>0.88339999999999996</v>
      </c>
      <c r="C183" s="980">
        <v>0.88339999999999996</v>
      </c>
      <c r="D183" s="980">
        <v>0.80249999999999999</v>
      </c>
      <c r="E183" s="980">
        <v>0.80249999999999999</v>
      </c>
      <c r="F183" s="980">
        <v>0.80249999999999999</v>
      </c>
      <c r="G183" s="980">
        <v>0.80249999999999999</v>
      </c>
      <c r="H183" s="980">
        <v>0.80249999999999999</v>
      </c>
      <c r="I183" s="980">
        <v>0.65980000000000005</v>
      </c>
      <c r="J183" s="980">
        <v>0.65980000000000005</v>
      </c>
      <c r="K183" s="980">
        <v>0.65980000000000005</v>
      </c>
      <c r="L183" s="980">
        <v>0.65980000000000005</v>
      </c>
      <c r="M183" s="980">
        <v>0.65980000000000005</v>
      </c>
    </row>
    <row r="184" spans="1:13">
      <c r="A184" s="971">
        <v>9.9</v>
      </c>
      <c r="B184" s="980">
        <v>0.88219999999999998</v>
      </c>
      <c r="C184" s="980">
        <v>0.88219999999999998</v>
      </c>
      <c r="D184" s="980">
        <v>0.80100000000000005</v>
      </c>
      <c r="E184" s="980">
        <v>0.80100000000000005</v>
      </c>
      <c r="F184" s="980">
        <v>0.80100000000000005</v>
      </c>
      <c r="G184" s="980">
        <v>0.80100000000000005</v>
      </c>
      <c r="H184" s="980">
        <v>0.80100000000000005</v>
      </c>
      <c r="I184" s="980">
        <v>0.65790000000000004</v>
      </c>
      <c r="J184" s="980">
        <v>0.65790000000000004</v>
      </c>
      <c r="K184" s="980">
        <v>0.65790000000000004</v>
      </c>
      <c r="L184" s="980">
        <v>0.65790000000000004</v>
      </c>
      <c r="M184" s="980">
        <v>0.65790000000000004</v>
      </c>
    </row>
    <row r="185" spans="1:13" ht="14.25">
      <c r="A185" s="3339" t="s">
        <v>2772</v>
      </c>
      <c r="B185" s="980"/>
      <c r="C185" s="980"/>
      <c r="D185" s="980"/>
      <c r="E185" s="980"/>
      <c r="F185" s="980"/>
      <c r="G185" s="980"/>
      <c r="H185" s="980"/>
      <c r="I185" s="980"/>
      <c r="J185" s="980"/>
      <c r="K185" s="980"/>
      <c r="L185" s="980"/>
      <c r="M185" s="980"/>
    </row>
    <row r="186" spans="1:13">
      <c r="A186" s="971" t="s">
        <v>1550</v>
      </c>
      <c r="B186" s="980" t="s">
        <v>990</v>
      </c>
      <c r="C186" s="980" t="s">
        <v>1031</v>
      </c>
      <c r="D186" s="980" t="s">
        <v>1145</v>
      </c>
      <c r="E186" s="980" t="s">
        <v>853</v>
      </c>
      <c r="F186" s="980" t="s">
        <v>1152</v>
      </c>
      <c r="G186" s="980" t="s">
        <v>1153</v>
      </c>
      <c r="H186" s="980" t="s">
        <v>1154</v>
      </c>
      <c r="I186" s="980" t="s">
        <v>1155</v>
      </c>
      <c r="J186" s="980" t="s">
        <v>1156</v>
      </c>
      <c r="K186" s="980" t="s">
        <v>1157</v>
      </c>
      <c r="L186" s="980" t="s">
        <v>2757</v>
      </c>
      <c r="M186" s="980" t="s">
        <v>2758</v>
      </c>
    </row>
    <row r="187" spans="1:13">
      <c r="A187" s="971">
        <v>1</v>
      </c>
      <c r="B187" s="980">
        <v>1.1901999999999999</v>
      </c>
      <c r="C187" s="980">
        <v>1.1901999999999999</v>
      </c>
      <c r="D187" s="980">
        <v>1.222</v>
      </c>
      <c r="E187" s="980">
        <v>1.222</v>
      </c>
      <c r="F187" s="980">
        <v>1.222</v>
      </c>
      <c r="G187" s="980">
        <v>1.222</v>
      </c>
      <c r="H187" s="980">
        <v>1.222</v>
      </c>
      <c r="I187" s="980">
        <v>1.1054999999999999</v>
      </c>
      <c r="J187" s="980">
        <v>1.1054999999999999</v>
      </c>
      <c r="K187" s="980">
        <v>1.1054999999999999</v>
      </c>
      <c r="L187" s="980">
        <v>1.1054999999999999</v>
      </c>
      <c r="M187" s="980">
        <v>1.1054999999999999</v>
      </c>
    </row>
    <row r="188" spans="1:13">
      <c r="A188" s="971">
        <v>1.1000000000000001</v>
      </c>
      <c r="B188" s="980">
        <v>1.1715</v>
      </c>
      <c r="C188" s="980">
        <v>1.1715</v>
      </c>
      <c r="D188" s="980">
        <v>1.2002999999999999</v>
      </c>
      <c r="E188" s="980">
        <v>1.2002999999999999</v>
      </c>
      <c r="F188" s="980">
        <v>1.2002999999999999</v>
      </c>
      <c r="G188" s="980">
        <v>1.2002999999999999</v>
      </c>
      <c r="H188" s="980">
        <v>1.2002999999999999</v>
      </c>
      <c r="I188" s="980">
        <v>1.0819000000000001</v>
      </c>
      <c r="J188" s="980">
        <v>1.0819000000000001</v>
      </c>
      <c r="K188" s="980">
        <v>1.0819000000000001</v>
      </c>
      <c r="L188" s="980">
        <v>1.0819000000000001</v>
      </c>
      <c r="M188" s="980">
        <v>1.0819000000000001</v>
      </c>
    </row>
    <row r="189" spans="1:13">
      <c r="A189" s="971">
        <v>1.2</v>
      </c>
      <c r="B189" s="980">
        <v>1.1538999999999999</v>
      </c>
      <c r="C189" s="980">
        <v>1.1538999999999999</v>
      </c>
      <c r="D189" s="980">
        <v>1.1798</v>
      </c>
      <c r="E189" s="980">
        <v>1.1798</v>
      </c>
      <c r="F189" s="980">
        <v>1.1798</v>
      </c>
      <c r="G189" s="980">
        <v>1.1798</v>
      </c>
      <c r="H189" s="980">
        <v>1.1798</v>
      </c>
      <c r="I189" s="980">
        <v>1.0597000000000001</v>
      </c>
      <c r="J189" s="980">
        <v>1.0597000000000001</v>
      </c>
      <c r="K189" s="980">
        <v>1.0597000000000001</v>
      </c>
      <c r="L189" s="980">
        <v>1.0597000000000001</v>
      </c>
      <c r="M189" s="980">
        <v>1.0597000000000001</v>
      </c>
    </row>
    <row r="190" spans="1:13">
      <c r="A190" s="971">
        <v>1.3</v>
      </c>
      <c r="B190" s="980">
        <v>1.1372</v>
      </c>
      <c r="C190" s="980">
        <v>1.1372</v>
      </c>
      <c r="D190" s="980">
        <v>1.1605000000000001</v>
      </c>
      <c r="E190" s="980">
        <v>1.1605000000000001</v>
      </c>
      <c r="F190" s="980">
        <v>1.1605000000000001</v>
      </c>
      <c r="G190" s="980">
        <v>1.1605000000000001</v>
      </c>
      <c r="H190" s="980">
        <v>1.1605000000000001</v>
      </c>
      <c r="I190" s="980">
        <v>1.0386</v>
      </c>
      <c r="J190" s="980">
        <v>1.0386</v>
      </c>
      <c r="K190" s="980">
        <v>1.0386</v>
      </c>
      <c r="L190" s="980">
        <v>1.0386</v>
      </c>
      <c r="M190" s="980">
        <v>1.0386</v>
      </c>
    </row>
    <row r="191" spans="1:13">
      <c r="A191" s="971">
        <v>1.4</v>
      </c>
      <c r="B191" s="980">
        <v>1.1215999999999999</v>
      </c>
      <c r="C191" s="980">
        <v>1.1215999999999999</v>
      </c>
      <c r="D191" s="980">
        <v>1.1422000000000001</v>
      </c>
      <c r="E191" s="980">
        <v>1.1422000000000001</v>
      </c>
      <c r="F191" s="980">
        <v>1.1422000000000001</v>
      </c>
      <c r="G191" s="980">
        <v>1.1422000000000001</v>
      </c>
      <c r="H191" s="980">
        <v>1.1422000000000001</v>
      </c>
      <c r="I191" s="980">
        <v>1.0187999999999999</v>
      </c>
      <c r="J191" s="980">
        <v>1.0187999999999999</v>
      </c>
      <c r="K191" s="980">
        <v>1.0187999999999999</v>
      </c>
      <c r="L191" s="980">
        <v>1.0187999999999999</v>
      </c>
      <c r="M191" s="980">
        <v>1.0187999999999999</v>
      </c>
    </row>
    <row r="192" spans="1:13">
      <c r="A192" s="971">
        <v>1.5</v>
      </c>
      <c r="B192" s="980">
        <v>1.1069</v>
      </c>
      <c r="C192" s="980">
        <v>1.1069</v>
      </c>
      <c r="D192" s="980">
        <v>1.125</v>
      </c>
      <c r="E192" s="980">
        <v>1.125</v>
      </c>
      <c r="F192" s="980">
        <v>1.125</v>
      </c>
      <c r="G192" s="980">
        <v>1.125</v>
      </c>
      <c r="H192" s="980">
        <v>1.125</v>
      </c>
      <c r="I192" s="980">
        <v>1</v>
      </c>
      <c r="J192" s="980">
        <v>1</v>
      </c>
      <c r="K192" s="980">
        <v>1</v>
      </c>
      <c r="L192" s="980">
        <v>1</v>
      </c>
      <c r="M192" s="980">
        <v>1</v>
      </c>
    </row>
    <row r="193" spans="1:13">
      <c r="A193" s="971">
        <v>1.6</v>
      </c>
      <c r="B193" s="980">
        <v>1.0929</v>
      </c>
      <c r="C193" s="980">
        <v>1.0929</v>
      </c>
      <c r="D193" s="980">
        <v>1.1087</v>
      </c>
      <c r="E193" s="980">
        <v>1.1087</v>
      </c>
      <c r="F193" s="980">
        <v>1.1087</v>
      </c>
      <c r="G193" s="980">
        <v>1.1087</v>
      </c>
      <c r="H193" s="980">
        <v>1.1087</v>
      </c>
      <c r="I193" s="980">
        <v>0.98229999999999995</v>
      </c>
      <c r="J193" s="980">
        <v>0.98229999999999995</v>
      </c>
      <c r="K193" s="980">
        <v>0.98229999999999995</v>
      </c>
      <c r="L193" s="980">
        <v>0.98229999999999995</v>
      </c>
      <c r="M193" s="980">
        <v>0.98229999999999995</v>
      </c>
    </row>
    <row r="194" spans="1:13">
      <c r="A194" s="988">
        <v>1.7</v>
      </c>
      <c r="B194" s="980">
        <v>1.0798000000000001</v>
      </c>
      <c r="C194" s="980">
        <v>1.0798000000000001</v>
      </c>
      <c r="D194" s="980">
        <v>1.0933999999999999</v>
      </c>
      <c r="E194" s="980">
        <v>1.0933999999999999</v>
      </c>
      <c r="F194" s="980">
        <v>1.0933999999999999</v>
      </c>
      <c r="G194" s="980">
        <v>1.0933999999999999</v>
      </c>
      <c r="H194" s="980">
        <v>1.0933999999999999</v>
      </c>
      <c r="I194" s="980">
        <v>0.96560000000000001</v>
      </c>
      <c r="J194" s="980">
        <v>0.96560000000000001</v>
      </c>
      <c r="K194" s="980">
        <v>0.96560000000000001</v>
      </c>
      <c r="L194" s="980">
        <v>0.96560000000000001</v>
      </c>
      <c r="M194" s="980">
        <v>0.96560000000000001</v>
      </c>
    </row>
    <row r="195" spans="1:13">
      <c r="A195" s="988">
        <v>1.8</v>
      </c>
      <c r="B195" s="980">
        <v>1.0674999999999999</v>
      </c>
      <c r="C195" s="980">
        <v>1.0674999999999999</v>
      </c>
      <c r="D195" s="980">
        <v>1.0790999999999999</v>
      </c>
      <c r="E195" s="980">
        <v>1.0790999999999999</v>
      </c>
      <c r="F195" s="980">
        <v>1.0790999999999999</v>
      </c>
      <c r="G195" s="980">
        <v>1.0790999999999999</v>
      </c>
      <c r="H195" s="980">
        <v>1.0790999999999999</v>
      </c>
      <c r="I195" s="980">
        <v>0.94989999999999997</v>
      </c>
      <c r="J195" s="980">
        <v>0.94989999999999997</v>
      </c>
      <c r="K195" s="980">
        <v>0.94989999999999997</v>
      </c>
      <c r="L195" s="980">
        <v>0.94989999999999997</v>
      </c>
      <c r="M195" s="980">
        <v>0.94989999999999997</v>
      </c>
    </row>
    <row r="196" spans="1:13">
      <c r="A196" s="988">
        <v>1.9</v>
      </c>
      <c r="B196" s="980">
        <v>1.0558000000000001</v>
      </c>
      <c r="C196" s="980">
        <v>1.0558000000000001</v>
      </c>
      <c r="D196" s="980">
        <v>1.0654999999999999</v>
      </c>
      <c r="E196" s="980">
        <v>1.0654999999999999</v>
      </c>
      <c r="F196" s="980">
        <v>1.0654999999999999</v>
      </c>
      <c r="G196" s="980">
        <v>1.0654999999999999</v>
      </c>
      <c r="H196" s="980">
        <v>1.0654999999999999</v>
      </c>
      <c r="I196" s="980">
        <v>0.93520000000000003</v>
      </c>
      <c r="J196" s="980">
        <v>0.93520000000000003</v>
      </c>
      <c r="K196" s="980">
        <v>0.93520000000000003</v>
      </c>
      <c r="L196" s="980">
        <v>0.93520000000000003</v>
      </c>
      <c r="M196" s="980">
        <v>0.93520000000000003</v>
      </c>
    </row>
    <row r="197" spans="1:13">
      <c r="A197" s="988">
        <v>2</v>
      </c>
      <c r="B197" s="980">
        <v>1.0449999999999999</v>
      </c>
      <c r="C197" s="980">
        <v>1.0449999999999999</v>
      </c>
      <c r="D197" s="980">
        <v>1.0528</v>
      </c>
      <c r="E197" s="980">
        <v>1.0528</v>
      </c>
      <c r="F197" s="980">
        <v>1.0528</v>
      </c>
      <c r="G197" s="980">
        <v>1.0528</v>
      </c>
      <c r="H197" s="980">
        <v>1.0528</v>
      </c>
      <c r="I197" s="980">
        <v>0.92130000000000001</v>
      </c>
      <c r="J197" s="980">
        <v>0.92130000000000001</v>
      </c>
      <c r="K197" s="980">
        <v>0.92130000000000001</v>
      </c>
      <c r="L197" s="980">
        <v>0.92130000000000001</v>
      </c>
      <c r="M197" s="980">
        <v>0.92130000000000001</v>
      </c>
    </row>
    <row r="198" spans="1:13">
      <c r="A198" s="988">
        <v>2.1</v>
      </c>
      <c r="B198" s="980">
        <v>1.0347999999999999</v>
      </c>
      <c r="C198" s="980">
        <v>1.0347999999999999</v>
      </c>
      <c r="D198" s="980">
        <v>1.0407999999999999</v>
      </c>
      <c r="E198" s="980">
        <v>1.0407999999999999</v>
      </c>
      <c r="F198" s="980">
        <v>1.0407999999999999</v>
      </c>
      <c r="G198" s="980">
        <v>1.0407999999999999</v>
      </c>
      <c r="H198" s="980">
        <v>1.0407999999999999</v>
      </c>
      <c r="I198" s="980">
        <v>0.90820000000000001</v>
      </c>
      <c r="J198" s="980">
        <v>0.90820000000000001</v>
      </c>
      <c r="K198" s="980">
        <v>0.90820000000000001</v>
      </c>
      <c r="L198" s="980">
        <v>0.90820000000000001</v>
      </c>
      <c r="M198" s="980">
        <v>0.90820000000000001</v>
      </c>
    </row>
    <row r="199" spans="1:13">
      <c r="A199" s="988">
        <v>2.2000000000000002</v>
      </c>
      <c r="B199" s="980">
        <v>1.0251999999999999</v>
      </c>
      <c r="C199" s="980">
        <v>1.0251999999999999</v>
      </c>
      <c r="D199" s="980">
        <v>1.0296000000000001</v>
      </c>
      <c r="E199" s="980">
        <v>1.0296000000000001</v>
      </c>
      <c r="F199" s="980">
        <v>1.0296000000000001</v>
      </c>
      <c r="G199" s="980">
        <v>1.0296000000000001</v>
      </c>
      <c r="H199" s="980">
        <v>1.0296000000000001</v>
      </c>
      <c r="I199" s="980">
        <v>0.89570000000000005</v>
      </c>
      <c r="J199" s="980">
        <v>0.89570000000000005</v>
      </c>
      <c r="K199" s="980">
        <v>0.89570000000000005</v>
      </c>
      <c r="L199" s="980">
        <v>0.89570000000000005</v>
      </c>
      <c r="M199" s="980">
        <v>0.89570000000000005</v>
      </c>
    </row>
    <row r="200" spans="1:13">
      <c r="A200" s="988">
        <v>2.2999999999999998</v>
      </c>
      <c r="B200" s="980">
        <v>1.0162</v>
      </c>
      <c r="C200" s="980">
        <v>1.0162</v>
      </c>
      <c r="D200" s="980">
        <v>1.0190999999999999</v>
      </c>
      <c r="E200" s="980">
        <v>1.0190999999999999</v>
      </c>
      <c r="F200" s="980">
        <v>1.0190999999999999</v>
      </c>
      <c r="G200" s="980">
        <v>1.0190999999999999</v>
      </c>
      <c r="H200" s="980">
        <v>1.0190999999999999</v>
      </c>
      <c r="I200" s="980">
        <v>0.88419999999999999</v>
      </c>
      <c r="J200" s="980">
        <v>0.88419999999999999</v>
      </c>
      <c r="K200" s="980">
        <v>0.88419999999999999</v>
      </c>
      <c r="L200" s="980">
        <v>0.88419999999999999</v>
      </c>
      <c r="M200" s="980">
        <v>0.88419999999999999</v>
      </c>
    </row>
    <row r="201" spans="1:13">
      <c r="A201" s="988">
        <v>2.4</v>
      </c>
      <c r="B201" s="980">
        <v>1.0078</v>
      </c>
      <c r="C201" s="980">
        <v>1.0078</v>
      </c>
      <c r="D201" s="980">
        <v>1.0092000000000001</v>
      </c>
      <c r="E201" s="980">
        <v>1.0092000000000001</v>
      </c>
      <c r="F201" s="980">
        <v>1.0092000000000001</v>
      </c>
      <c r="G201" s="980">
        <v>1.0092000000000001</v>
      </c>
      <c r="H201" s="980">
        <v>1.0092000000000001</v>
      </c>
      <c r="I201" s="980">
        <v>0.87329999999999997</v>
      </c>
      <c r="J201" s="980">
        <v>0.87329999999999997</v>
      </c>
      <c r="K201" s="980">
        <v>0.87329999999999997</v>
      </c>
      <c r="L201" s="980">
        <v>0.87329999999999997</v>
      </c>
      <c r="M201" s="980">
        <v>0.87329999999999997</v>
      </c>
    </row>
    <row r="202" spans="1:13">
      <c r="A202" s="988">
        <v>2.5</v>
      </c>
      <c r="B202" s="980">
        <v>1</v>
      </c>
      <c r="C202" s="980">
        <v>1</v>
      </c>
      <c r="D202" s="980">
        <v>1</v>
      </c>
      <c r="E202" s="980">
        <v>1</v>
      </c>
      <c r="F202" s="980">
        <v>1</v>
      </c>
      <c r="G202" s="980">
        <v>1</v>
      </c>
      <c r="H202" s="980">
        <v>1</v>
      </c>
      <c r="I202" s="980">
        <v>0.86299999999999999</v>
      </c>
      <c r="J202" s="980">
        <v>0.86299999999999999</v>
      </c>
      <c r="K202" s="980">
        <v>0.86299999999999999</v>
      </c>
      <c r="L202" s="980">
        <v>0.86299999999999999</v>
      </c>
      <c r="M202" s="980">
        <v>0.86299999999999999</v>
      </c>
    </row>
    <row r="203" spans="1:13">
      <c r="A203" s="988">
        <v>2.6</v>
      </c>
      <c r="B203" s="980">
        <v>0.99270000000000003</v>
      </c>
      <c r="C203" s="980">
        <v>0.99270000000000003</v>
      </c>
      <c r="D203" s="980">
        <v>0.99139999999999995</v>
      </c>
      <c r="E203" s="980">
        <v>0.99139999999999995</v>
      </c>
      <c r="F203" s="980">
        <v>0.99139999999999995</v>
      </c>
      <c r="G203" s="980">
        <v>0.99139999999999995</v>
      </c>
      <c r="H203" s="980">
        <v>0.99139999999999995</v>
      </c>
      <c r="I203" s="980">
        <v>0.85340000000000005</v>
      </c>
      <c r="J203" s="980">
        <v>0.85340000000000005</v>
      </c>
      <c r="K203" s="980">
        <v>0.85340000000000005</v>
      </c>
      <c r="L203" s="980">
        <v>0.85340000000000005</v>
      </c>
      <c r="M203" s="980">
        <v>0.85340000000000005</v>
      </c>
    </row>
    <row r="204" spans="1:13">
      <c r="A204" s="988">
        <v>2.7</v>
      </c>
      <c r="B204" s="980">
        <v>0.98580000000000001</v>
      </c>
      <c r="C204" s="980">
        <v>0.98580000000000001</v>
      </c>
      <c r="D204" s="980">
        <v>0.98329999999999995</v>
      </c>
      <c r="E204" s="980">
        <v>0.98329999999999995</v>
      </c>
      <c r="F204" s="980">
        <v>0.98329999999999995</v>
      </c>
      <c r="G204" s="980">
        <v>0.98329999999999995</v>
      </c>
      <c r="H204" s="980">
        <v>0.98329999999999995</v>
      </c>
      <c r="I204" s="980">
        <v>0.84440000000000004</v>
      </c>
      <c r="J204" s="980">
        <v>0.84440000000000004</v>
      </c>
      <c r="K204" s="980">
        <v>0.84440000000000004</v>
      </c>
      <c r="L204" s="980">
        <v>0.84440000000000004</v>
      </c>
      <c r="M204" s="980">
        <v>0.84440000000000004</v>
      </c>
    </row>
    <row r="205" spans="1:13">
      <c r="A205" s="988">
        <v>2.8</v>
      </c>
      <c r="B205" s="980">
        <v>0.97940000000000005</v>
      </c>
      <c r="C205" s="980">
        <v>0.97940000000000005</v>
      </c>
      <c r="D205" s="980">
        <v>0.97570000000000001</v>
      </c>
      <c r="E205" s="980">
        <v>0.97570000000000001</v>
      </c>
      <c r="F205" s="980">
        <v>0.97570000000000001</v>
      </c>
      <c r="G205" s="980">
        <v>0.97570000000000001</v>
      </c>
      <c r="H205" s="980">
        <v>0.97570000000000001</v>
      </c>
      <c r="I205" s="980">
        <v>0.83599999999999997</v>
      </c>
      <c r="J205" s="980">
        <v>0.83599999999999997</v>
      </c>
      <c r="K205" s="980">
        <v>0.83599999999999997</v>
      </c>
      <c r="L205" s="980">
        <v>0.83599999999999997</v>
      </c>
      <c r="M205" s="980">
        <v>0.83599999999999997</v>
      </c>
    </row>
    <row r="206" spans="1:13">
      <c r="A206" s="971">
        <v>2.9</v>
      </c>
      <c r="B206" s="972">
        <v>0.97350000000000003</v>
      </c>
      <c r="C206" s="972">
        <v>0.97350000000000003</v>
      </c>
      <c r="D206" s="972">
        <v>0.96870000000000001</v>
      </c>
      <c r="E206" s="972">
        <v>0.96870000000000001</v>
      </c>
      <c r="F206" s="972">
        <v>0.96870000000000001</v>
      </c>
      <c r="G206" s="972">
        <v>0.96870000000000001</v>
      </c>
      <c r="H206" s="973">
        <v>0.96870000000000001</v>
      </c>
      <c r="I206" s="973">
        <v>0.82820000000000005</v>
      </c>
      <c r="J206" s="974">
        <v>0.82820000000000005</v>
      </c>
      <c r="K206" s="974">
        <v>0.82820000000000005</v>
      </c>
      <c r="L206" s="974">
        <v>0.82820000000000005</v>
      </c>
      <c r="M206" s="974">
        <v>0.82820000000000005</v>
      </c>
    </row>
    <row r="207" spans="1:13">
      <c r="A207" s="971">
        <v>3</v>
      </c>
      <c r="B207" s="980">
        <v>0.96789999999999998</v>
      </c>
      <c r="C207" s="980">
        <v>0.96789999999999998</v>
      </c>
      <c r="D207" s="980">
        <v>0.96209999999999996</v>
      </c>
      <c r="E207" s="980">
        <v>0.96209999999999996</v>
      </c>
      <c r="F207" s="980">
        <v>0.96209999999999996</v>
      </c>
      <c r="G207" s="980">
        <v>0.96209999999999996</v>
      </c>
      <c r="H207" s="980">
        <v>0.96209999999999996</v>
      </c>
      <c r="I207" s="980">
        <v>0.82079999999999997</v>
      </c>
      <c r="J207" s="980">
        <v>0.82079999999999997</v>
      </c>
      <c r="K207" s="980">
        <v>0.82079999999999997</v>
      </c>
      <c r="L207" s="980">
        <v>0.82079999999999997</v>
      </c>
      <c r="M207" s="980">
        <v>0.82079999999999997</v>
      </c>
    </row>
    <row r="208" spans="1:13">
      <c r="A208" s="971">
        <v>3.1</v>
      </c>
      <c r="B208" s="980">
        <v>0.9627</v>
      </c>
      <c r="C208" s="980">
        <v>0.9627</v>
      </c>
      <c r="D208" s="980">
        <v>0.95589999999999997</v>
      </c>
      <c r="E208" s="980">
        <v>0.95589999999999997</v>
      </c>
      <c r="F208" s="980">
        <v>0.95589999999999997</v>
      </c>
      <c r="G208" s="980">
        <v>0.95589999999999997</v>
      </c>
      <c r="H208" s="980">
        <v>0.95589999999999997</v>
      </c>
      <c r="I208" s="980">
        <v>0.81389999999999996</v>
      </c>
      <c r="J208" s="980">
        <v>0.81389999999999996</v>
      </c>
      <c r="K208" s="980">
        <v>0.81389999999999996</v>
      </c>
      <c r="L208" s="980">
        <v>0.81389999999999996</v>
      </c>
      <c r="M208" s="980">
        <v>0.81389999999999996</v>
      </c>
    </row>
    <row r="209" spans="1:13">
      <c r="A209" s="971">
        <v>3.2</v>
      </c>
      <c r="B209" s="980">
        <v>0.95789999999999997</v>
      </c>
      <c r="C209" s="980">
        <v>0.95789999999999997</v>
      </c>
      <c r="D209" s="980">
        <v>0.95020000000000004</v>
      </c>
      <c r="E209" s="980">
        <v>0.95020000000000004</v>
      </c>
      <c r="F209" s="980">
        <v>0.95020000000000004</v>
      </c>
      <c r="G209" s="980">
        <v>0.95020000000000004</v>
      </c>
      <c r="H209" s="980">
        <v>0.95020000000000004</v>
      </c>
      <c r="I209" s="980">
        <v>0.8075</v>
      </c>
      <c r="J209" s="980">
        <v>0.8075</v>
      </c>
      <c r="K209" s="980">
        <v>0.8075</v>
      </c>
      <c r="L209" s="980">
        <v>0.8075</v>
      </c>
      <c r="M209" s="980">
        <v>0.8075</v>
      </c>
    </row>
    <row r="210" spans="1:13">
      <c r="A210" s="971">
        <v>3.3</v>
      </c>
      <c r="B210" s="980">
        <v>0.95340000000000003</v>
      </c>
      <c r="C210" s="980">
        <v>0.95340000000000003</v>
      </c>
      <c r="D210" s="980">
        <v>0.94479999999999997</v>
      </c>
      <c r="E210" s="980">
        <v>0.94479999999999997</v>
      </c>
      <c r="F210" s="980">
        <v>0.94479999999999997</v>
      </c>
      <c r="G210" s="980">
        <v>0.94479999999999997</v>
      </c>
      <c r="H210" s="980">
        <v>0.94479999999999997</v>
      </c>
      <c r="I210" s="980">
        <v>0.80149999999999999</v>
      </c>
      <c r="J210" s="980">
        <v>0.80149999999999999</v>
      </c>
      <c r="K210" s="980">
        <v>0.80149999999999999</v>
      </c>
      <c r="L210" s="980">
        <v>0.80149999999999999</v>
      </c>
      <c r="M210" s="980">
        <v>0.80149999999999999</v>
      </c>
    </row>
    <row r="211" spans="1:13">
      <c r="A211" s="971">
        <v>3.4</v>
      </c>
      <c r="B211" s="980">
        <v>0.94920000000000004</v>
      </c>
      <c r="C211" s="980">
        <v>0.94920000000000004</v>
      </c>
      <c r="D211" s="980">
        <v>0.93989999999999996</v>
      </c>
      <c r="E211" s="980">
        <v>0.93989999999999996</v>
      </c>
      <c r="F211" s="980">
        <v>0.93989999999999996</v>
      </c>
      <c r="G211" s="980">
        <v>0.93989999999999996</v>
      </c>
      <c r="H211" s="980">
        <v>0.93989999999999996</v>
      </c>
      <c r="I211" s="980">
        <v>0.79590000000000005</v>
      </c>
      <c r="J211" s="980">
        <v>0.79590000000000005</v>
      </c>
      <c r="K211" s="980">
        <v>0.79590000000000005</v>
      </c>
      <c r="L211" s="980">
        <v>0.79590000000000005</v>
      </c>
      <c r="M211" s="980">
        <v>0.79590000000000005</v>
      </c>
    </row>
    <row r="212" spans="1:13">
      <c r="A212" s="971">
        <v>3.5</v>
      </c>
      <c r="B212" s="980">
        <v>0.94540000000000002</v>
      </c>
      <c r="C212" s="980">
        <v>0.94540000000000002</v>
      </c>
      <c r="D212" s="980">
        <v>0.93520000000000003</v>
      </c>
      <c r="E212" s="980">
        <v>0.93520000000000003</v>
      </c>
      <c r="F212" s="980">
        <v>0.93520000000000003</v>
      </c>
      <c r="G212" s="980">
        <v>0.93520000000000003</v>
      </c>
      <c r="H212" s="980">
        <v>0.93520000000000003</v>
      </c>
      <c r="I212" s="980">
        <v>0.79059999999999997</v>
      </c>
      <c r="J212" s="980">
        <v>0.79059999999999997</v>
      </c>
      <c r="K212" s="980">
        <v>0.79059999999999997</v>
      </c>
      <c r="L212" s="980">
        <v>0.79059999999999997</v>
      </c>
      <c r="M212" s="980">
        <v>0.79059999999999997</v>
      </c>
    </row>
    <row r="213" spans="1:13">
      <c r="A213" s="971">
        <v>3.6</v>
      </c>
      <c r="B213" s="980">
        <v>0.94179999999999997</v>
      </c>
      <c r="C213" s="980">
        <v>0.94179999999999997</v>
      </c>
      <c r="D213" s="980">
        <v>0.93089999999999995</v>
      </c>
      <c r="E213" s="980">
        <v>0.93089999999999995</v>
      </c>
      <c r="F213" s="980">
        <v>0.93089999999999995</v>
      </c>
      <c r="G213" s="980">
        <v>0.93089999999999995</v>
      </c>
      <c r="H213" s="980">
        <v>0.93089999999999995</v>
      </c>
      <c r="I213" s="980">
        <v>0.78569999999999995</v>
      </c>
      <c r="J213" s="980">
        <v>0.78569999999999995</v>
      </c>
      <c r="K213" s="980">
        <v>0.78569999999999995</v>
      </c>
      <c r="L213" s="980">
        <v>0.78569999999999995</v>
      </c>
      <c r="M213" s="980">
        <v>0.78569999999999995</v>
      </c>
    </row>
    <row r="214" spans="1:13">
      <c r="A214" s="971">
        <v>3.7</v>
      </c>
      <c r="B214" s="980">
        <v>0.93840000000000001</v>
      </c>
      <c r="C214" s="980">
        <v>0.93840000000000001</v>
      </c>
      <c r="D214" s="980">
        <v>0.92689999999999995</v>
      </c>
      <c r="E214" s="980">
        <v>0.92689999999999995</v>
      </c>
      <c r="F214" s="980">
        <v>0.92689999999999995</v>
      </c>
      <c r="G214" s="980">
        <v>0.92689999999999995</v>
      </c>
      <c r="H214" s="980">
        <v>0.92689999999999995</v>
      </c>
      <c r="I214" s="980">
        <v>0.78110000000000002</v>
      </c>
      <c r="J214" s="980">
        <v>0.78110000000000002</v>
      </c>
      <c r="K214" s="980">
        <v>0.78110000000000002</v>
      </c>
      <c r="L214" s="980">
        <v>0.78110000000000002</v>
      </c>
      <c r="M214" s="980">
        <v>0.78110000000000002</v>
      </c>
    </row>
    <row r="215" spans="1:13">
      <c r="A215" s="971">
        <v>3.8</v>
      </c>
      <c r="B215" s="980">
        <v>0.93530000000000002</v>
      </c>
      <c r="C215" s="980">
        <v>0.93530000000000002</v>
      </c>
      <c r="D215" s="980">
        <v>0.92310000000000003</v>
      </c>
      <c r="E215" s="980">
        <v>0.92310000000000003</v>
      </c>
      <c r="F215" s="980">
        <v>0.92310000000000003</v>
      </c>
      <c r="G215" s="980">
        <v>0.92310000000000003</v>
      </c>
      <c r="H215" s="980">
        <v>0.92310000000000003</v>
      </c>
      <c r="I215" s="980">
        <v>0.77680000000000005</v>
      </c>
      <c r="J215" s="980">
        <v>0.77680000000000005</v>
      </c>
      <c r="K215" s="980">
        <v>0.77680000000000005</v>
      </c>
      <c r="L215" s="980">
        <v>0.77680000000000005</v>
      </c>
      <c r="M215" s="980">
        <v>0.77680000000000005</v>
      </c>
    </row>
    <row r="216" spans="1:13">
      <c r="A216" s="971">
        <v>3.9</v>
      </c>
      <c r="B216" s="980">
        <v>0.93240000000000001</v>
      </c>
      <c r="C216" s="980">
        <v>0.93240000000000001</v>
      </c>
      <c r="D216" s="980">
        <v>0.91959999999999997</v>
      </c>
      <c r="E216" s="980">
        <v>0.91959999999999997</v>
      </c>
      <c r="F216" s="980">
        <v>0.91959999999999997</v>
      </c>
      <c r="G216" s="980">
        <v>0.91959999999999997</v>
      </c>
      <c r="H216" s="980">
        <v>0.91959999999999997</v>
      </c>
      <c r="I216" s="980">
        <v>0.77270000000000005</v>
      </c>
      <c r="J216" s="980">
        <v>0.77270000000000005</v>
      </c>
      <c r="K216" s="980">
        <v>0.77270000000000005</v>
      </c>
      <c r="L216" s="980">
        <v>0.77270000000000005</v>
      </c>
      <c r="M216" s="980">
        <v>0.77270000000000005</v>
      </c>
    </row>
    <row r="217" spans="1:13">
      <c r="A217" s="971">
        <v>4</v>
      </c>
      <c r="B217" s="980">
        <v>0.92969999999999997</v>
      </c>
      <c r="C217" s="980">
        <v>0.92969999999999997</v>
      </c>
      <c r="D217" s="980">
        <v>0.9163</v>
      </c>
      <c r="E217" s="980">
        <v>0.9163</v>
      </c>
      <c r="F217" s="980">
        <v>0.9163</v>
      </c>
      <c r="G217" s="980">
        <v>0.9163</v>
      </c>
      <c r="H217" s="980">
        <v>0.9163</v>
      </c>
      <c r="I217" s="980">
        <v>0.76880000000000004</v>
      </c>
      <c r="J217" s="980">
        <v>0.76880000000000004</v>
      </c>
      <c r="K217" s="980">
        <v>0.76880000000000004</v>
      </c>
      <c r="L217" s="980">
        <v>0.76880000000000004</v>
      </c>
      <c r="M217" s="980">
        <v>0.76880000000000004</v>
      </c>
    </row>
    <row r="218" spans="1:13">
      <c r="A218" s="971">
        <v>4.0999999999999996</v>
      </c>
      <c r="B218" s="980">
        <v>0.92720000000000002</v>
      </c>
      <c r="C218" s="980">
        <v>0.92720000000000002</v>
      </c>
      <c r="D218" s="980">
        <v>0.91320000000000001</v>
      </c>
      <c r="E218" s="980">
        <v>0.91320000000000001</v>
      </c>
      <c r="F218" s="980">
        <v>0.91320000000000001</v>
      </c>
      <c r="G218" s="980">
        <v>0.91320000000000001</v>
      </c>
      <c r="H218" s="980">
        <v>0.91320000000000001</v>
      </c>
      <c r="I218" s="980">
        <v>0.7651</v>
      </c>
      <c r="J218" s="980">
        <v>0.7651</v>
      </c>
      <c r="K218" s="980">
        <v>0.7651</v>
      </c>
      <c r="L218" s="980">
        <v>0.7651</v>
      </c>
      <c r="M218" s="980">
        <v>0.7651</v>
      </c>
    </row>
    <row r="219" spans="1:13">
      <c r="A219" s="971">
        <v>4.2</v>
      </c>
      <c r="B219" s="980">
        <v>0.92479999999999996</v>
      </c>
      <c r="C219" s="980">
        <v>0.92479999999999996</v>
      </c>
      <c r="D219" s="980">
        <v>0.91020000000000001</v>
      </c>
      <c r="E219" s="980">
        <v>0.91020000000000001</v>
      </c>
      <c r="F219" s="980">
        <v>0.91020000000000001</v>
      </c>
      <c r="G219" s="980">
        <v>0.91020000000000001</v>
      </c>
      <c r="H219" s="980">
        <v>0.91020000000000001</v>
      </c>
      <c r="I219" s="980">
        <v>0.76149999999999995</v>
      </c>
      <c r="J219" s="980">
        <v>0.76149999999999995</v>
      </c>
      <c r="K219" s="980">
        <v>0.76149999999999995</v>
      </c>
      <c r="L219" s="980">
        <v>0.76149999999999995</v>
      </c>
      <c r="M219" s="980">
        <v>0.76149999999999995</v>
      </c>
    </row>
    <row r="220" spans="1:13">
      <c r="A220" s="971">
        <v>4.3</v>
      </c>
      <c r="B220" s="980">
        <v>0.92249999999999999</v>
      </c>
      <c r="C220" s="980">
        <v>0.92249999999999999</v>
      </c>
      <c r="D220" s="980">
        <v>0.9073</v>
      </c>
      <c r="E220" s="980">
        <v>0.9073</v>
      </c>
      <c r="F220" s="980">
        <v>0.9073</v>
      </c>
      <c r="G220" s="980">
        <v>0.9073</v>
      </c>
      <c r="H220" s="980">
        <v>0.9073</v>
      </c>
      <c r="I220" s="980">
        <v>0.75800000000000001</v>
      </c>
      <c r="J220" s="980">
        <v>0.75800000000000001</v>
      </c>
      <c r="K220" s="980">
        <v>0.75800000000000001</v>
      </c>
      <c r="L220" s="980">
        <v>0.75800000000000001</v>
      </c>
      <c r="M220" s="980">
        <v>0.75800000000000001</v>
      </c>
    </row>
    <row r="221" spans="1:13">
      <c r="A221" s="971">
        <v>4.4000000000000004</v>
      </c>
      <c r="B221" s="980">
        <v>0.92030000000000001</v>
      </c>
      <c r="C221" s="980">
        <v>0.92030000000000001</v>
      </c>
      <c r="D221" s="980">
        <v>0.90449999999999997</v>
      </c>
      <c r="E221" s="980">
        <v>0.90449999999999997</v>
      </c>
      <c r="F221" s="980">
        <v>0.90449999999999997</v>
      </c>
      <c r="G221" s="980">
        <v>0.90449999999999997</v>
      </c>
      <c r="H221" s="980">
        <v>0.90449999999999997</v>
      </c>
      <c r="I221" s="980">
        <v>0.75460000000000005</v>
      </c>
      <c r="J221" s="980">
        <v>0.75460000000000005</v>
      </c>
      <c r="K221" s="980">
        <v>0.75460000000000005</v>
      </c>
      <c r="L221" s="980">
        <v>0.75460000000000005</v>
      </c>
      <c r="M221" s="980">
        <v>0.75460000000000005</v>
      </c>
    </row>
    <row r="222" spans="1:13">
      <c r="A222" s="971">
        <v>4.5</v>
      </c>
      <c r="B222" s="980">
        <v>0.91810000000000003</v>
      </c>
      <c r="C222" s="980">
        <v>0.91810000000000003</v>
      </c>
      <c r="D222" s="980">
        <v>0.90180000000000005</v>
      </c>
      <c r="E222" s="980">
        <v>0.90180000000000005</v>
      </c>
      <c r="F222" s="980">
        <v>0.90180000000000005</v>
      </c>
      <c r="G222" s="980">
        <v>0.90180000000000005</v>
      </c>
      <c r="H222" s="980">
        <v>0.90180000000000005</v>
      </c>
      <c r="I222" s="980">
        <v>0.75129999999999997</v>
      </c>
      <c r="J222" s="980">
        <v>0.75129999999999997</v>
      </c>
      <c r="K222" s="980">
        <v>0.75129999999999997</v>
      </c>
      <c r="L222" s="980">
        <v>0.75129999999999997</v>
      </c>
      <c r="M222" s="980">
        <v>0.75129999999999997</v>
      </c>
    </row>
    <row r="223" spans="1:13">
      <c r="A223" s="971">
        <v>4.5999999999999996</v>
      </c>
      <c r="B223" s="980">
        <v>0.91600000000000004</v>
      </c>
      <c r="C223" s="980">
        <v>0.91600000000000004</v>
      </c>
      <c r="D223" s="980">
        <v>0.8992</v>
      </c>
      <c r="E223" s="980">
        <v>0.8992</v>
      </c>
      <c r="F223" s="980">
        <v>0.8992</v>
      </c>
      <c r="G223" s="980">
        <v>0.8992</v>
      </c>
      <c r="H223" s="980">
        <v>0.8992</v>
      </c>
      <c r="I223" s="980">
        <v>0.748</v>
      </c>
      <c r="J223" s="980">
        <v>0.748</v>
      </c>
      <c r="K223" s="980">
        <v>0.748</v>
      </c>
      <c r="L223" s="980">
        <v>0.748</v>
      </c>
      <c r="M223" s="980">
        <v>0.748</v>
      </c>
    </row>
    <row r="224" spans="1:13">
      <c r="A224" s="971">
        <v>4.7</v>
      </c>
      <c r="B224" s="980">
        <v>0.91390000000000005</v>
      </c>
      <c r="C224" s="980">
        <v>0.91390000000000005</v>
      </c>
      <c r="D224" s="980">
        <v>0.89659999999999995</v>
      </c>
      <c r="E224" s="980">
        <v>0.89659999999999995</v>
      </c>
      <c r="F224" s="980">
        <v>0.89659999999999995</v>
      </c>
      <c r="G224" s="980">
        <v>0.89659999999999995</v>
      </c>
      <c r="H224" s="980">
        <v>0.89659999999999995</v>
      </c>
      <c r="I224" s="980">
        <v>0.74480000000000002</v>
      </c>
      <c r="J224" s="980">
        <v>0.74480000000000002</v>
      </c>
      <c r="K224" s="980">
        <v>0.74480000000000002</v>
      </c>
      <c r="L224" s="980">
        <v>0.74480000000000002</v>
      </c>
      <c r="M224" s="980">
        <v>0.74480000000000002</v>
      </c>
    </row>
    <row r="225" spans="1:13">
      <c r="A225" s="971">
        <v>4.8</v>
      </c>
      <c r="B225" s="980">
        <v>0.91180000000000005</v>
      </c>
      <c r="C225" s="980">
        <v>0.91180000000000005</v>
      </c>
      <c r="D225" s="980">
        <v>0.89410000000000001</v>
      </c>
      <c r="E225" s="980">
        <v>0.89410000000000001</v>
      </c>
      <c r="F225" s="980">
        <v>0.89410000000000001</v>
      </c>
      <c r="G225" s="980">
        <v>0.89410000000000001</v>
      </c>
      <c r="H225" s="980">
        <v>0.89410000000000001</v>
      </c>
      <c r="I225" s="980">
        <v>0.74160000000000004</v>
      </c>
      <c r="J225" s="980">
        <v>0.74160000000000004</v>
      </c>
      <c r="K225" s="980">
        <v>0.74160000000000004</v>
      </c>
      <c r="L225" s="980">
        <v>0.74160000000000004</v>
      </c>
      <c r="M225" s="980">
        <v>0.74160000000000004</v>
      </c>
    </row>
    <row r="226" spans="1:13">
      <c r="A226" s="971">
        <v>4.9000000000000004</v>
      </c>
      <c r="B226" s="980">
        <v>0.90980000000000005</v>
      </c>
      <c r="C226" s="980">
        <v>0.90980000000000005</v>
      </c>
      <c r="D226" s="980">
        <v>0.89159999999999995</v>
      </c>
      <c r="E226" s="980">
        <v>0.89159999999999995</v>
      </c>
      <c r="F226" s="980">
        <v>0.89159999999999995</v>
      </c>
      <c r="G226" s="980">
        <v>0.89159999999999995</v>
      </c>
      <c r="H226" s="980">
        <v>0.89159999999999995</v>
      </c>
      <c r="I226" s="980">
        <v>0.73839999999999995</v>
      </c>
      <c r="J226" s="980">
        <v>0.73839999999999995</v>
      </c>
      <c r="K226" s="980">
        <v>0.73839999999999995</v>
      </c>
      <c r="L226" s="980">
        <v>0.73839999999999995</v>
      </c>
      <c r="M226" s="980">
        <v>0.73839999999999995</v>
      </c>
    </row>
    <row r="227" spans="1:13">
      <c r="A227" s="988">
        <v>5</v>
      </c>
      <c r="B227" s="980">
        <v>0.90780000000000005</v>
      </c>
      <c r="C227" s="980">
        <v>0.90780000000000005</v>
      </c>
      <c r="D227" s="980">
        <v>0.8891</v>
      </c>
      <c r="E227" s="980">
        <v>0.8891</v>
      </c>
      <c r="F227" s="980">
        <v>0.8891</v>
      </c>
      <c r="G227" s="980">
        <v>0.8891</v>
      </c>
      <c r="H227" s="980">
        <v>0.8891</v>
      </c>
      <c r="I227" s="980">
        <v>0.73529999999999995</v>
      </c>
      <c r="J227" s="980">
        <v>0.73529999999999995</v>
      </c>
      <c r="K227" s="980">
        <v>0.73529999999999995</v>
      </c>
      <c r="L227" s="980">
        <v>0.73529999999999995</v>
      </c>
      <c r="M227" s="980">
        <v>0.73529999999999995</v>
      </c>
    </row>
    <row r="228" spans="1:13">
      <c r="A228" s="988">
        <v>5.0999999999999996</v>
      </c>
      <c r="B228" s="980">
        <v>0.90580000000000005</v>
      </c>
      <c r="C228" s="980">
        <v>0.90580000000000005</v>
      </c>
      <c r="D228" s="980">
        <v>0.88670000000000004</v>
      </c>
      <c r="E228" s="980">
        <v>0.88670000000000004</v>
      </c>
      <c r="F228" s="980">
        <v>0.88670000000000004</v>
      </c>
      <c r="G228" s="980">
        <v>0.88670000000000004</v>
      </c>
      <c r="H228" s="980">
        <v>0.88670000000000004</v>
      </c>
      <c r="I228" s="980">
        <v>0.73219999999999996</v>
      </c>
      <c r="J228" s="980">
        <v>0.73219999999999996</v>
      </c>
      <c r="K228" s="980">
        <v>0.73219999999999996</v>
      </c>
      <c r="L228" s="980">
        <v>0.73219999999999996</v>
      </c>
      <c r="M228" s="980">
        <v>0.73219999999999996</v>
      </c>
    </row>
    <row r="229" spans="1:13">
      <c r="A229" s="988">
        <v>5.2</v>
      </c>
      <c r="B229" s="980">
        <v>0.90380000000000005</v>
      </c>
      <c r="C229" s="980">
        <v>0.90380000000000005</v>
      </c>
      <c r="D229" s="980">
        <v>0.88429999999999997</v>
      </c>
      <c r="E229" s="980">
        <v>0.88429999999999997</v>
      </c>
      <c r="F229" s="980">
        <v>0.88429999999999997</v>
      </c>
      <c r="G229" s="980">
        <v>0.88429999999999997</v>
      </c>
      <c r="H229" s="980">
        <v>0.88429999999999997</v>
      </c>
      <c r="I229" s="980">
        <v>0.72909999999999997</v>
      </c>
      <c r="J229" s="980">
        <v>0.72909999999999997</v>
      </c>
      <c r="K229" s="980">
        <v>0.72909999999999997</v>
      </c>
      <c r="L229" s="980">
        <v>0.72909999999999997</v>
      </c>
      <c r="M229" s="980">
        <v>0.72909999999999997</v>
      </c>
    </row>
    <row r="230" spans="1:13">
      <c r="A230" s="988">
        <v>5.3</v>
      </c>
      <c r="B230" s="980">
        <v>0.90190000000000003</v>
      </c>
      <c r="C230" s="980">
        <v>0.90190000000000003</v>
      </c>
      <c r="D230" s="980">
        <v>0.88190000000000002</v>
      </c>
      <c r="E230" s="980">
        <v>0.88190000000000002</v>
      </c>
      <c r="F230" s="980">
        <v>0.88190000000000002</v>
      </c>
      <c r="G230" s="980">
        <v>0.88190000000000002</v>
      </c>
      <c r="H230" s="980">
        <v>0.88190000000000002</v>
      </c>
      <c r="I230" s="980">
        <v>0.72609999999999997</v>
      </c>
      <c r="J230" s="980">
        <v>0.72609999999999997</v>
      </c>
      <c r="K230" s="980">
        <v>0.72609999999999997</v>
      </c>
      <c r="L230" s="980">
        <v>0.72609999999999997</v>
      </c>
      <c r="M230" s="980">
        <v>0.72609999999999997</v>
      </c>
    </row>
    <row r="231" spans="1:13">
      <c r="A231" s="988">
        <v>5.4</v>
      </c>
      <c r="B231" s="980">
        <v>0.9</v>
      </c>
      <c r="C231" s="980">
        <v>0.9</v>
      </c>
      <c r="D231" s="980">
        <v>0.87949999999999995</v>
      </c>
      <c r="E231" s="980">
        <v>0.87949999999999995</v>
      </c>
      <c r="F231" s="980">
        <v>0.87949999999999995</v>
      </c>
      <c r="G231" s="980">
        <v>0.87949999999999995</v>
      </c>
      <c r="H231" s="980">
        <v>0.87949999999999995</v>
      </c>
      <c r="I231" s="980">
        <v>0.72309999999999997</v>
      </c>
      <c r="J231" s="980">
        <v>0.72309999999999997</v>
      </c>
      <c r="K231" s="980">
        <v>0.72309999999999997</v>
      </c>
      <c r="L231" s="980">
        <v>0.72309999999999997</v>
      </c>
      <c r="M231" s="980">
        <v>0.72309999999999997</v>
      </c>
    </row>
    <row r="232" spans="1:13">
      <c r="A232" s="988">
        <v>5.5</v>
      </c>
      <c r="B232" s="980">
        <v>0.89810000000000001</v>
      </c>
      <c r="C232" s="980">
        <v>0.89810000000000001</v>
      </c>
      <c r="D232" s="980">
        <v>0.87719999999999998</v>
      </c>
      <c r="E232" s="980">
        <v>0.87719999999999998</v>
      </c>
      <c r="F232" s="980">
        <v>0.87719999999999998</v>
      </c>
      <c r="G232" s="980">
        <v>0.87719999999999998</v>
      </c>
      <c r="H232" s="980">
        <v>0.87719999999999998</v>
      </c>
      <c r="I232" s="980">
        <v>0.72009999999999996</v>
      </c>
      <c r="J232" s="980">
        <v>0.72009999999999996</v>
      </c>
      <c r="K232" s="980">
        <v>0.72009999999999996</v>
      </c>
      <c r="L232" s="980">
        <v>0.72009999999999996</v>
      </c>
      <c r="M232" s="980">
        <v>0.72009999999999996</v>
      </c>
    </row>
    <row r="233" spans="1:13">
      <c r="A233" s="988">
        <v>5.6</v>
      </c>
      <c r="B233" s="980">
        <v>0.8962</v>
      </c>
      <c r="C233" s="980">
        <v>0.8962</v>
      </c>
      <c r="D233" s="980">
        <v>0.87490000000000001</v>
      </c>
      <c r="E233" s="980">
        <v>0.87490000000000001</v>
      </c>
      <c r="F233" s="980">
        <v>0.87490000000000001</v>
      </c>
      <c r="G233" s="980">
        <v>0.87490000000000001</v>
      </c>
      <c r="H233" s="980">
        <v>0.87490000000000001</v>
      </c>
      <c r="I233" s="980">
        <v>0.71709999999999996</v>
      </c>
      <c r="J233" s="980">
        <v>0.71709999999999996</v>
      </c>
      <c r="K233" s="980">
        <v>0.71709999999999996</v>
      </c>
      <c r="L233" s="980">
        <v>0.71709999999999996</v>
      </c>
      <c r="M233" s="980">
        <v>0.71709999999999996</v>
      </c>
    </row>
    <row r="234" spans="1:13">
      <c r="A234" s="988">
        <v>5.7</v>
      </c>
      <c r="B234" s="980">
        <v>0.89429999999999998</v>
      </c>
      <c r="C234" s="980">
        <v>0.89429999999999998</v>
      </c>
      <c r="D234" s="980">
        <v>0.87260000000000004</v>
      </c>
      <c r="E234" s="980">
        <v>0.87260000000000004</v>
      </c>
      <c r="F234" s="980">
        <v>0.87260000000000004</v>
      </c>
      <c r="G234" s="980">
        <v>0.87260000000000004</v>
      </c>
      <c r="H234" s="980">
        <v>0.87260000000000004</v>
      </c>
      <c r="I234" s="980">
        <v>0.71419999999999995</v>
      </c>
      <c r="J234" s="980">
        <v>0.71419999999999995</v>
      </c>
      <c r="K234" s="980">
        <v>0.71419999999999995</v>
      </c>
      <c r="L234" s="980">
        <v>0.71419999999999995</v>
      </c>
      <c r="M234" s="980">
        <v>0.71419999999999995</v>
      </c>
    </row>
    <row r="235" spans="1:13">
      <c r="A235" s="988">
        <v>5.8</v>
      </c>
      <c r="B235" s="980">
        <v>0.89249999999999996</v>
      </c>
      <c r="C235" s="980">
        <v>0.89249999999999996</v>
      </c>
      <c r="D235" s="980">
        <v>0.87029999999999996</v>
      </c>
      <c r="E235" s="980">
        <v>0.87029999999999996</v>
      </c>
      <c r="F235" s="980">
        <v>0.87029999999999996</v>
      </c>
      <c r="G235" s="980">
        <v>0.87029999999999996</v>
      </c>
      <c r="H235" s="980">
        <v>0.87029999999999996</v>
      </c>
      <c r="I235" s="980">
        <v>0.71130000000000004</v>
      </c>
      <c r="J235" s="980">
        <v>0.71130000000000004</v>
      </c>
      <c r="K235" s="980">
        <v>0.71130000000000004</v>
      </c>
      <c r="L235" s="980">
        <v>0.71130000000000004</v>
      </c>
      <c r="M235" s="980">
        <v>0.71130000000000004</v>
      </c>
    </row>
    <row r="236" spans="1:13">
      <c r="A236" s="988">
        <v>5.9</v>
      </c>
      <c r="B236" s="980">
        <v>0.89070000000000005</v>
      </c>
      <c r="C236" s="980">
        <v>0.89070000000000005</v>
      </c>
      <c r="D236" s="980">
        <v>0.86799999999999999</v>
      </c>
      <c r="E236" s="980">
        <v>0.86799999999999999</v>
      </c>
      <c r="F236" s="980">
        <v>0.86799999999999999</v>
      </c>
      <c r="G236" s="980">
        <v>0.86799999999999999</v>
      </c>
      <c r="H236" s="980">
        <v>0.86799999999999999</v>
      </c>
      <c r="I236" s="980">
        <v>0.70840000000000003</v>
      </c>
      <c r="J236" s="980">
        <v>0.70840000000000003</v>
      </c>
      <c r="K236" s="980">
        <v>0.70840000000000003</v>
      </c>
      <c r="L236" s="980">
        <v>0.70840000000000003</v>
      </c>
      <c r="M236" s="980">
        <v>0.70840000000000003</v>
      </c>
    </row>
    <row r="237" spans="1:13">
      <c r="A237" s="988">
        <v>6</v>
      </c>
      <c r="B237" s="980">
        <v>0.88890000000000002</v>
      </c>
      <c r="C237" s="980">
        <v>0.88890000000000002</v>
      </c>
      <c r="D237" s="980">
        <v>0.86580000000000001</v>
      </c>
      <c r="E237" s="980">
        <v>0.86580000000000001</v>
      </c>
      <c r="F237" s="980">
        <v>0.86580000000000001</v>
      </c>
      <c r="G237" s="980">
        <v>0.86580000000000001</v>
      </c>
      <c r="H237" s="980">
        <v>0.86580000000000001</v>
      </c>
      <c r="I237" s="980">
        <v>0.70550000000000002</v>
      </c>
      <c r="J237" s="980">
        <v>0.70550000000000002</v>
      </c>
      <c r="K237" s="980">
        <v>0.70550000000000002</v>
      </c>
      <c r="L237" s="980">
        <v>0.70550000000000002</v>
      </c>
      <c r="M237" s="980">
        <v>0.70550000000000002</v>
      </c>
    </row>
    <row r="238" spans="1:13">
      <c r="A238" s="988">
        <v>6.1</v>
      </c>
      <c r="B238" s="980">
        <v>0.8871</v>
      </c>
      <c r="C238" s="980">
        <v>0.8871</v>
      </c>
      <c r="D238" s="980">
        <v>0.86360000000000003</v>
      </c>
      <c r="E238" s="980">
        <v>0.86360000000000003</v>
      </c>
      <c r="F238" s="980">
        <v>0.86360000000000003</v>
      </c>
      <c r="G238" s="980">
        <v>0.86360000000000003</v>
      </c>
      <c r="H238" s="980">
        <v>0.86360000000000003</v>
      </c>
      <c r="I238" s="980">
        <v>0.70269999999999999</v>
      </c>
      <c r="J238" s="980">
        <v>0.70269999999999999</v>
      </c>
      <c r="K238" s="980">
        <v>0.70269999999999999</v>
      </c>
      <c r="L238" s="980">
        <v>0.70269999999999999</v>
      </c>
      <c r="M238" s="980">
        <v>0.70269999999999999</v>
      </c>
    </row>
    <row r="239" spans="1:13">
      <c r="A239" s="988">
        <v>6.2</v>
      </c>
      <c r="B239" s="980">
        <v>0.88529999999999998</v>
      </c>
      <c r="C239" s="980">
        <v>0.88529999999999998</v>
      </c>
      <c r="D239" s="980">
        <v>0.86140000000000005</v>
      </c>
      <c r="E239" s="980">
        <v>0.86140000000000005</v>
      </c>
      <c r="F239" s="980">
        <v>0.86140000000000005</v>
      </c>
      <c r="G239" s="980">
        <v>0.86140000000000005</v>
      </c>
      <c r="H239" s="980">
        <v>0.86140000000000005</v>
      </c>
      <c r="I239" s="980">
        <v>0.69989999999999997</v>
      </c>
      <c r="J239" s="980">
        <v>0.69989999999999997</v>
      </c>
      <c r="K239" s="980">
        <v>0.69989999999999997</v>
      </c>
      <c r="L239" s="980">
        <v>0.69989999999999997</v>
      </c>
      <c r="M239" s="980">
        <v>0.69989999999999997</v>
      </c>
    </row>
    <row r="240" spans="1:13">
      <c r="A240" s="988">
        <v>6.3</v>
      </c>
      <c r="B240" s="980">
        <v>0.88349999999999995</v>
      </c>
      <c r="C240" s="980">
        <v>0.88349999999999995</v>
      </c>
      <c r="D240" s="980">
        <v>0.85919999999999996</v>
      </c>
      <c r="E240" s="980">
        <v>0.85919999999999996</v>
      </c>
      <c r="F240" s="980">
        <v>0.85919999999999996</v>
      </c>
      <c r="G240" s="980">
        <v>0.85919999999999996</v>
      </c>
      <c r="H240" s="980">
        <v>0.85919999999999996</v>
      </c>
      <c r="I240" s="980">
        <v>0.69710000000000005</v>
      </c>
      <c r="J240" s="980">
        <v>0.69710000000000005</v>
      </c>
      <c r="K240" s="980">
        <v>0.69710000000000005</v>
      </c>
      <c r="L240" s="980">
        <v>0.69710000000000005</v>
      </c>
      <c r="M240" s="980">
        <v>0.69710000000000005</v>
      </c>
    </row>
    <row r="241" spans="1:13">
      <c r="A241" s="988">
        <v>6.4</v>
      </c>
      <c r="B241" s="980">
        <v>0.88180000000000003</v>
      </c>
      <c r="C241" s="980">
        <v>0.88180000000000003</v>
      </c>
      <c r="D241" s="980">
        <v>0.85699999999999998</v>
      </c>
      <c r="E241" s="980">
        <v>0.85699999999999998</v>
      </c>
      <c r="F241" s="980">
        <v>0.85699999999999998</v>
      </c>
      <c r="G241" s="980">
        <v>0.85699999999999998</v>
      </c>
      <c r="H241" s="980">
        <v>0.85699999999999998</v>
      </c>
      <c r="I241" s="980">
        <v>0.69430000000000003</v>
      </c>
      <c r="J241" s="980">
        <v>0.69430000000000003</v>
      </c>
      <c r="K241" s="980">
        <v>0.69430000000000003</v>
      </c>
      <c r="L241" s="980">
        <v>0.69430000000000003</v>
      </c>
      <c r="M241" s="980">
        <v>0.69430000000000003</v>
      </c>
    </row>
    <row r="242" spans="1:13">
      <c r="A242" s="988">
        <v>6.5</v>
      </c>
      <c r="B242" s="980">
        <v>0.88009999999999999</v>
      </c>
      <c r="C242" s="980">
        <v>0.88009999999999999</v>
      </c>
      <c r="D242" s="980">
        <v>0.85489999999999999</v>
      </c>
      <c r="E242" s="980">
        <v>0.85489999999999999</v>
      </c>
      <c r="F242" s="980">
        <v>0.85489999999999999</v>
      </c>
      <c r="G242" s="980">
        <v>0.85489999999999999</v>
      </c>
      <c r="H242" s="980">
        <v>0.85489999999999999</v>
      </c>
      <c r="I242" s="980">
        <v>0.69159999999999999</v>
      </c>
      <c r="J242" s="980">
        <v>0.69159999999999999</v>
      </c>
      <c r="K242" s="980">
        <v>0.69159999999999999</v>
      </c>
      <c r="L242" s="980">
        <v>0.69159999999999999</v>
      </c>
      <c r="M242" s="980">
        <v>0.69159999999999999</v>
      </c>
    </row>
    <row r="243" spans="1:13">
      <c r="A243" s="988">
        <v>6.6</v>
      </c>
      <c r="B243" s="980">
        <v>0.87839999999999996</v>
      </c>
      <c r="C243" s="980">
        <v>0.87839999999999996</v>
      </c>
      <c r="D243" s="980">
        <v>0.8528</v>
      </c>
      <c r="E243" s="980">
        <v>0.8528</v>
      </c>
      <c r="F243" s="980">
        <v>0.8528</v>
      </c>
      <c r="G243" s="980">
        <v>0.8528</v>
      </c>
      <c r="H243" s="980">
        <v>0.8528</v>
      </c>
      <c r="I243" s="980">
        <v>0.68889999999999996</v>
      </c>
      <c r="J243" s="980">
        <v>0.68889999999999996</v>
      </c>
      <c r="K243" s="980">
        <v>0.68889999999999996</v>
      </c>
      <c r="L243" s="980">
        <v>0.68889999999999996</v>
      </c>
      <c r="M243" s="980">
        <v>0.68889999999999996</v>
      </c>
    </row>
    <row r="244" spans="1:13">
      <c r="A244" s="988">
        <v>6.7</v>
      </c>
      <c r="B244" s="980">
        <v>0.87670000000000003</v>
      </c>
      <c r="C244" s="980">
        <v>0.87670000000000003</v>
      </c>
      <c r="D244" s="980">
        <v>0.85070000000000001</v>
      </c>
      <c r="E244" s="980">
        <v>0.85070000000000001</v>
      </c>
      <c r="F244" s="980">
        <v>0.85070000000000001</v>
      </c>
      <c r="G244" s="980">
        <v>0.85070000000000001</v>
      </c>
      <c r="H244" s="980">
        <v>0.85070000000000001</v>
      </c>
      <c r="I244" s="980">
        <v>0.68620000000000003</v>
      </c>
      <c r="J244" s="980">
        <v>0.68620000000000003</v>
      </c>
      <c r="K244" s="980">
        <v>0.68620000000000003</v>
      </c>
      <c r="L244" s="980">
        <v>0.68620000000000003</v>
      </c>
      <c r="M244" s="980">
        <v>0.68620000000000003</v>
      </c>
    </row>
    <row r="245" spans="1:13">
      <c r="A245" s="988">
        <v>6.8</v>
      </c>
      <c r="B245" s="980">
        <v>0.875</v>
      </c>
      <c r="C245" s="980">
        <v>0.875</v>
      </c>
      <c r="D245" s="980">
        <v>0.84860000000000002</v>
      </c>
      <c r="E245" s="980">
        <v>0.84860000000000002</v>
      </c>
      <c r="F245" s="980">
        <v>0.84860000000000002</v>
      </c>
      <c r="G245" s="980">
        <v>0.84860000000000002</v>
      </c>
      <c r="H245" s="980">
        <v>0.84860000000000002</v>
      </c>
      <c r="I245" s="980">
        <v>0.6835</v>
      </c>
      <c r="J245" s="980">
        <v>0.6835</v>
      </c>
      <c r="K245" s="980">
        <v>0.6835</v>
      </c>
      <c r="L245" s="980">
        <v>0.6835</v>
      </c>
      <c r="M245" s="980">
        <v>0.6835</v>
      </c>
    </row>
    <row r="246" spans="1:13">
      <c r="A246" s="988">
        <v>6.9</v>
      </c>
      <c r="B246" s="980">
        <v>0.87329999999999997</v>
      </c>
      <c r="C246" s="980">
        <v>0.87329999999999997</v>
      </c>
      <c r="D246" s="980">
        <v>0.84650000000000003</v>
      </c>
      <c r="E246" s="980">
        <v>0.84650000000000003</v>
      </c>
      <c r="F246" s="980">
        <v>0.84650000000000003</v>
      </c>
      <c r="G246" s="980">
        <v>0.84650000000000003</v>
      </c>
      <c r="H246" s="980">
        <v>0.84650000000000003</v>
      </c>
      <c r="I246" s="980">
        <v>0.68089999999999995</v>
      </c>
      <c r="J246" s="980">
        <v>0.68089999999999995</v>
      </c>
      <c r="K246" s="980">
        <v>0.68089999999999995</v>
      </c>
      <c r="L246" s="980">
        <v>0.68089999999999995</v>
      </c>
      <c r="M246" s="980">
        <v>0.68089999999999995</v>
      </c>
    </row>
    <row r="247" spans="1:13">
      <c r="A247" s="988">
        <v>7</v>
      </c>
      <c r="B247" s="980">
        <v>0.87170000000000003</v>
      </c>
      <c r="C247" s="980">
        <v>0.87170000000000003</v>
      </c>
      <c r="D247" s="980">
        <v>0.84450000000000003</v>
      </c>
      <c r="E247" s="980">
        <v>0.84450000000000003</v>
      </c>
      <c r="F247" s="980">
        <v>0.84450000000000003</v>
      </c>
      <c r="G247" s="980">
        <v>0.84450000000000003</v>
      </c>
      <c r="H247" s="980">
        <v>0.84450000000000003</v>
      </c>
      <c r="I247" s="980">
        <v>0.67830000000000001</v>
      </c>
      <c r="J247" s="980">
        <v>0.67830000000000001</v>
      </c>
      <c r="K247" s="980">
        <v>0.67830000000000001</v>
      </c>
      <c r="L247" s="980">
        <v>0.67830000000000001</v>
      </c>
      <c r="M247" s="980">
        <v>0.67830000000000001</v>
      </c>
    </row>
    <row r="248" spans="1:13">
      <c r="A248" s="988">
        <v>7.1</v>
      </c>
      <c r="B248" s="980">
        <v>0.87009999999999998</v>
      </c>
      <c r="C248" s="980">
        <v>0.87009999999999998</v>
      </c>
      <c r="D248" s="980">
        <v>0.84250000000000003</v>
      </c>
      <c r="E248" s="980">
        <v>0.84250000000000003</v>
      </c>
      <c r="F248" s="980">
        <v>0.84250000000000003</v>
      </c>
      <c r="G248" s="980">
        <v>0.84250000000000003</v>
      </c>
      <c r="H248" s="980">
        <v>0.84250000000000003</v>
      </c>
      <c r="I248" s="980">
        <v>0.67569999999999997</v>
      </c>
      <c r="J248" s="980">
        <v>0.67569999999999997</v>
      </c>
      <c r="K248" s="980">
        <v>0.67569999999999997</v>
      </c>
      <c r="L248" s="980">
        <v>0.67569999999999997</v>
      </c>
      <c r="M248" s="980">
        <v>0.67569999999999997</v>
      </c>
    </row>
    <row r="249" spans="1:13">
      <c r="A249" s="988">
        <v>7.2</v>
      </c>
      <c r="B249" s="980">
        <v>0.86850000000000005</v>
      </c>
      <c r="C249" s="980">
        <v>0.86850000000000005</v>
      </c>
      <c r="D249" s="980">
        <v>0.84050000000000002</v>
      </c>
      <c r="E249" s="980">
        <v>0.84050000000000002</v>
      </c>
      <c r="F249" s="980">
        <v>0.84050000000000002</v>
      </c>
      <c r="G249" s="980">
        <v>0.84050000000000002</v>
      </c>
      <c r="H249" s="980">
        <v>0.84050000000000002</v>
      </c>
      <c r="I249" s="980">
        <v>0.67310000000000003</v>
      </c>
      <c r="J249" s="980">
        <v>0.67310000000000003</v>
      </c>
      <c r="K249" s="980">
        <v>0.67310000000000003</v>
      </c>
      <c r="L249" s="980">
        <v>0.67310000000000003</v>
      </c>
      <c r="M249" s="980">
        <v>0.67310000000000003</v>
      </c>
    </row>
    <row r="250" spans="1:13">
      <c r="A250" s="988">
        <v>7.3</v>
      </c>
      <c r="B250" s="980">
        <v>0.8669</v>
      </c>
      <c r="C250" s="980">
        <v>0.8669</v>
      </c>
      <c r="D250" s="980">
        <v>0.83850000000000002</v>
      </c>
      <c r="E250" s="980">
        <v>0.83850000000000002</v>
      </c>
      <c r="F250" s="980">
        <v>0.83850000000000002</v>
      </c>
      <c r="G250" s="980">
        <v>0.83850000000000002</v>
      </c>
      <c r="H250" s="980">
        <v>0.83850000000000002</v>
      </c>
      <c r="I250" s="980">
        <v>0.67059999999999997</v>
      </c>
      <c r="J250" s="980">
        <v>0.67059999999999997</v>
      </c>
      <c r="K250" s="980">
        <v>0.67059999999999997</v>
      </c>
      <c r="L250" s="980">
        <v>0.67059999999999997</v>
      </c>
      <c r="M250" s="980">
        <v>0.67059999999999997</v>
      </c>
    </row>
    <row r="251" spans="1:13">
      <c r="A251" s="988">
        <v>7.4</v>
      </c>
      <c r="B251" s="980">
        <v>0.86529999999999996</v>
      </c>
      <c r="C251" s="980">
        <v>0.86529999999999996</v>
      </c>
      <c r="D251" s="980">
        <v>0.83650000000000002</v>
      </c>
      <c r="E251" s="980">
        <v>0.83650000000000002</v>
      </c>
      <c r="F251" s="980">
        <v>0.83650000000000002</v>
      </c>
      <c r="G251" s="980">
        <v>0.83650000000000002</v>
      </c>
      <c r="H251" s="980">
        <v>0.83650000000000002</v>
      </c>
      <c r="I251" s="980">
        <v>0.66810000000000003</v>
      </c>
      <c r="J251" s="980">
        <v>0.66810000000000003</v>
      </c>
      <c r="K251" s="980">
        <v>0.66810000000000003</v>
      </c>
      <c r="L251" s="980">
        <v>0.66810000000000003</v>
      </c>
      <c r="M251" s="980">
        <v>0.66810000000000003</v>
      </c>
    </row>
    <row r="252" spans="1:13">
      <c r="A252" s="988">
        <v>7.5</v>
      </c>
      <c r="B252" s="980">
        <v>0.86370000000000002</v>
      </c>
      <c r="C252" s="980">
        <v>0.86370000000000002</v>
      </c>
      <c r="D252" s="980">
        <v>0.83460000000000001</v>
      </c>
      <c r="E252" s="980">
        <v>0.83460000000000001</v>
      </c>
      <c r="F252" s="980">
        <v>0.83460000000000001</v>
      </c>
      <c r="G252" s="980">
        <v>0.83460000000000001</v>
      </c>
      <c r="H252" s="980">
        <v>0.83460000000000001</v>
      </c>
      <c r="I252" s="980">
        <v>0.66559999999999997</v>
      </c>
      <c r="J252" s="980">
        <v>0.66559999999999997</v>
      </c>
      <c r="K252" s="980">
        <v>0.66559999999999997</v>
      </c>
      <c r="L252" s="980">
        <v>0.66559999999999997</v>
      </c>
      <c r="M252" s="980">
        <v>0.66559999999999997</v>
      </c>
    </row>
    <row r="253" spans="1:13">
      <c r="A253" s="988">
        <v>7.6</v>
      </c>
      <c r="B253" s="980">
        <v>0.86219999999999997</v>
      </c>
      <c r="C253" s="980">
        <v>0.86219999999999997</v>
      </c>
      <c r="D253" s="980">
        <v>0.8327</v>
      </c>
      <c r="E253" s="980">
        <v>0.8327</v>
      </c>
      <c r="F253" s="980">
        <v>0.8327</v>
      </c>
      <c r="G253" s="980">
        <v>0.8327</v>
      </c>
      <c r="H253" s="980">
        <v>0.8327</v>
      </c>
      <c r="I253" s="980">
        <v>0.66310000000000002</v>
      </c>
      <c r="J253" s="980">
        <v>0.66310000000000002</v>
      </c>
      <c r="K253" s="980">
        <v>0.66310000000000002</v>
      </c>
      <c r="L253" s="980">
        <v>0.66310000000000002</v>
      </c>
      <c r="M253" s="980">
        <v>0.66310000000000002</v>
      </c>
    </row>
    <row r="254" spans="1:13">
      <c r="A254" s="988">
        <v>7.7</v>
      </c>
      <c r="B254" s="980">
        <v>0.86070000000000002</v>
      </c>
      <c r="C254" s="980">
        <v>0.86070000000000002</v>
      </c>
      <c r="D254" s="980">
        <v>0.83079999999999998</v>
      </c>
      <c r="E254" s="980">
        <v>0.83079999999999998</v>
      </c>
      <c r="F254" s="980">
        <v>0.83079999999999998</v>
      </c>
      <c r="G254" s="980">
        <v>0.83079999999999998</v>
      </c>
      <c r="H254" s="980">
        <v>0.83079999999999998</v>
      </c>
      <c r="I254" s="980">
        <v>0.66069999999999995</v>
      </c>
      <c r="J254" s="980">
        <v>0.66069999999999995</v>
      </c>
      <c r="K254" s="980">
        <v>0.66069999999999995</v>
      </c>
      <c r="L254" s="980">
        <v>0.66069999999999995</v>
      </c>
      <c r="M254" s="980">
        <v>0.66069999999999995</v>
      </c>
    </row>
    <row r="255" spans="1:13">
      <c r="A255" s="988">
        <v>7.8</v>
      </c>
      <c r="B255" s="980">
        <v>0.85919999999999996</v>
      </c>
      <c r="C255" s="980">
        <v>0.85919999999999996</v>
      </c>
      <c r="D255" s="980">
        <v>0.82889999999999997</v>
      </c>
      <c r="E255" s="980">
        <v>0.82889999999999997</v>
      </c>
      <c r="F255" s="980">
        <v>0.82889999999999997</v>
      </c>
      <c r="G255" s="980">
        <v>0.82889999999999997</v>
      </c>
      <c r="H255" s="980">
        <v>0.82889999999999997</v>
      </c>
      <c r="I255" s="980">
        <v>0.6583</v>
      </c>
      <c r="J255" s="980">
        <v>0.6583</v>
      </c>
      <c r="K255" s="980">
        <v>0.6583</v>
      </c>
      <c r="L255" s="980">
        <v>0.6583</v>
      </c>
      <c r="M255" s="980">
        <v>0.6583</v>
      </c>
    </row>
    <row r="256" spans="1:13">
      <c r="A256" s="988">
        <v>7.9</v>
      </c>
      <c r="B256" s="980">
        <v>0.85770000000000002</v>
      </c>
      <c r="C256" s="980">
        <v>0.85770000000000002</v>
      </c>
      <c r="D256" s="980">
        <v>0.82699999999999996</v>
      </c>
      <c r="E256" s="980">
        <v>0.82699999999999996</v>
      </c>
      <c r="F256" s="980">
        <v>0.82699999999999996</v>
      </c>
      <c r="G256" s="980">
        <v>0.82699999999999996</v>
      </c>
      <c r="H256" s="980">
        <v>0.82699999999999996</v>
      </c>
      <c r="I256" s="980">
        <v>0.65590000000000004</v>
      </c>
      <c r="J256" s="980">
        <v>0.65590000000000004</v>
      </c>
      <c r="K256" s="980">
        <v>0.65590000000000004</v>
      </c>
      <c r="L256" s="980">
        <v>0.65590000000000004</v>
      </c>
      <c r="M256" s="980">
        <v>0.65590000000000004</v>
      </c>
    </row>
    <row r="257" spans="1:13">
      <c r="A257" s="971">
        <v>8</v>
      </c>
      <c r="B257" s="980">
        <v>0.85619999999999996</v>
      </c>
      <c r="C257" s="980">
        <v>0.85619999999999996</v>
      </c>
      <c r="D257" s="980">
        <v>0.82509999999999994</v>
      </c>
      <c r="E257" s="980">
        <v>0.82509999999999994</v>
      </c>
      <c r="F257" s="980">
        <v>0.82509999999999994</v>
      </c>
      <c r="G257" s="980">
        <v>0.82509999999999994</v>
      </c>
      <c r="H257" s="980">
        <v>0.82509999999999994</v>
      </c>
      <c r="I257" s="980">
        <v>0.65349999999999997</v>
      </c>
      <c r="J257" s="980">
        <v>0.65349999999999997</v>
      </c>
      <c r="K257" s="980">
        <v>0.65349999999999997</v>
      </c>
      <c r="L257" s="980">
        <v>0.65349999999999997</v>
      </c>
      <c r="M257" s="980">
        <v>0.65349999999999997</v>
      </c>
    </row>
    <row r="258" spans="1:13">
      <c r="A258" s="971">
        <v>8.1</v>
      </c>
      <c r="B258" s="980">
        <v>0.85470000000000002</v>
      </c>
      <c r="C258" s="980">
        <v>0.85470000000000002</v>
      </c>
      <c r="D258" s="980">
        <v>0.82330000000000003</v>
      </c>
      <c r="E258" s="980">
        <v>0.82330000000000003</v>
      </c>
      <c r="F258" s="980">
        <v>0.82330000000000003</v>
      </c>
      <c r="G258" s="980">
        <v>0.82330000000000003</v>
      </c>
      <c r="H258" s="980">
        <v>0.82330000000000003</v>
      </c>
      <c r="I258" s="980">
        <v>0.6512</v>
      </c>
      <c r="J258" s="980">
        <v>0.6512</v>
      </c>
      <c r="K258" s="980">
        <v>0.6512</v>
      </c>
      <c r="L258" s="980">
        <v>0.6512</v>
      </c>
      <c r="M258" s="980">
        <v>0.6512</v>
      </c>
    </row>
    <row r="259" spans="1:13">
      <c r="A259" s="971">
        <v>8.1999999999999993</v>
      </c>
      <c r="B259" s="980">
        <v>0.85329999999999995</v>
      </c>
      <c r="C259" s="980">
        <v>0.85329999999999995</v>
      </c>
      <c r="D259" s="980">
        <v>0.82150000000000001</v>
      </c>
      <c r="E259" s="980">
        <v>0.82150000000000001</v>
      </c>
      <c r="F259" s="980">
        <v>0.82150000000000001</v>
      </c>
      <c r="G259" s="980">
        <v>0.82150000000000001</v>
      </c>
      <c r="H259" s="980">
        <v>0.82150000000000001</v>
      </c>
      <c r="I259" s="980">
        <v>0.64890000000000003</v>
      </c>
      <c r="J259" s="980">
        <v>0.64890000000000003</v>
      </c>
      <c r="K259" s="980">
        <v>0.64890000000000003</v>
      </c>
      <c r="L259" s="980">
        <v>0.64890000000000003</v>
      </c>
      <c r="M259" s="980">
        <v>0.64890000000000003</v>
      </c>
    </row>
    <row r="260" spans="1:13">
      <c r="A260" s="971">
        <v>8.3000000000000007</v>
      </c>
      <c r="B260" s="980">
        <v>0.85189999999999999</v>
      </c>
      <c r="C260" s="980">
        <v>0.85189999999999999</v>
      </c>
      <c r="D260" s="980">
        <v>0.81969999999999998</v>
      </c>
      <c r="E260" s="980">
        <v>0.81969999999999998</v>
      </c>
      <c r="F260" s="980">
        <v>0.81969999999999998</v>
      </c>
      <c r="G260" s="980">
        <v>0.81969999999999998</v>
      </c>
      <c r="H260" s="980">
        <v>0.81969999999999998</v>
      </c>
      <c r="I260" s="980">
        <v>0.64659999999999995</v>
      </c>
      <c r="J260" s="980">
        <v>0.64659999999999995</v>
      </c>
      <c r="K260" s="980">
        <v>0.64659999999999995</v>
      </c>
      <c r="L260" s="980">
        <v>0.64659999999999995</v>
      </c>
      <c r="M260" s="980">
        <v>0.64659999999999995</v>
      </c>
    </row>
    <row r="261" spans="1:13">
      <c r="A261" s="971">
        <v>8.4</v>
      </c>
      <c r="B261" s="980">
        <v>0.85050000000000003</v>
      </c>
      <c r="C261" s="980">
        <v>0.85050000000000003</v>
      </c>
      <c r="D261" s="980">
        <v>0.81789999999999996</v>
      </c>
      <c r="E261" s="980">
        <v>0.81789999999999996</v>
      </c>
      <c r="F261" s="980">
        <v>0.81789999999999996</v>
      </c>
      <c r="G261" s="980">
        <v>0.81789999999999996</v>
      </c>
      <c r="H261" s="980">
        <v>0.81789999999999996</v>
      </c>
      <c r="I261" s="980">
        <v>0.64429999999999998</v>
      </c>
      <c r="J261" s="980">
        <v>0.64429999999999998</v>
      </c>
      <c r="K261" s="980">
        <v>0.64429999999999998</v>
      </c>
      <c r="L261" s="980">
        <v>0.64429999999999998</v>
      </c>
      <c r="M261" s="980">
        <v>0.64429999999999998</v>
      </c>
    </row>
    <row r="262" spans="1:13">
      <c r="A262" s="971">
        <v>8.5</v>
      </c>
      <c r="B262" s="980">
        <v>0.84909999999999997</v>
      </c>
      <c r="C262" s="980">
        <v>0.84909999999999997</v>
      </c>
      <c r="D262" s="980">
        <v>0.81610000000000005</v>
      </c>
      <c r="E262" s="980">
        <v>0.81610000000000005</v>
      </c>
      <c r="F262" s="980">
        <v>0.81610000000000005</v>
      </c>
      <c r="G262" s="980">
        <v>0.81610000000000005</v>
      </c>
      <c r="H262" s="980">
        <v>0.81610000000000005</v>
      </c>
      <c r="I262" s="980">
        <v>0.6421</v>
      </c>
      <c r="J262" s="980">
        <v>0.6421</v>
      </c>
      <c r="K262" s="980">
        <v>0.6421</v>
      </c>
      <c r="L262" s="980">
        <v>0.6421</v>
      </c>
      <c r="M262" s="980">
        <v>0.6421</v>
      </c>
    </row>
    <row r="263" spans="1:13">
      <c r="A263" s="988">
        <v>8.6</v>
      </c>
      <c r="B263" s="980">
        <v>0.84770000000000001</v>
      </c>
      <c r="C263" s="980">
        <v>0.84770000000000001</v>
      </c>
      <c r="D263" s="980">
        <v>0.81440000000000001</v>
      </c>
      <c r="E263" s="980">
        <v>0.81440000000000001</v>
      </c>
      <c r="F263" s="980">
        <v>0.81440000000000001</v>
      </c>
      <c r="G263" s="980">
        <v>0.81440000000000001</v>
      </c>
      <c r="H263" s="980">
        <v>0.81440000000000001</v>
      </c>
      <c r="I263" s="980">
        <v>0.63990000000000002</v>
      </c>
      <c r="J263" s="980">
        <v>0.63990000000000002</v>
      </c>
      <c r="K263" s="980">
        <v>0.63990000000000002</v>
      </c>
      <c r="L263" s="980">
        <v>0.63990000000000002</v>
      </c>
      <c r="M263" s="980">
        <v>0.63990000000000002</v>
      </c>
    </row>
    <row r="264" spans="1:13">
      <c r="A264" s="971">
        <v>8.6999999999999993</v>
      </c>
      <c r="B264" s="980">
        <v>0.84630000000000005</v>
      </c>
      <c r="C264" s="980">
        <v>0.84630000000000005</v>
      </c>
      <c r="D264" s="980">
        <v>0.81269999999999998</v>
      </c>
      <c r="E264" s="980">
        <v>0.81269999999999998</v>
      </c>
      <c r="F264" s="980">
        <v>0.81269999999999998</v>
      </c>
      <c r="G264" s="980">
        <v>0.81269999999999998</v>
      </c>
      <c r="H264" s="980">
        <v>0.81269999999999998</v>
      </c>
      <c r="I264" s="980">
        <v>0.63770000000000004</v>
      </c>
      <c r="J264" s="980">
        <v>0.63770000000000004</v>
      </c>
      <c r="K264" s="980">
        <v>0.63770000000000004</v>
      </c>
      <c r="L264" s="980">
        <v>0.63770000000000004</v>
      </c>
      <c r="M264" s="980">
        <v>0.63770000000000004</v>
      </c>
    </row>
    <row r="265" spans="1:13">
      <c r="A265" s="971">
        <v>8.8000000000000007</v>
      </c>
      <c r="B265" s="980">
        <v>0.84489999999999998</v>
      </c>
      <c r="C265" s="980">
        <v>0.84489999999999998</v>
      </c>
      <c r="D265" s="980">
        <v>0.81100000000000005</v>
      </c>
      <c r="E265" s="980">
        <v>0.81100000000000005</v>
      </c>
      <c r="F265" s="980">
        <v>0.81100000000000005</v>
      </c>
      <c r="G265" s="980">
        <v>0.81100000000000005</v>
      </c>
      <c r="H265" s="980">
        <v>0.81100000000000005</v>
      </c>
      <c r="I265" s="980">
        <v>0.63549999999999995</v>
      </c>
      <c r="J265" s="980">
        <v>0.63549999999999995</v>
      </c>
      <c r="K265" s="980">
        <v>0.63549999999999995</v>
      </c>
      <c r="L265" s="980">
        <v>0.63549999999999995</v>
      </c>
      <c r="M265" s="980">
        <v>0.63549999999999995</v>
      </c>
    </row>
    <row r="266" spans="1:13">
      <c r="A266" s="971">
        <v>8.9</v>
      </c>
      <c r="B266" s="980">
        <v>0.84360000000000002</v>
      </c>
      <c r="C266" s="980">
        <v>0.84360000000000002</v>
      </c>
      <c r="D266" s="980">
        <v>0.80930000000000002</v>
      </c>
      <c r="E266" s="980">
        <v>0.80930000000000002</v>
      </c>
      <c r="F266" s="980">
        <v>0.80930000000000002</v>
      </c>
      <c r="G266" s="980">
        <v>0.80930000000000002</v>
      </c>
      <c r="H266" s="980">
        <v>0.80930000000000002</v>
      </c>
      <c r="I266" s="980">
        <v>0.63339999999999996</v>
      </c>
      <c r="J266" s="980">
        <v>0.63339999999999996</v>
      </c>
      <c r="K266" s="980">
        <v>0.63339999999999996</v>
      </c>
      <c r="L266" s="980">
        <v>0.63339999999999996</v>
      </c>
      <c r="M266" s="980">
        <v>0.63339999999999996</v>
      </c>
    </row>
    <row r="267" spans="1:13">
      <c r="A267" s="971">
        <v>9</v>
      </c>
      <c r="B267" s="980">
        <v>0.84230000000000005</v>
      </c>
      <c r="C267" s="980">
        <v>0.84230000000000005</v>
      </c>
      <c r="D267" s="980">
        <v>0.80759999999999998</v>
      </c>
      <c r="E267" s="980">
        <v>0.80759999999999998</v>
      </c>
      <c r="F267" s="980">
        <v>0.80759999999999998</v>
      </c>
      <c r="G267" s="980">
        <v>0.80759999999999998</v>
      </c>
      <c r="H267" s="980">
        <v>0.80759999999999998</v>
      </c>
      <c r="I267" s="980">
        <v>0.63129999999999997</v>
      </c>
      <c r="J267" s="980">
        <v>0.63129999999999997</v>
      </c>
      <c r="K267" s="980">
        <v>0.63129999999999997</v>
      </c>
      <c r="L267" s="980">
        <v>0.63129999999999997</v>
      </c>
      <c r="M267" s="980">
        <v>0.63129999999999997</v>
      </c>
    </row>
    <row r="268" spans="1:13">
      <c r="A268" s="971">
        <v>9.1</v>
      </c>
      <c r="B268" s="980">
        <v>0.84099999999999997</v>
      </c>
      <c r="C268" s="980">
        <v>0.84099999999999997</v>
      </c>
      <c r="D268" s="980">
        <v>0.80600000000000005</v>
      </c>
      <c r="E268" s="980">
        <v>0.80600000000000005</v>
      </c>
      <c r="F268" s="980">
        <v>0.80600000000000005</v>
      </c>
      <c r="G268" s="980">
        <v>0.80600000000000005</v>
      </c>
      <c r="H268" s="980">
        <v>0.80600000000000005</v>
      </c>
      <c r="I268" s="980">
        <v>0.62919999999999998</v>
      </c>
      <c r="J268" s="980">
        <v>0.62919999999999998</v>
      </c>
      <c r="K268" s="980">
        <v>0.62919999999999998</v>
      </c>
      <c r="L268" s="980">
        <v>0.62919999999999998</v>
      </c>
      <c r="M268" s="980">
        <v>0.62919999999999998</v>
      </c>
    </row>
    <row r="269" spans="1:13">
      <c r="A269" s="971">
        <v>9.1999999999999993</v>
      </c>
      <c r="B269" s="980">
        <v>0.8397</v>
      </c>
      <c r="C269" s="980">
        <v>0.8397</v>
      </c>
      <c r="D269" s="980">
        <v>0.8044</v>
      </c>
      <c r="E269" s="980">
        <v>0.8044</v>
      </c>
      <c r="F269" s="980">
        <v>0.8044</v>
      </c>
      <c r="G269" s="980">
        <v>0.8044</v>
      </c>
      <c r="H269" s="980">
        <v>0.8044</v>
      </c>
      <c r="I269" s="980">
        <v>0.62709999999999999</v>
      </c>
      <c r="J269" s="980">
        <v>0.62709999999999999</v>
      </c>
      <c r="K269" s="980">
        <v>0.62709999999999999</v>
      </c>
      <c r="L269" s="980">
        <v>0.62709999999999999</v>
      </c>
      <c r="M269" s="980">
        <v>0.62709999999999999</v>
      </c>
    </row>
    <row r="270" spans="1:13">
      <c r="A270" s="971">
        <v>9.3000000000000007</v>
      </c>
      <c r="B270" s="980">
        <v>0.83840000000000003</v>
      </c>
      <c r="C270" s="980">
        <v>0.83840000000000003</v>
      </c>
      <c r="D270" s="980">
        <v>0.80279999999999996</v>
      </c>
      <c r="E270" s="980">
        <v>0.80279999999999996</v>
      </c>
      <c r="F270" s="980">
        <v>0.80279999999999996</v>
      </c>
      <c r="G270" s="980">
        <v>0.80279999999999996</v>
      </c>
      <c r="H270" s="980">
        <v>0.80279999999999996</v>
      </c>
      <c r="I270" s="980">
        <v>0.62509999999999999</v>
      </c>
      <c r="J270" s="980">
        <v>0.62509999999999999</v>
      </c>
      <c r="K270" s="980">
        <v>0.62509999999999999</v>
      </c>
      <c r="L270" s="980">
        <v>0.62509999999999999</v>
      </c>
      <c r="M270" s="980">
        <v>0.62509999999999999</v>
      </c>
    </row>
    <row r="271" spans="1:13">
      <c r="A271" s="971">
        <v>9.4</v>
      </c>
      <c r="B271" s="980">
        <v>0.83709999999999996</v>
      </c>
      <c r="C271" s="980">
        <v>0.83709999999999996</v>
      </c>
      <c r="D271" s="980">
        <v>0.80120000000000002</v>
      </c>
      <c r="E271" s="980">
        <v>0.80120000000000002</v>
      </c>
      <c r="F271" s="980">
        <v>0.80120000000000002</v>
      </c>
      <c r="G271" s="980">
        <v>0.80120000000000002</v>
      </c>
      <c r="H271" s="980">
        <v>0.80120000000000002</v>
      </c>
      <c r="I271" s="980">
        <v>0.62309999999999999</v>
      </c>
      <c r="J271" s="980">
        <v>0.62309999999999999</v>
      </c>
      <c r="K271" s="980">
        <v>0.62309999999999999</v>
      </c>
      <c r="L271" s="980">
        <v>0.62309999999999999</v>
      </c>
      <c r="M271" s="980">
        <v>0.62309999999999999</v>
      </c>
    </row>
    <row r="272" spans="1:13">
      <c r="A272" s="971">
        <v>9.5</v>
      </c>
      <c r="B272" s="980">
        <v>0.83579999999999999</v>
      </c>
      <c r="C272" s="980">
        <v>0.83579999999999999</v>
      </c>
      <c r="D272" s="980">
        <v>0.79959999999999998</v>
      </c>
      <c r="E272" s="980">
        <v>0.79959999999999998</v>
      </c>
      <c r="F272" s="980">
        <v>0.79959999999999998</v>
      </c>
      <c r="G272" s="980">
        <v>0.79959999999999998</v>
      </c>
      <c r="H272" s="980">
        <v>0.79959999999999998</v>
      </c>
      <c r="I272" s="980">
        <v>0.62109999999999999</v>
      </c>
      <c r="J272" s="980">
        <v>0.62109999999999999</v>
      </c>
      <c r="K272" s="980">
        <v>0.62109999999999999</v>
      </c>
      <c r="L272" s="980">
        <v>0.62109999999999999</v>
      </c>
      <c r="M272" s="980">
        <v>0.62109999999999999</v>
      </c>
    </row>
    <row r="273" spans="1:13">
      <c r="A273" s="971">
        <v>9.6</v>
      </c>
      <c r="B273" s="980">
        <v>0.83460000000000001</v>
      </c>
      <c r="C273" s="980">
        <v>0.83460000000000001</v>
      </c>
      <c r="D273" s="980">
        <v>0.79800000000000004</v>
      </c>
      <c r="E273" s="980">
        <v>0.79800000000000004</v>
      </c>
      <c r="F273" s="980">
        <v>0.79800000000000004</v>
      </c>
      <c r="G273" s="980">
        <v>0.79800000000000004</v>
      </c>
      <c r="H273" s="980">
        <v>0.79800000000000004</v>
      </c>
      <c r="I273" s="980">
        <v>0.61909999999999998</v>
      </c>
      <c r="J273" s="980">
        <v>0.61909999999999998</v>
      </c>
      <c r="K273" s="980">
        <v>0.61909999999999998</v>
      </c>
      <c r="L273" s="980">
        <v>0.61909999999999998</v>
      </c>
      <c r="M273" s="980">
        <v>0.61909999999999998</v>
      </c>
    </row>
    <row r="274" spans="1:13">
      <c r="A274" s="971">
        <v>9.6999999999999993</v>
      </c>
      <c r="B274" s="980">
        <v>0.83340000000000003</v>
      </c>
      <c r="C274" s="980">
        <v>0.83340000000000003</v>
      </c>
      <c r="D274" s="980">
        <v>0.79649999999999999</v>
      </c>
      <c r="E274" s="980">
        <v>0.79649999999999999</v>
      </c>
      <c r="F274" s="980">
        <v>0.79649999999999999</v>
      </c>
      <c r="G274" s="980">
        <v>0.79649999999999999</v>
      </c>
      <c r="H274" s="980">
        <v>0.79649999999999999</v>
      </c>
      <c r="I274" s="980">
        <v>0.61719999999999997</v>
      </c>
      <c r="J274" s="980">
        <v>0.61719999999999997</v>
      </c>
      <c r="K274" s="980">
        <v>0.61719999999999997</v>
      </c>
      <c r="L274" s="980">
        <v>0.61719999999999997</v>
      </c>
      <c r="M274" s="980">
        <v>0.61719999999999997</v>
      </c>
    </row>
    <row r="275" spans="1:13">
      <c r="A275" s="971">
        <v>9.8000000000000007</v>
      </c>
      <c r="B275" s="980">
        <v>0.83220000000000005</v>
      </c>
      <c r="C275" s="980">
        <v>0.83220000000000005</v>
      </c>
      <c r="D275" s="980">
        <v>0.79500000000000004</v>
      </c>
      <c r="E275" s="980">
        <v>0.79500000000000004</v>
      </c>
      <c r="F275" s="980">
        <v>0.79500000000000004</v>
      </c>
      <c r="G275" s="980">
        <v>0.79500000000000004</v>
      </c>
      <c r="H275" s="980">
        <v>0.79500000000000004</v>
      </c>
      <c r="I275" s="980">
        <v>0.61529999999999996</v>
      </c>
      <c r="J275" s="980">
        <v>0.61529999999999996</v>
      </c>
      <c r="K275" s="980">
        <v>0.61529999999999996</v>
      </c>
      <c r="L275" s="980">
        <v>0.61529999999999996</v>
      </c>
      <c r="M275" s="980">
        <v>0.61529999999999996</v>
      </c>
    </row>
    <row r="276" spans="1:13">
      <c r="A276" s="971">
        <v>9.9</v>
      </c>
      <c r="B276" s="980">
        <v>0.83099999999999996</v>
      </c>
      <c r="C276" s="980">
        <v>0.83099999999999996</v>
      </c>
      <c r="D276" s="980">
        <v>0.79349999999999998</v>
      </c>
      <c r="E276" s="980">
        <v>0.79349999999999998</v>
      </c>
      <c r="F276" s="980">
        <v>0.79349999999999998</v>
      </c>
      <c r="G276" s="980">
        <v>0.79349999999999998</v>
      </c>
      <c r="H276" s="980">
        <v>0.79349999999999998</v>
      </c>
      <c r="I276" s="980">
        <v>0.61339999999999995</v>
      </c>
      <c r="J276" s="980">
        <v>0.61339999999999995</v>
      </c>
      <c r="K276" s="980">
        <v>0.61339999999999995</v>
      </c>
      <c r="L276" s="980">
        <v>0.61339999999999995</v>
      </c>
      <c r="M276" s="980">
        <v>0.61339999999999995</v>
      </c>
    </row>
    <row r="277" spans="1:13" ht="14.25">
      <c r="A277" s="3339" t="s">
        <v>2773</v>
      </c>
      <c r="B277" s="980"/>
      <c r="C277" s="980"/>
      <c r="D277" s="980"/>
      <c r="E277" s="980"/>
      <c r="F277" s="980"/>
      <c r="G277" s="980"/>
      <c r="H277" s="980"/>
      <c r="I277" s="980"/>
      <c r="J277" s="980"/>
      <c r="K277" s="980"/>
      <c r="L277" s="980"/>
      <c r="M277" s="980"/>
    </row>
    <row r="278" spans="1:13">
      <c r="A278" s="971" t="s">
        <v>1550</v>
      </c>
      <c r="B278" s="980" t="s">
        <v>990</v>
      </c>
      <c r="C278" s="980" t="s">
        <v>1031</v>
      </c>
      <c r="D278" s="980" t="s">
        <v>1145</v>
      </c>
      <c r="E278" s="980" t="s">
        <v>853</v>
      </c>
      <c r="F278" s="980" t="s">
        <v>1152</v>
      </c>
      <c r="G278" s="980" t="s">
        <v>1153</v>
      </c>
      <c r="H278" s="980" t="s">
        <v>1154</v>
      </c>
      <c r="I278" s="980" t="s">
        <v>1155</v>
      </c>
      <c r="J278" s="980" t="s">
        <v>1156</v>
      </c>
      <c r="K278" s="980" t="s">
        <v>1157</v>
      </c>
      <c r="L278" s="980" t="s">
        <v>2757</v>
      </c>
      <c r="M278" s="980" t="s">
        <v>2758</v>
      </c>
    </row>
    <row r="279" spans="1:13">
      <c r="A279" s="971">
        <v>1</v>
      </c>
      <c r="B279" s="980">
        <v>1.1055999999999999</v>
      </c>
      <c r="C279" s="980">
        <v>1.1055999999999999</v>
      </c>
      <c r="D279" s="980">
        <v>1.1220000000000001</v>
      </c>
      <c r="E279" s="980">
        <v>1.1220000000000001</v>
      </c>
      <c r="F279" s="980">
        <v>1.1220000000000001</v>
      </c>
      <c r="G279" s="980">
        <v>1.0583</v>
      </c>
      <c r="H279" s="980">
        <v>1.0583</v>
      </c>
      <c r="I279" s="980">
        <v>1</v>
      </c>
      <c r="J279" s="980">
        <v>1</v>
      </c>
      <c r="K279" s="980">
        <v>1</v>
      </c>
      <c r="L279" s="980">
        <v>1</v>
      </c>
      <c r="M279" s="980">
        <v>1</v>
      </c>
    </row>
    <row r="280" spans="1:13">
      <c r="A280" s="971">
        <v>1.1000000000000001</v>
      </c>
      <c r="B280" s="980">
        <v>1.0820000000000001</v>
      </c>
      <c r="C280" s="980">
        <v>1.0820000000000001</v>
      </c>
      <c r="D280" s="980">
        <v>1.0948</v>
      </c>
      <c r="E280" s="980">
        <v>1.0948</v>
      </c>
      <c r="F280" s="980">
        <v>1.0948</v>
      </c>
      <c r="G280" s="980">
        <v>1.0284</v>
      </c>
      <c r="H280" s="980">
        <v>1.0284</v>
      </c>
      <c r="I280" s="980">
        <v>0.96860000000000002</v>
      </c>
      <c r="J280" s="980">
        <v>0.96860000000000002</v>
      </c>
      <c r="K280" s="980">
        <v>0.96860000000000002</v>
      </c>
      <c r="L280" s="980">
        <v>0.96860000000000002</v>
      </c>
      <c r="M280" s="980">
        <v>0.96860000000000002</v>
      </c>
    </row>
    <row r="281" spans="1:13">
      <c r="A281" s="971">
        <v>1.2</v>
      </c>
      <c r="B281" s="980">
        <v>1.0598000000000001</v>
      </c>
      <c r="C281" s="980">
        <v>1.0598000000000001</v>
      </c>
      <c r="D281" s="980">
        <v>1.0690999999999999</v>
      </c>
      <c r="E281" s="980">
        <v>1.0690999999999999</v>
      </c>
      <c r="F281" s="980">
        <v>1.0690999999999999</v>
      </c>
      <c r="G281" s="980">
        <v>1</v>
      </c>
      <c r="H281" s="980">
        <v>1</v>
      </c>
      <c r="I281" s="980">
        <v>0.93879999999999997</v>
      </c>
      <c r="J281" s="980">
        <v>0.93879999999999997</v>
      </c>
      <c r="K281" s="980">
        <v>0.93879999999999997</v>
      </c>
      <c r="L281" s="980">
        <v>0.93879999999999997</v>
      </c>
      <c r="M281" s="980">
        <v>0.93879999999999997</v>
      </c>
    </row>
    <row r="282" spans="1:13">
      <c r="A282" s="971">
        <v>1.3</v>
      </c>
      <c r="B282" s="980">
        <v>1.0387</v>
      </c>
      <c r="C282" s="980">
        <v>1.0387</v>
      </c>
      <c r="D282" s="980">
        <v>1.0447</v>
      </c>
      <c r="E282" s="980">
        <v>1.0447</v>
      </c>
      <c r="F282" s="980">
        <v>1.0447</v>
      </c>
      <c r="G282" s="980">
        <v>0.97319999999999995</v>
      </c>
      <c r="H282" s="980">
        <v>0.97319999999999995</v>
      </c>
      <c r="I282" s="980">
        <v>0.91069999999999995</v>
      </c>
      <c r="J282" s="980">
        <v>0.91069999999999995</v>
      </c>
      <c r="K282" s="980">
        <v>0.91069999999999995</v>
      </c>
      <c r="L282" s="980">
        <v>0.91069999999999995</v>
      </c>
      <c r="M282" s="980">
        <v>0.91069999999999995</v>
      </c>
    </row>
    <row r="283" spans="1:13">
      <c r="A283" s="971">
        <v>1.4</v>
      </c>
      <c r="B283" s="980">
        <v>1.0187999999999999</v>
      </c>
      <c r="C283" s="980">
        <v>1.0187999999999999</v>
      </c>
      <c r="D283" s="980">
        <v>1.0217000000000001</v>
      </c>
      <c r="E283" s="980">
        <v>1.0217000000000001</v>
      </c>
      <c r="F283" s="980">
        <v>1.0217000000000001</v>
      </c>
      <c r="G283" s="980">
        <v>0.94779999999999998</v>
      </c>
      <c r="H283" s="980">
        <v>0.94779999999999998</v>
      </c>
      <c r="I283" s="980">
        <v>0.8841</v>
      </c>
      <c r="J283" s="980">
        <v>0.8841</v>
      </c>
      <c r="K283" s="980">
        <v>0.8841</v>
      </c>
      <c r="L283" s="980">
        <v>0.8841</v>
      </c>
      <c r="M283" s="980">
        <v>0.8841</v>
      </c>
    </row>
    <row r="284" spans="1:13">
      <c r="A284" s="971">
        <v>1.5</v>
      </c>
      <c r="B284" s="980">
        <v>1</v>
      </c>
      <c r="C284" s="980">
        <v>1</v>
      </c>
      <c r="D284" s="980">
        <v>1</v>
      </c>
      <c r="E284" s="980">
        <v>1</v>
      </c>
      <c r="F284" s="980">
        <v>1</v>
      </c>
      <c r="G284" s="980">
        <v>0.92379999999999995</v>
      </c>
      <c r="H284" s="980">
        <v>0.92379999999999995</v>
      </c>
      <c r="I284" s="980">
        <v>0.8589</v>
      </c>
      <c r="J284" s="980">
        <v>0.8589</v>
      </c>
      <c r="K284" s="980">
        <v>0.8589</v>
      </c>
      <c r="L284" s="980">
        <v>0.8589</v>
      </c>
      <c r="M284" s="980">
        <v>0.8589</v>
      </c>
    </row>
    <row r="285" spans="1:13">
      <c r="A285" s="971">
        <v>1.6</v>
      </c>
      <c r="B285" s="980">
        <v>0.98229999999999995</v>
      </c>
      <c r="C285" s="980">
        <v>0.98229999999999995</v>
      </c>
      <c r="D285" s="980">
        <v>0.97950000000000004</v>
      </c>
      <c r="E285" s="980">
        <v>0.97950000000000004</v>
      </c>
      <c r="F285" s="980">
        <v>0.97950000000000004</v>
      </c>
      <c r="G285" s="980">
        <v>0.9012</v>
      </c>
      <c r="H285" s="980">
        <v>0.9012</v>
      </c>
      <c r="I285" s="980">
        <v>0.83509999999999995</v>
      </c>
      <c r="J285" s="980">
        <v>0.83509999999999995</v>
      </c>
      <c r="K285" s="980">
        <v>0.83509999999999995</v>
      </c>
      <c r="L285" s="980">
        <v>0.83509999999999995</v>
      </c>
      <c r="M285" s="980">
        <v>0.83509999999999995</v>
      </c>
    </row>
    <row r="286" spans="1:13">
      <c r="A286" s="971">
        <v>1.7</v>
      </c>
      <c r="B286" s="980">
        <v>0.96550000000000002</v>
      </c>
      <c r="C286" s="980">
        <v>0.96550000000000002</v>
      </c>
      <c r="D286" s="980">
        <v>0.96009999999999995</v>
      </c>
      <c r="E286" s="980">
        <v>0.96009999999999995</v>
      </c>
      <c r="F286" s="980">
        <v>0.96009999999999995</v>
      </c>
      <c r="G286" s="980">
        <v>0.87980000000000003</v>
      </c>
      <c r="H286" s="980">
        <v>0.87980000000000003</v>
      </c>
      <c r="I286" s="980">
        <v>0.81269999999999998</v>
      </c>
      <c r="J286" s="980">
        <v>0.81269999999999998</v>
      </c>
      <c r="K286" s="980">
        <v>0.81269999999999998</v>
      </c>
      <c r="L286" s="980">
        <v>0.81269999999999998</v>
      </c>
      <c r="M286" s="980">
        <v>0.81269999999999998</v>
      </c>
    </row>
    <row r="287" spans="1:13">
      <c r="A287" s="971">
        <v>1.8</v>
      </c>
      <c r="B287" s="980">
        <v>0.94969999999999999</v>
      </c>
      <c r="C287" s="980">
        <v>0.94969999999999999</v>
      </c>
      <c r="D287" s="980">
        <v>0.94189999999999996</v>
      </c>
      <c r="E287" s="980">
        <v>0.94189999999999996</v>
      </c>
      <c r="F287" s="980">
        <v>0.94189999999999996</v>
      </c>
      <c r="G287" s="980">
        <v>0.85960000000000003</v>
      </c>
      <c r="H287" s="980">
        <v>0.85960000000000003</v>
      </c>
      <c r="I287" s="980">
        <v>0.79149999999999998</v>
      </c>
      <c r="J287" s="980">
        <v>0.79149999999999998</v>
      </c>
      <c r="K287" s="980">
        <v>0.79149999999999998</v>
      </c>
      <c r="L287" s="980">
        <v>0.79149999999999998</v>
      </c>
      <c r="M287" s="980">
        <v>0.79149999999999998</v>
      </c>
    </row>
    <row r="288" spans="1:13">
      <c r="A288" s="971">
        <v>1.9</v>
      </c>
      <c r="B288" s="980">
        <v>0.93479999999999996</v>
      </c>
      <c r="C288" s="980">
        <v>0.93479999999999996</v>
      </c>
      <c r="D288" s="980">
        <v>0.92459999999999998</v>
      </c>
      <c r="E288" s="980">
        <v>0.92459999999999998</v>
      </c>
      <c r="F288" s="980">
        <v>0.92459999999999998</v>
      </c>
      <c r="G288" s="980">
        <v>0.84060000000000001</v>
      </c>
      <c r="H288" s="980">
        <v>0.84060000000000001</v>
      </c>
      <c r="I288" s="980">
        <v>0.77149999999999996</v>
      </c>
      <c r="J288" s="980">
        <v>0.77149999999999996</v>
      </c>
      <c r="K288" s="980">
        <v>0.77149999999999996</v>
      </c>
      <c r="L288" s="980">
        <v>0.77149999999999996</v>
      </c>
      <c r="M288" s="980">
        <v>0.77149999999999996</v>
      </c>
    </row>
    <row r="289" spans="1:13">
      <c r="A289" s="971">
        <v>2</v>
      </c>
      <c r="B289" s="980">
        <v>0.92079999999999995</v>
      </c>
      <c r="C289" s="980">
        <v>0.92079999999999995</v>
      </c>
      <c r="D289" s="980">
        <v>0.90839999999999999</v>
      </c>
      <c r="E289" s="980">
        <v>0.90839999999999999</v>
      </c>
      <c r="F289" s="980">
        <v>0.90839999999999999</v>
      </c>
      <c r="G289" s="980">
        <v>0.82269999999999999</v>
      </c>
      <c r="H289" s="980">
        <v>0.82269999999999999</v>
      </c>
      <c r="I289" s="980">
        <v>0.75270000000000004</v>
      </c>
      <c r="J289" s="980">
        <v>0.75270000000000004</v>
      </c>
      <c r="K289" s="980">
        <v>0.75270000000000004</v>
      </c>
      <c r="L289" s="980">
        <v>0.75270000000000004</v>
      </c>
      <c r="M289" s="980">
        <v>0.75270000000000004</v>
      </c>
    </row>
    <row r="290" spans="1:13">
      <c r="A290" s="971">
        <v>2.1</v>
      </c>
      <c r="B290" s="980">
        <v>0.90759999999999996</v>
      </c>
      <c r="C290" s="980">
        <v>0.90759999999999996</v>
      </c>
      <c r="D290" s="980">
        <v>0.89319999999999999</v>
      </c>
      <c r="E290" s="980">
        <v>0.89319999999999999</v>
      </c>
      <c r="F290" s="980">
        <v>0.89319999999999999</v>
      </c>
      <c r="G290" s="980">
        <v>0.80589999999999995</v>
      </c>
      <c r="H290" s="980">
        <v>0.80589999999999995</v>
      </c>
      <c r="I290" s="980">
        <v>0.73499999999999999</v>
      </c>
      <c r="J290" s="980">
        <v>0.73499999999999999</v>
      </c>
      <c r="K290" s="980">
        <v>0.73499999999999999</v>
      </c>
      <c r="L290" s="980">
        <v>0.73499999999999999</v>
      </c>
      <c r="M290" s="980">
        <v>0.73499999999999999</v>
      </c>
    </row>
    <row r="291" spans="1:13">
      <c r="A291" s="971">
        <v>2.2000000000000002</v>
      </c>
      <c r="B291" s="980">
        <v>0.8952</v>
      </c>
      <c r="C291" s="980">
        <v>0.8952</v>
      </c>
      <c r="D291" s="980">
        <v>0.87880000000000003</v>
      </c>
      <c r="E291" s="980">
        <v>0.87880000000000003</v>
      </c>
      <c r="F291" s="980">
        <v>0.87880000000000003</v>
      </c>
      <c r="G291" s="980">
        <v>0.79</v>
      </c>
      <c r="H291" s="980">
        <v>0.79</v>
      </c>
      <c r="I291" s="980">
        <v>0.71840000000000004</v>
      </c>
      <c r="J291" s="980">
        <v>0.71840000000000004</v>
      </c>
      <c r="K291" s="980">
        <v>0.71840000000000004</v>
      </c>
      <c r="L291" s="980">
        <v>0.71840000000000004</v>
      </c>
      <c r="M291" s="980">
        <v>0.71840000000000004</v>
      </c>
    </row>
    <row r="292" spans="1:13">
      <c r="A292" s="971">
        <v>2.2999999999999998</v>
      </c>
      <c r="B292" s="980">
        <v>0.88360000000000005</v>
      </c>
      <c r="C292" s="980">
        <v>0.88360000000000005</v>
      </c>
      <c r="D292" s="980">
        <v>0.86529999999999996</v>
      </c>
      <c r="E292" s="980">
        <v>0.86529999999999996</v>
      </c>
      <c r="F292" s="980">
        <v>0.86529999999999996</v>
      </c>
      <c r="G292" s="980">
        <v>0.77510000000000001</v>
      </c>
      <c r="H292" s="980">
        <v>0.77510000000000001</v>
      </c>
      <c r="I292" s="980">
        <v>0.70269999999999999</v>
      </c>
      <c r="J292" s="980">
        <v>0.70269999999999999</v>
      </c>
      <c r="K292" s="980">
        <v>0.70269999999999999</v>
      </c>
      <c r="L292" s="980">
        <v>0.70269999999999999</v>
      </c>
      <c r="M292" s="980">
        <v>0.70269999999999999</v>
      </c>
    </row>
    <row r="293" spans="1:13">
      <c r="A293" s="971">
        <v>2.4</v>
      </c>
      <c r="B293" s="980">
        <v>0.87260000000000004</v>
      </c>
      <c r="C293" s="980">
        <v>0.87260000000000004</v>
      </c>
      <c r="D293" s="980">
        <v>0.85260000000000002</v>
      </c>
      <c r="E293" s="980">
        <v>0.85260000000000002</v>
      </c>
      <c r="F293" s="980">
        <v>0.85260000000000002</v>
      </c>
      <c r="G293" s="980">
        <v>0.76100000000000001</v>
      </c>
      <c r="H293" s="980">
        <v>0.76100000000000001</v>
      </c>
      <c r="I293" s="980">
        <v>0.68799999999999994</v>
      </c>
      <c r="J293" s="980">
        <v>0.68799999999999994</v>
      </c>
      <c r="K293" s="980">
        <v>0.68799999999999994</v>
      </c>
      <c r="L293" s="980">
        <v>0.68799999999999994</v>
      </c>
      <c r="M293" s="980">
        <v>0.68799999999999994</v>
      </c>
    </row>
    <row r="294" spans="1:13">
      <c r="A294" s="971">
        <v>2.5</v>
      </c>
      <c r="B294" s="980">
        <v>0.86229999999999996</v>
      </c>
      <c r="C294" s="980">
        <v>0.86229999999999996</v>
      </c>
      <c r="D294" s="980">
        <v>0.8407</v>
      </c>
      <c r="E294" s="980">
        <v>0.8407</v>
      </c>
      <c r="F294" s="980">
        <v>0.8407</v>
      </c>
      <c r="G294" s="980">
        <v>0.74780000000000002</v>
      </c>
      <c r="H294" s="980">
        <v>0.74780000000000002</v>
      </c>
      <c r="I294" s="980">
        <v>0.67410000000000003</v>
      </c>
      <c r="J294" s="980">
        <v>0.67410000000000003</v>
      </c>
      <c r="K294" s="980">
        <v>0.67410000000000003</v>
      </c>
      <c r="L294" s="980">
        <v>0.67410000000000003</v>
      </c>
      <c r="M294" s="980">
        <v>0.67410000000000003</v>
      </c>
    </row>
    <row r="295" spans="1:13">
      <c r="A295" s="971">
        <v>2.6</v>
      </c>
      <c r="B295" s="980">
        <v>0.85270000000000001</v>
      </c>
      <c r="C295" s="980">
        <v>0.85270000000000001</v>
      </c>
      <c r="D295" s="980">
        <v>0.82950000000000002</v>
      </c>
      <c r="E295" s="980">
        <v>0.82950000000000002</v>
      </c>
      <c r="F295" s="980">
        <v>0.82950000000000002</v>
      </c>
      <c r="G295" s="980">
        <v>0.73540000000000005</v>
      </c>
      <c r="H295" s="980">
        <v>0.73540000000000005</v>
      </c>
      <c r="I295" s="980">
        <v>0.66110000000000002</v>
      </c>
      <c r="J295" s="980">
        <v>0.66110000000000002</v>
      </c>
      <c r="K295" s="980">
        <v>0.66110000000000002</v>
      </c>
      <c r="L295" s="980">
        <v>0.66110000000000002</v>
      </c>
      <c r="M295" s="980">
        <v>0.66110000000000002</v>
      </c>
    </row>
    <row r="296" spans="1:13">
      <c r="A296" s="988">
        <v>2.7</v>
      </c>
      <c r="B296" s="980">
        <v>0.84360000000000002</v>
      </c>
      <c r="C296" s="980">
        <v>0.84360000000000002</v>
      </c>
      <c r="D296" s="980">
        <v>0.81899999999999995</v>
      </c>
      <c r="E296" s="980">
        <v>0.81899999999999995</v>
      </c>
      <c r="F296" s="980">
        <v>0.81899999999999995</v>
      </c>
      <c r="G296" s="980">
        <v>0.7238</v>
      </c>
      <c r="H296" s="980">
        <v>0.7238</v>
      </c>
      <c r="I296" s="980">
        <v>0.64880000000000004</v>
      </c>
      <c r="J296" s="980">
        <v>0.64880000000000004</v>
      </c>
      <c r="K296" s="980">
        <v>0.64880000000000004</v>
      </c>
      <c r="L296" s="980">
        <v>0.64880000000000004</v>
      </c>
      <c r="M296" s="980">
        <v>0.64880000000000004</v>
      </c>
    </row>
    <row r="297" spans="1:13">
      <c r="A297" s="988">
        <v>2.8</v>
      </c>
      <c r="B297" s="980">
        <v>0.83509999999999995</v>
      </c>
      <c r="C297" s="980">
        <v>0.83509999999999995</v>
      </c>
      <c r="D297" s="980">
        <v>0.80910000000000004</v>
      </c>
      <c r="E297" s="980">
        <v>0.80910000000000004</v>
      </c>
      <c r="F297" s="980">
        <v>0.80910000000000004</v>
      </c>
      <c r="G297" s="980">
        <v>0.71289999999999998</v>
      </c>
      <c r="H297" s="980">
        <v>0.71289999999999998</v>
      </c>
      <c r="I297" s="980">
        <v>0.63739999999999997</v>
      </c>
      <c r="J297" s="980">
        <v>0.63739999999999997</v>
      </c>
      <c r="K297" s="980">
        <v>0.63739999999999997</v>
      </c>
      <c r="L297" s="980">
        <v>0.63739999999999997</v>
      </c>
      <c r="M297" s="980">
        <v>0.63739999999999997</v>
      </c>
    </row>
    <row r="298" spans="1:13">
      <c r="A298" s="988">
        <v>2.9</v>
      </c>
      <c r="B298" s="980">
        <v>0.82720000000000005</v>
      </c>
      <c r="C298" s="980">
        <v>0.82720000000000005</v>
      </c>
      <c r="D298" s="980">
        <v>0.79990000000000006</v>
      </c>
      <c r="E298" s="980">
        <v>0.79990000000000006</v>
      </c>
      <c r="F298" s="980">
        <v>0.79990000000000006</v>
      </c>
      <c r="G298" s="980">
        <v>0.7026</v>
      </c>
      <c r="H298" s="980">
        <v>0.7026</v>
      </c>
      <c r="I298" s="980">
        <v>0.62660000000000005</v>
      </c>
      <c r="J298" s="980">
        <v>0.62660000000000005</v>
      </c>
      <c r="K298" s="980">
        <v>0.62660000000000005</v>
      </c>
      <c r="L298" s="980">
        <v>0.62660000000000005</v>
      </c>
      <c r="M298" s="980">
        <v>0.62660000000000005</v>
      </c>
    </row>
    <row r="299" spans="1:13">
      <c r="A299" s="988">
        <v>3</v>
      </c>
      <c r="B299" s="980">
        <v>0.81969999999999998</v>
      </c>
      <c r="C299" s="980">
        <v>0.81969999999999998</v>
      </c>
      <c r="D299" s="980">
        <v>0.79120000000000001</v>
      </c>
      <c r="E299" s="980">
        <v>0.79120000000000001</v>
      </c>
      <c r="F299" s="980">
        <v>0.79120000000000001</v>
      </c>
      <c r="G299" s="980">
        <v>0.69299999999999995</v>
      </c>
      <c r="H299" s="980">
        <v>0.69299999999999995</v>
      </c>
      <c r="I299" s="980">
        <v>0.61650000000000005</v>
      </c>
      <c r="J299" s="980">
        <v>0.61650000000000005</v>
      </c>
      <c r="K299" s="980">
        <v>0.61650000000000005</v>
      </c>
      <c r="L299" s="980">
        <v>0.61650000000000005</v>
      </c>
      <c r="M299" s="980">
        <v>0.61650000000000005</v>
      </c>
    </row>
    <row r="300" spans="1:13">
      <c r="A300" s="988">
        <v>3.1</v>
      </c>
      <c r="B300" s="980">
        <v>0.81279999999999997</v>
      </c>
      <c r="C300" s="980">
        <v>0.81279999999999997</v>
      </c>
      <c r="D300" s="980">
        <v>0.78310000000000002</v>
      </c>
      <c r="E300" s="980">
        <v>0.78310000000000002</v>
      </c>
      <c r="F300" s="980">
        <v>0.78310000000000002</v>
      </c>
      <c r="G300" s="980">
        <v>0.68400000000000005</v>
      </c>
      <c r="H300" s="980">
        <v>0.68400000000000005</v>
      </c>
      <c r="I300" s="980">
        <v>0.60709999999999997</v>
      </c>
      <c r="J300" s="980">
        <v>0.60709999999999997</v>
      </c>
      <c r="K300" s="980">
        <v>0.60709999999999997</v>
      </c>
      <c r="L300" s="980">
        <v>0.60709999999999997</v>
      </c>
      <c r="M300" s="980">
        <v>0.60709999999999997</v>
      </c>
    </row>
    <row r="301" spans="1:13">
      <c r="A301" s="988">
        <v>3.2</v>
      </c>
      <c r="B301" s="980">
        <v>0.80620000000000003</v>
      </c>
      <c r="C301" s="980">
        <v>0.80620000000000003</v>
      </c>
      <c r="D301" s="980">
        <v>0.77549999999999997</v>
      </c>
      <c r="E301" s="980">
        <v>0.77549999999999997</v>
      </c>
      <c r="F301" s="980">
        <v>0.77549999999999997</v>
      </c>
      <c r="G301" s="980">
        <v>0.67559999999999998</v>
      </c>
      <c r="H301" s="980">
        <v>0.67559999999999998</v>
      </c>
      <c r="I301" s="980">
        <v>0.59809999999999997</v>
      </c>
      <c r="J301" s="980">
        <v>0.59809999999999997</v>
      </c>
      <c r="K301" s="980">
        <v>0.59809999999999997</v>
      </c>
      <c r="L301" s="980">
        <v>0.59809999999999997</v>
      </c>
      <c r="M301" s="980">
        <v>0.59809999999999997</v>
      </c>
    </row>
    <row r="302" spans="1:13">
      <c r="A302" s="988">
        <v>3.3</v>
      </c>
      <c r="B302" s="980">
        <v>0.80010000000000003</v>
      </c>
      <c r="C302" s="980">
        <v>0.80010000000000003</v>
      </c>
      <c r="D302" s="980">
        <v>0.76839999999999997</v>
      </c>
      <c r="E302" s="980">
        <v>0.76839999999999997</v>
      </c>
      <c r="F302" s="980">
        <v>0.76839999999999997</v>
      </c>
      <c r="G302" s="980">
        <v>0.66769999999999996</v>
      </c>
      <c r="H302" s="980">
        <v>0.66769999999999996</v>
      </c>
      <c r="I302" s="980">
        <v>0.58979999999999999</v>
      </c>
      <c r="J302" s="980">
        <v>0.58979999999999999</v>
      </c>
      <c r="K302" s="980">
        <v>0.58979999999999999</v>
      </c>
      <c r="L302" s="980">
        <v>0.58979999999999999</v>
      </c>
      <c r="M302" s="980">
        <v>0.58979999999999999</v>
      </c>
    </row>
    <row r="303" spans="1:13">
      <c r="A303" s="988">
        <v>3.4</v>
      </c>
      <c r="B303" s="980">
        <v>0.7944</v>
      </c>
      <c r="C303" s="980">
        <v>0.7944</v>
      </c>
      <c r="D303" s="980">
        <v>0.76170000000000004</v>
      </c>
      <c r="E303" s="980">
        <v>0.76170000000000004</v>
      </c>
      <c r="F303" s="980">
        <v>0.76170000000000004</v>
      </c>
      <c r="G303" s="980">
        <v>0.66020000000000001</v>
      </c>
      <c r="H303" s="980">
        <v>0.66020000000000001</v>
      </c>
      <c r="I303" s="980">
        <v>0.58209999999999995</v>
      </c>
      <c r="J303" s="980">
        <v>0.58209999999999995</v>
      </c>
      <c r="K303" s="980">
        <v>0.58209999999999995</v>
      </c>
      <c r="L303" s="980">
        <v>0.58209999999999995</v>
      </c>
      <c r="M303" s="980">
        <v>0.58209999999999995</v>
      </c>
    </row>
    <row r="304" spans="1:13">
      <c r="A304" s="988">
        <v>3.5</v>
      </c>
      <c r="B304" s="980">
        <v>0.78910000000000002</v>
      </c>
      <c r="C304" s="980">
        <v>0.78910000000000002</v>
      </c>
      <c r="D304" s="980">
        <v>0.75549999999999995</v>
      </c>
      <c r="E304" s="980">
        <v>0.75549999999999995</v>
      </c>
      <c r="F304" s="980">
        <v>0.75549999999999995</v>
      </c>
      <c r="G304" s="980">
        <v>0.65329999999999999</v>
      </c>
      <c r="H304" s="980">
        <v>0.65329999999999999</v>
      </c>
      <c r="I304" s="980">
        <v>0.57479999999999998</v>
      </c>
      <c r="J304" s="980">
        <v>0.57479999999999998</v>
      </c>
      <c r="K304" s="980">
        <v>0.57479999999999998</v>
      </c>
      <c r="L304" s="980">
        <v>0.57479999999999998</v>
      </c>
      <c r="M304" s="980">
        <v>0.57479999999999998</v>
      </c>
    </row>
    <row r="305" spans="1:13">
      <c r="A305" s="988">
        <v>3.6</v>
      </c>
      <c r="B305" s="980">
        <v>0.78410000000000002</v>
      </c>
      <c r="C305" s="980">
        <v>0.78410000000000002</v>
      </c>
      <c r="D305" s="980">
        <v>0.74960000000000004</v>
      </c>
      <c r="E305" s="980">
        <v>0.74960000000000004</v>
      </c>
      <c r="F305" s="980">
        <v>0.74960000000000004</v>
      </c>
      <c r="G305" s="980">
        <v>0.64680000000000004</v>
      </c>
      <c r="H305" s="980">
        <v>0.64680000000000004</v>
      </c>
      <c r="I305" s="980">
        <v>0.56789999999999996</v>
      </c>
      <c r="J305" s="980">
        <v>0.56789999999999996</v>
      </c>
      <c r="K305" s="980">
        <v>0.56789999999999996</v>
      </c>
      <c r="L305" s="980">
        <v>0.56789999999999996</v>
      </c>
      <c r="M305" s="980">
        <v>0.56789999999999996</v>
      </c>
    </row>
    <row r="306" spans="1:13">
      <c r="A306" s="988">
        <v>3.7</v>
      </c>
      <c r="B306" s="980">
        <v>0.77939999999999998</v>
      </c>
      <c r="C306" s="980">
        <v>0.77939999999999998</v>
      </c>
      <c r="D306" s="980">
        <v>0.74409999999999998</v>
      </c>
      <c r="E306" s="980">
        <v>0.74409999999999998</v>
      </c>
      <c r="F306" s="980">
        <v>0.74409999999999998</v>
      </c>
      <c r="G306" s="980">
        <v>0.64070000000000005</v>
      </c>
      <c r="H306" s="980">
        <v>0.64070000000000005</v>
      </c>
      <c r="I306" s="980">
        <v>0.5615</v>
      </c>
      <c r="J306" s="980">
        <v>0.5615</v>
      </c>
      <c r="K306" s="980">
        <v>0.5615</v>
      </c>
      <c r="L306" s="980">
        <v>0.5615</v>
      </c>
      <c r="M306" s="980">
        <v>0.5615</v>
      </c>
    </row>
    <row r="307" spans="1:13">
      <c r="A307" s="988">
        <v>3.8</v>
      </c>
      <c r="B307" s="980">
        <v>0.77500000000000002</v>
      </c>
      <c r="C307" s="980">
        <v>0.77500000000000002</v>
      </c>
      <c r="D307" s="980">
        <v>0.73899999999999999</v>
      </c>
      <c r="E307" s="980">
        <v>0.73899999999999999</v>
      </c>
      <c r="F307" s="980">
        <v>0.73899999999999999</v>
      </c>
      <c r="G307" s="980">
        <v>0.63490000000000002</v>
      </c>
      <c r="H307" s="980">
        <v>0.63490000000000002</v>
      </c>
      <c r="I307" s="980">
        <v>0.55549999999999999</v>
      </c>
      <c r="J307" s="980">
        <v>0.55549999999999999</v>
      </c>
      <c r="K307" s="980">
        <v>0.55549999999999999</v>
      </c>
      <c r="L307" s="980">
        <v>0.55549999999999999</v>
      </c>
      <c r="M307" s="980">
        <v>0.55549999999999999</v>
      </c>
    </row>
    <row r="308" spans="1:13">
      <c r="A308" s="971">
        <v>3.9</v>
      </c>
      <c r="B308" s="972">
        <v>0.77090000000000003</v>
      </c>
      <c r="C308" s="972">
        <v>0.77090000000000003</v>
      </c>
      <c r="D308" s="972">
        <v>0.73419999999999996</v>
      </c>
      <c r="E308" s="972">
        <v>0.73419999999999996</v>
      </c>
      <c r="F308" s="972">
        <v>0.73419999999999996</v>
      </c>
      <c r="G308" s="972">
        <v>0.62949999999999995</v>
      </c>
      <c r="H308" s="973">
        <v>0.62949999999999995</v>
      </c>
      <c r="I308" s="973">
        <v>0.54990000000000006</v>
      </c>
      <c r="J308" s="974">
        <v>0.54990000000000006</v>
      </c>
      <c r="K308" s="974">
        <v>0.54990000000000006</v>
      </c>
      <c r="L308" s="974">
        <v>0.54990000000000006</v>
      </c>
      <c r="M308" s="974">
        <v>0.54990000000000006</v>
      </c>
    </row>
    <row r="309" spans="1:13">
      <c r="A309" s="971">
        <v>4</v>
      </c>
      <c r="B309" s="980">
        <v>0.7671</v>
      </c>
      <c r="C309" s="980">
        <v>0.7671</v>
      </c>
      <c r="D309" s="980">
        <v>0.72970000000000002</v>
      </c>
      <c r="E309" s="980">
        <v>0.72970000000000002</v>
      </c>
      <c r="F309" s="980">
        <v>0.72970000000000002</v>
      </c>
      <c r="G309" s="980">
        <v>0.62450000000000006</v>
      </c>
      <c r="H309" s="980">
        <v>0.62450000000000006</v>
      </c>
      <c r="I309" s="980">
        <v>0.54449999999999998</v>
      </c>
      <c r="J309" s="980">
        <v>0.54449999999999998</v>
      </c>
      <c r="K309" s="980">
        <v>0.54449999999999998</v>
      </c>
      <c r="L309" s="980">
        <v>0.54449999999999998</v>
      </c>
      <c r="M309" s="980">
        <v>0.54449999999999998</v>
      </c>
    </row>
    <row r="310" spans="1:13">
      <c r="A310" s="971">
        <v>4.0999999999999996</v>
      </c>
      <c r="B310" s="980">
        <v>0.76349999999999996</v>
      </c>
      <c r="C310" s="980">
        <v>0.76349999999999996</v>
      </c>
      <c r="D310" s="980">
        <v>0.72540000000000004</v>
      </c>
      <c r="E310" s="980">
        <v>0.72540000000000004</v>
      </c>
      <c r="F310" s="980">
        <v>0.72540000000000004</v>
      </c>
      <c r="G310" s="980">
        <v>0.61970000000000003</v>
      </c>
      <c r="H310" s="980">
        <v>0.61970000000000003</v>
      </c>
      <c r="I310" s="980">
        <v>0.53959999999999997</v>
      </c>
      <c r="J310" s="980">
        <v>0.53959999999999997</v>
      </c>
      <c r="K310" s="980">
        <v>0.53959999999999997</v>
      </c>
      <c r="L310" s="980">
        <v>0.53959999999999997</v>
      </c>
      <c r="M310" s="980">
        <v>0.53959999999999997</v>
      </c>
    </row>
    <row r="311" spans="1:13">
      <c r="A311" s="971">
        <v>4.2</v>
      </c>
      <c r="B311" s="980">
        <v>0.7601</v>
      </c>
      <c r="C311" s="980">
        <v>0.7601</v>
      </c>
      <c r="D311" s="980">
        <v>0.72140000000000004</v>
      </c>
      <c r="E311" s="980">
        <v>0.72140000000000004</v>
      </c>
      <c r="F311" s="980">
        <v>0.72140000000000004</v>
      </c>
      <c r="G311" s="980">
        <v>0.61529999999999996</v>
      </c>
      <c r="H311" s="980">
        <v>0.61529999999999996</v>
      </c>
      <c r="I311" s="980">
        <v>0.53490000000000004</v>
      </c>
      <c r="J311" s="980">
        <v>0.53490000000000004</v>
      </c>
      <c r="K311" s="980">
        <v>0.53490000000000004</v>
      </c>
      <c r="L311" s="980">
        <v>0.53490000000000004</v>
      </c>
      <c r="M311" s="980">
        <v>0.53490000000000004</v>
      </c>
    </row>
    <row r="312" spans="1:13">
      <c r="A312" s="971">
        <v>4.3</v>
      </c>
      <c r="B312" s="980">
        <v>0.75700000000000001</v>
      </c>
      <c r="C312" s="980">
        <v>0.75700000000000001</v>
      </c>
      <c r="D312" s="980">
        <v>0.7177</v>
      </c>
      <c r="E312" s="980">
        <v>0.7177</v>
      </c>
      <c r="F312" s="980">
        <v>0.7177</v>
      </c>
      <c r="G312" s="980">
        <v>0.61109999999999998</v>
      </c>
      <c r="H312" s="980">
        <v>0.61109999999999998</v>
      </c>
      <c r="I312" s="980">
        <v>0.53049999999999997</v>
      </c>
      <c r="J312" s="980">
        <v>0.53049999999999997</v>
      </c>
      <c r="K312" s="980">
        <v>0.53049999999999997</v>
      </c>
      <c r="L312" s="980">
        <v>0.53049999999999997</v>
      </c>
      <c r="M312" s="980">
        <v>0.53049999999999997</v>
      </c>
    </row>
    <row r="313" spans="1:13">
      <c r="A313" s="971">
        <v>4.4000000000000004</v>
      </c>
      <c r="B313" s="980">
        <v>0.754</v>
      </c>
      <c r="C313" s="980">
        <v>0.754</v>
      </c>
      <c r="D313" s="980">
        <v>0.71409999999999996</v>
      </c>
      <c r="E313" s="980">
        <v>0.71409999999999996</v>
      </c>
      <c r="F313" s="980">
        <v>0.71409999999999996</v>
      </c>
      <c r="G313" s="980">
        <v>0.60709999999999997</v>
      </c>
      <c r="H313" s="980">
        <v>0.60709999999999997</v>
      </c>
      <c r="I313" s="980">
        <v>0.52639999999999998</v>
      </c>
      <c r="J313" s="980">
        <v>0.52639999999999998</v>
      </c>
      <c r="K313" s="980">
        <v>0.52639999999999998</v>
      </c>
      <c r="L313" s="980">
        <v>0.52639999999999998</v>
      </c>
      <c r="M313" s="980">
        <v>0.52639999999999998</v>
      </c>
    </row>
    <row r="314" spans="1:13">
      <c r="A314" s="971">
        <v>4.5</v>
      </c>
      <c r="B314" s="980">
        <v>0.75119999999999998</v>
      </c>
      <c r="C314" s="980">
        <v>0.75119999999999998</v>
      </c>
      <c r="D314" s="980">
        <v>0.71079999999999999</v>
      </c>
      <c r="E314" s="980">
        <v>0.71079999999999999</v>
      </c>
      <c r="F314" s="980">
        <v>0.71079999999999999</v>
      </c>
      <c r="G314" s="980">
        <v>0.60329999999999995</v>
      </c>
      <c r="H314" s="980">
        <v>0.60329999999999995</v>
      </c>
      <c r="I314" s="980">
        <v>0.52249999999999996</v>
      </c>
      <c r="J314" s="980">
        <v>0.52249999999999996</v>
      </c>
      <c r="K314" s="980">
        <v>0.52249999999999996</v>
      </c>
      <c r="L314" s="980">
        <v>0.52249999999999996</v>
      </c>
      <c r="M314" s="980">
        <v>0.52249999999999996</v>
      </c>
    </row>
    <row r="315" spans="1:13">
      <c r="A315" s="971">
        <v>4.5999999999999996</v>
      </c>
      <c r="B315" s="980">
        <v>0.74860000000000004</v>
      </c>
      <c r="C315" s="980">
        <v>0.74860000000000004</v>
      </c>
      <c r="D315" s="980">
        <v>0.70760000000000001</v>
      </c>
      <c r="E315" s="980">
        <v>0.70760000000000001</v>
      </c>
      <c r="F315" s="980">
        <v>0.70760000000000001</v>
      </c>
      <c r="G315" s="980">
        <v>0.59970000000000001</v>
      </c>
      <c r="H315" s="980">
        <v>0.59970000000000001</v>
      </c>
      <c r="I315" s="980">
        <v>0.51890000000000003</v>
      </c>
      <c r="J315" s="980">
        <v>0.51890000000000003</v>
      </c>
      <c r="K315" s="980">
        <v>0.51890000000000003</v>
      </c>
      <c r="L315" s="980">
        <v>0.51890000000000003</v>
      </c>
      <c r="M315" s="980">
        <v>0.51890000000000003</v>
      </c>
    </row>
    <row r="316" spans="1:13">
      <c r="A316" s="971">
        <v>4.7</v>
      </c>
      <c r="B316" s="980">
        <v>0.74609999999999999</v>
      </c>
      <c r="C316" s="980">
        <v>0.74609999999999999</v>
      </c>
      <c r="D316" s="980">
        <v>0.7046</v>
      </c>
      <c r="E316" s="980">
        <v>0.7046</v>
      </c>
      <c r="F316" s="980">
        <v>0.7046</v>
      </c>
      <c r="G316" s="980">
        <v>0.59630000000000005</v>
      </c>
      <c r="H316" s="980">
        <v>0.59630000000000005</v>
      </c>
      <c r="I316" s="980">
        <v>0.51529999999999998</v>
      </c>
      <c r="J316" s="980">
        <v>0.51529999999999998</v>
      </c>
      <c r="K316" s="980">
        <v>0.51529999999999998</v>
      </c>
      <c r="L316" s="980">
        <v>0.51529999999999998</v>
      </c>
      <c r="M316" s="980">
        <v>0.51529999999999998</v>
      </c>
    </row>
    <row r="317" spans="1:13">
      <c r="A317" s="971">
        <v>4.8</v>
      </c>
      <c r="B317" s="980">
        <v>0.74380000000000002</v>
      </c>
      <c r="C317" s="980">
        <v>0.74380000000000002</v>
      </c>
      <c r="D317" s="980">
        <v>0.70169999999999999</v>
      </c>
      <c r="E317" s="980">
        <v>0.70169999999999999</v>
      </c>
      <c r="F317" s="980">
        <v>0.70169999999999999</v>
      </c>
      <c r="G317" s="980">
        <v>0.59309999999999996</v>
      </c>
      <c r="H317" s="980">
        <v>0.59309999999999996</v>
      </c>
      <c r="I317" s="980">
        <v>0.5121</v>
      </c>
      <c r="J317" s="980">
        <v>0.5121</v>
      </c>
      <c r="K317" s="980">
        <v>0.5121</v>
      </c>
      <c r="L317" s="980">
        <v>0.5121</v>
      </c>
      <c r="M317" s="980">
        <v>0.5121</v>
      </c>
    </row>
    <row r="318" spans="1:13">
      <c r="A318" s="971">
        <v>4.9000000000000004</v>
      </c>
      <c r="B318" s="980">
        <v>0.74160000000000004</v>
      </c>
      <c r="C318" s="980">
        <v>0.74160000000000004</v>
      </c>
      <c r="D318" s="980">
        <v>0.69889999999999997</v>
      </c>
      <c r="E318" s="980">
        <v>0.69889999999999997</v>
      </c>
      <c r="F318" s="980">
        <v>0.69889999999999997</v>
      </c>
      <c r="G318" s="980">
        <v>0.59009999999999996</v>
      </c>
      <c r="H318" s="980">
        <v>0.59009999999999996</v>
      </c>
      <c r="I318" s="980">
        <v>0.50900000000000001</v>
      </c>
      <c r="J318" s="980">
        <v>0.50900000000000001</v>
      </c>
      <c r="K318" s="980">
        <v>0.50900000000000001</v>
      </c>
      <c r="L318" s="980">
        <v>0.50900000000000001</v>
      </c>
      <c r="M318" s="980">
        <v>0.50900000000000001</v>
      </c>
    </row>
    <row r="319" spans="1:13">
      <c r="A319" s="971">
        <v>5</v>
      </c>
      <c r="B319" s="980">
        <v>0.73950000000000005</v>
      </c>
      <c r="C319" s="980">
        <v>0.73950000000000005</v>
      </c>
      <c r="D319" s="980">
        <v>0.69620000000000004</v>
      </c>
      <c r="E319" s="980">
        <v>0.69620000000000004</v>
      </c>
      <c r="F319" s="980">
        <v>0.69620000000000004</v>
      </c>
      <c r="G319" s="980">
        <v>0.58720000000000006</v>
      </c>
      <c r="H319" s="980">
        <v>0.58720000000000006</v>
      </c>
      <c r="I319" s="980">
        <v>0.50609999999999999</v>
      </c>
      <c r="J319" s="980">
        <v>0.50609999999999999</v>
      </c>
      <c r="K319" s="980">
        <v>0.50609999999999999</v>
      </c>
      <c r="L319" s="980">
        <v>0.50609999999999999</v>
      </c>
      <c r="M319" s="980">
        <v>0.50609999999999999</v>
      </c>
    </row>
    <row r="320" spans="1:13">
      <c r="A320" s="971">
        <v>5.0999999999999996</v>
      </c>
      <c r="B320" s="980">
        <v>0.73750000000000004</v>
      </c>
      <c r="C320" s="980">
        <v>0.73750000000000004</v>
      </c>
      <c r="D320" s="980">
        <v>0.69359999999999999</v>
      </c>
      <c r="E320" s="980">
        <v>0.69359999999999999</v>
      </c>
      <c r="F320" s="980">
        <v>0.69359999999999999</v>
      </c>
      <c r="G320" s="980">
        <v>0.58440000000000003</v>
      </c>
      <c r="H320" s="980">
        <v>0.58440000000000003</v>
      </c>
      <c r="I320" s="980">
        <v>0.50329999999999997</v>
      </c>
      <c r="J320" s="980">
        <v>0.50329999999999997</v>
      </c>
      <c r="K320" s="980">
        <v>0.50329999999999997</v>
      </c>
      <c r="L320" s="980">
        <v>0.50329999999999997</v>
      </c>
      <c r="M320" s="980">
        <v>0.50329999999999997</v>
      </c>
    </row>
    <row r="321" spans="1:13">
      <c r="A321" s="971">
        <v>5.2</v>
      </c>
      <c r="B321" s="980">
        <v>0.73560000000000003</v>
      </c>
      <c r="C321" s="980">
        <v>0.73560000000000003</v>
      </c>
      <c r="D321" s="980">
        <v>0.69110000000000005</v>
      </c>
      <c r="E321" s="980">
        <v>0.69110000000000005</v>
      </c>
      <c r="F321" s="980">
        <v>0.69110000000000005</v>
      </c>
      <c r="G321" s="980">
        <v>0.58169999999999999</v>
      </c>
      <c r="H321" s="980">
        <v>0.58169999999999999</v>
      </c>
      <c r="I321" s="980">
        <v>0.50060000000000004</v>
      </c>
      <c r="J321" s="980">
        <v>0.50060000000000004</v>
      </c>
      <c r="K321" s="980">
        <v>0.50060000000000004</v>
      </c>
      <c r="L321" s="980">
        <v>0.50060000000000004</v>
      </c>
      <c r="M321" s="980">
        <v>0.50060000000000004</v>
      </c>
    </row>
    <row r="322" spans="1:13">
      <c r="A322" s="971">
        <v>5.3</v>
      </c>
      <c r="B322" s="980">
        <v>0.73380000000000001</v>
      </c>
      <c r="C322" s="980">
        <v>0.73380000000000001</v>
      </c>
      <c r="D322" s="980">
        <v>0.68869999999999998</v>
      </c>
      <c r="E322" s="980">
        <v>0.68869999999999998</v>
      </c>
      <c r="F322" s="980">
        <v>0.68869999999999998</v>
      </c>
      <c r="G322" s="980">
        <v>0.57909999999999995</v>
      </c>
      <c r="H322" s="980">
        <v>0.57909999999999995</v>
      </c>
      <c r="I322" s="980">
        <v>0.49809999999999999</v>
      </c>
      <c r="J322" s="980">
        <v>0.49809999999999999</v>
      </c>
      <c r="K322" s="980">
        <v>0.49809999999999999</v>
      </c>
      <c r="L322" s="980">
        <v>0.49809999999999999</v>
      </c>
      <c r="M322" s="980">
        <v>0.49809999999999999</v>
      </c>
    </row>
    <row r="323" spans="1:13">
      <c r="A323" s="971">
        <v>5.4</v>
      </c>
      <c r="B323" s="980">
        <v>0.73199999999999998</v>
      </c>
      <c r="C323" s="980">
        <v>0.73199999999999998</v>
      </c>
      <c r="D323" s="980">
        <v>0.68640000000000001</v>
      </c>
      <c r="E323" s="980">
        <v>0.68640000000000001</v>
      </c>
      <c r="F323" s="980">
        <v>0.68640000000000001</v>
      </c>
      <c r="G323" s="980">
        <v>0.57650000000000001</v>
      </c>
      <c r="H323" s="980">
        <v>0.57650000000000001</v>
      </c>
      <c r="I323" s="980">
        <v>0.49559999999999998</v>
      </c>
      <c r="J323" s="980">
        <v>0.49559999999999998</v>
      </c>
      <c r="K323" s="980">
        <v>0.49559999999999998</v>
      </c>
      <c r="L323" s="980">
        <v>0.49559999999999998</v>
      </c>
      <c r="M323" s="980">
        <v>0.49559999999999998</v>
      </c>
    </row>
    <row r="324" spans="1:13">
      <c r="A324" s="971">
        <v>5.5</v>
      </c>
      <c r="B324" s="980">
        <v>0.73009999999999997</v>
      </c>
      <c r="C324" s="980">
        <v>0.73009999999999997</v>
      </c>
      <c r="D324" s="980">
        <v>0.68420000000000003</v>
      </c>
      <c r="E324" s="980">
        <v>0.68420000000000003</v>
      </c>
      <c r="F324" s="980">
        <v>0.68420000000000003</v>
      </c>
      <c r="G324" s="980">
        <v>0.57399999999999995</v>
      </c>
      <c r="H324" s="980">
        <v>0.57399999999999995</v>
      </c>
      <c r="I324" s="980">
        <v>0.49320000000000003</v>
      </c>
      <c r="J324" s="980">
        <v>0.49320000000000003</v>
      </c>
      <c r="K324" s="980">
        <v>0.49320000000000003</v>
      </c>
      <c r="L324" s="980">
        <v>0.49320000000000003</v>
      </c>
      <c r="M324" s="980">
        <v>0.49320000000000003</v>
      </c>
    </row>
    <row r="325" spans="1:13">
      <c r="A325" s="971">
        <v>5.6</v>
      </c>
      <c r="B325" s="980">
        <v>0.72819999999999996</v>
      </c>
      <c r="C325" s="980">
        <v>0.72819999999999996</v>
      </c>
      <c r="D325" s="980">
        <v>0.68200000000000005</v>
      </c>
      <c r="E325" s="980">
        <v>0.68200000000000005</v>
      </c>
      <c r="F325" s="980">
        <v>0.68200000000000005</v>
      </c>
      <c r="G325" s="980">
        <v>0.57150000000000001</v>
      </c>
      <c r="H325" s="980">
        <v>0.57150000000000001</v>
      </c>
      <c r="I325" s="980">
        <v>0.49080000000000001</v>
      </c>
      <c r="J325" s="980">
        <v>0.49080000000000001</v>
      </c>
      <c r="K325" s="980">
        <v>0.49080000000000001</v>
      </c>
      <c r="L325" s="980">
        <v>0.49080000000000001</v>
      </c>
      <c r="M325" s="980">
        <v>0.49080000000000001</v>
      </c>
    </row>
    <row r="326" spans="1:13">
      <c r="A326" s="971">
        <v>5.7</v>
      </c>
      <c r="B326" s="980">
        <v>0.72640000000000005</v>
      </c>
      <c r="C326" s="980">
        <v>0.72640000000000005</v>
      </c>
      <c r="D326" s="980">
        <v>0.67989999999999995</v>
      </c>
      <c r="E326" s="980">
        <v>0.67989999999999995</v>
      </c>
      <c r="F326" s="980">
        <v>0.67989999999999995</v>
      </c>
      <c r="G326" s="980">
        <v>0.56899999999999995</v>
      </c>
      <c r="H326" s="980">
        <v>0.56899999999999995</v>
      </c>
      <c r="I326" s="980">
        <v>0.4884</v>
      </c>
      <c r="J326" s="980">
        <v>0.4884</v>
      </c>
      <c r="K326" s="980">
        <v>0.4884</v>
      </c>
      <c r="L326" s="980">
        <v>0.4884</v>
      </c>
      <c r="M326" s="980">
        <v>0.4884</v>
      </c>
    </row>
    <row r="327" spans="1:13">
      <c r="A327" s="971">
        <v>5.8</v>
      </c>
      <c r="B327" s="980">
        <v>0.72460000000000002</v>
      </c>
      <c r="C327" s="980">
        <v>0.72460000000000002</v>
      </c>
      <c r="D327" s="980">
        <v>0.67779999999999996</v>
      </c>
      <c r="E327" s="980">
        <v>0.67779999999999996</v>
      </c>
      <c r="F327" s="980">
        <v>0.67779999999999996</v>
      </c>
      <c r="G327" s="980">
        <v>0.56659999999999999</v>
      </c>
      <c r="H327" s="980">
        <v>0.56659999999999999</v>
      </c>
      <c r="I327" s="980">
        <v>0.48609999999999998</v>
      </c>
      <c r="J327" s="980">
        <v>0.48609999999999998</v>
      </c>
      <c r="K327" s="980">
        <v>0.48609999999999998</v>
      </c>
      <c r="L327" s="980">
        <v>0.48609999999999998</v>
      </c>
      <c r="M327" s="980">
        <v>0.48609999999999998</v>
      </c>
    </row>
    <row r="328" spans="1:13">
      <c r="A328" s="971">
        <v>5.9</v>
      </c>
      <c r="B328" s="980">
        <v>0.7228</v>
      </c>
      <c r="C328" s="980">
        <v>0.7228</v>
      </c>
      <c r="D328" s="980">
        <v>0.67569999999999997</v>
      </c>
      <c r="E328" s="980">
        <v>0.67569999999999997</v>
      </c>
      <c r="F328" s="980">
        <v>0.67569999999999997</v>
      </c>
      <c r="G328" s="980">
        <v>0.56420000000000003</v>
      </c>
      <c r="H328" s="980">
        <v>0.56420000000000003</v>
      </c>
      <c r="I328" s="980">
        <v>0.48380000000000001</v>
      </c>
      <c r="J328" s="980">
        <v>0.48380000000000001</v>
      </c>
      <c r="K328" s="980">
        <v>0.48380000000000001</v>
      </c>
      <c r="L328" s="980">
        <v>0.48380000000000001</v>
      </c>
      <c r="M328" s="980">
        <v>0.48380000000000001</v>
      </c>
    </row>
    <row r="329" spans="1:13">
      <c r="A329" s="988">
        <v>6</v>
      </c>
      <c r="B329" s="980">
        <v>0.72099999999999997</v>
      </c>
      <c r="C329" s="980">
        <v>0.72099999999999997</v>
      </c>
      <c r="D329" s="980">
        <v>0.67359999999999998</v>
      </c>
      <c r="E329" s="980">
        <v>0.67359999999999998</v>
      </c>
      <c r="F329" s="980">
        <v>0.67359999999999998</v>
      </c>
      <c r="G329" s="980">
        <v>0.56179999999999997</v>
      </c>
      <c r="H329" s="980">
        <v>0.56179999999999997</v>
      </c>
      <c r="I329" s="980">
        <v>0.48159999999999997</v>
      </c>
      <c r="J329" s="980">
        <v>0.48159999999999997</v>
      </c>
      <c r="K329" s="980">
        <v>0.48159999999999997</v>
      </c>
      <c r="L329" s="980">
        <v>0.48159999999999997</v>
      </c>
      <c r="M329" s="980">
        <v>0.48159999999999997</v>
      </c>
    </row>
    <row r="330" spans="1:13">
      <c r="A330" s="988">
        <v>6.1</v>
      </c>
      <c r="B330" s="980">
        <v>0.71930000000000005</v>
      </c>
      <c r="C330" s="980">
        <v>0.71930000000000005</v>
      </c>
      <c r="D330" s="980">
        <v>0.67159999999999997</v>
      </c>
      <c r="E330" s="980">
        <v>0.67159999999999997</v>
      </c>
      <c r="F330" s="980">
        <v>0.67159999999999997</v>
      </c>
      <c r="G330" s="980">
        <v>0.55940000000000001</v>
      </c>
      <c r="H330" s="980">
        <v>0.55940000000000001</v>
      </c>
      <c r="I330" s="980">
        <v>0.4793</v>
      </c>
      <c r="J330" s="980">
        <v>0.4793</v>
      </c>
      <c r="K330" s="980">
        <v>0.4793</v>
      </c>
      <c r="L330" s="980">
        <v>0.4793</v>
      </c>
      <c r="M330" s="980">
        <v>0.4793</v>
      </c>
    </row>
    <row r="331" spans="1:13">
      <c r="A331" s="988">
        <v>6.2</v>
      </c>
      <c r="B331" s="980">
        <v>0.71760000000000002</v>
      </c>
      <c r="C331" s="980">
        <v>0.71760000000000002</v>
      </c>
      <c r="D331" s="980">
        <v>0.66959999999999997</v>
      </c>
      <c r="E331" s="980">
        <v>0.66959999999999997</v>
      </c>
      <c r="F331" s="980">
        <v>0.66959999999999997</v>
      </c>
      <c r="G331" s="980">
        <v>0.55710000000000004</v>
      </c>
      <c r="H331" s="980">
        <v>0.55710000000000004</v>
      </c>
      <c r="I331" s="980">
        <v>0.47710000000000002</v>
      </c>
      <c r="J331" s="980">
        <v>0.47710000000000002</v>
      </c>
      <c r="K331" s="980">
        <v>0.47710000000000002</v>
      </c>
      <c r="L331" s="980">
        <v>0.47710000000000002</v>
      </c>
      <c r="M331" s="980">
        <v>0.47710000000000002</v>
      </c>
    </row>
    <row r="332" spans="1:13">
      <c r="A332" s="988">
        <v>6.3</v>
      </c>
      <c r="B332" s="980">
        <v>0.71589999999999998</v>
      </c>
      <c r="C332" s="980">
        <v>0.71589999999999998</v>
      </c>
      <c r="D332" s="980">
        <v>0.66759999999999997</v>
      </c>
      <c r="E332" s="980">
        <v>0.66759999999999997</v>
      </c>
      <c r="F332" s="980">
        <v>0.66759999999999997</v>
      </c>
      <c r="G332" s="980">
        <v>0.55479999999999996</v>
      </c>
      <c r="H332" s="980">
        <v>0.55479999999999996</v>
      </c>
      <c r="I332" s="980">
        <v>0.47489999999999999</v>
      </c>
      <c r="J332" s="980">
        <v>0.47489999999999999</v>
      </c>
      <c r="K332" s="980">
        <v>0.47489999999999999</v>
      </c>
      <c r="L332" s="980">
        <v>0.47489999999999999</v>
      </c>
      <c r="M332" s="980">
        <v>0.47489999999999999</v>
      </c>
    </row>
    <row r="333" spans="1:13">
      <c r="A333" s="988">
        <v>6.4</v>
      </c>
      <c r="B333" s="980">
        <v>0.71419999999999995</v>
      </c>
      <c r="C333" s="980">
        <v>0.71419999999999995</v>
      </c>
      <c r="D333" s="980">
        <v>0.66559999999999997</v>
      </c>
      <c r="E333" s="980">
        <v>0.66559999999999997</v>
      </c>
      <c r="F333" s="980">
        <v>0.66559999999999997</v>
      </c>
      <c r="G333" s="980">
        <v>0.55249999999999999</v>
      </c>
      <c r="H333" s="980">
        <v>0.55249999999999999</v>
      </c>
      <c r="I333" s="980">
        <v>0.47270000000000001</v>
      </c>
      <c r="J333" s="980">
        <v>0.47270000000000001</v>
      </c>
      <c r="K333" s="980">
        <v>0.47270000000000001</v>
      </c>
      <c r="L333" s="980">
        <v>0.47270000000000001</v>
      </c>
      <c r="M333" s="980">
        <v>0.47270000000000001</v>
      </c>
    </row>
    <row r="334" spans="1:13">
      <c r="A334" s="988">
        <v>6.5</v>
      </c>
      <c r="B334" s="980">
        <v>0.71250000000000002</v>
      </c>
      <c r="C334" s="980">
        <v>0.71250000000000002</v>
      </c>
      <c r="D334" s="980">
        <v>0.66359999999999997</v>
      </c>
      <c r="E334" s="980">
        <v>0.66359999999999997</v>
      </c>
      <c r="F334" s="980">
        <v>0.66359999999999997</v>
      </c>
      <c r="G334" s="980">
        <v>0.55020000000000002</v>
      </c>
      <c r="H334" s="980">
        <v>0.55020000000000002</v>
      </c>
      <c r="I334" s="980">
        <v>0.47060000000000002</v>
      </c>
      <c r="J334" s="980">
        <v>0.47060000000000002</v>
      </c>
      <c r="K334" s="980">
        <v>0.47060000000000002</v>
      </c>
      <c r="L334" s="980">
        <v>0.47060000000000002</v>
      </c>
      <c r="M334" s="980">
        <v>0.47060000000000002</v>
      </c>
    </row>
    <row r="335" spans="1:13">
      <c r="A335" s="988">
        <v>6.6</v>
      </c>
      <c r="B335" s="980">
        <v>0.71089999999999998</v>
      </c>
      <c r="C335" s="980">
        <v>0.71089999999999998</v>
      </c>
      <c r="D335" s="980">
        <v>0.66159999999999997</v>
      </c>
      <c r="E335" s="980">
        <v>0.66159999999999997</v>
      </c>
      <c r="F335" s="980">
        <v>0.66159999999999997</v>
      </c>
      <c r="G335" s="980">
        <v>0.54800000000000004</v>
      </c>
      <c r="H335" s="980">
        <v>0.54800000000000004</v>
      </c>
      <c r="I335" s="980">
        <v>0.46839999999999998</v>
      </c>
      <c r="J335" s="980">
        <v>0.46839999999999998</v>
      </c>
      <c r="K335" s="980">
        <v>0.46839999999999998</v>
      </c>
      <c r="L335" s="980">
        <v>0.46839999999999998</v>
      </c>
      <c r="M335" s="980">
        <v>0.46839999999999998</v>
      </c>
    </row>
    <row r="336" spans="1:13">
      <c r="A336" s="988">
        <v>6.7</v>
      </c>
      <c r="B336" s="980">
        <v>0.70930000000000004</v>
      </c>
      <c r="C336" s="980">
        <v>0.70930000000000004</v>
      </c>
      <c r="D336" s="980">
        <v>0.65969999999999995</v>
      </c>
      <c r="E336" s="980">
        <v>0.65969999999999995</v>
      </c>
      <c r="F336" s="980">
        <v>0.65969999999999995</v>
      </c>
      <c r="G336" s="980">
        <v>0.54579999999999995</v>
      </c>
      <c r="H336" s="980">
        <v>0.54579999999999995</v>
      </c>
      <c r="I336" s="980">
        <v>0.46629999999999999</v>
      </c>
      <c r="J336" s="980">
        <v>0.46629999999999999</v>
      </c>
      <c r="K336" s="980">
        <v>0.46629999999999999</v>
      </c>
      <c r="L336" s="980">
        <v>0.46629999999999999</v>
      </c>
      <c r="M336" s="980">
        <v>0.46629999999999999</v>
      </c>
    </row>
    <row r="337" spans="1:13">
      <c r="A337" s="988">
        <v>6.8</v>
      </c>
      <c r="B337" s="980">
        <v>0.7077</v>
      </c>
      <c r="C337" s="980">
        <v>0.7077</v>
      </c>
      <c r="D337" s="980">
        <v>0.65780000000000005</v>
      </c>
      <c r="E337" s="980">
        <v>0.65780000000000005</v>
      </c>
      <c r="F337" s="980">
        <v>0.65780000000000005</v>
      </c>
      <c r="G337" s="980">
        <v>0.54359999999999997</v>
      </c>
      <c r="H337" s="980">
        <v>0.54359999999999997</v>
      </c>
      <c r="I337" s="980">
        <v>0.46410000000000001</v>
      </c>
      <c r="J337" s="980">
        <v>0.46410000000000001</v>
      </c>
      <c r="K337" s="980">
        <v>0.46410000000000001</v>
      </c>
      <c r="L337" s="980">
        <v>0.46410000000000001</v>
      </c>
      <c r="M337" s="980">
        <v>0.46410000000000001</v>
      </c>
    </row>
    <row r="338" spans="1:13">
      <c r="A338" s="988">
        <v>6.9</v>
      </c>
      <c r="B338" s="980">
        <v>0.70609999999999995</v>
      </c>
      <c r="C338" s="980">
        <v>0.70609999999999995</v>
      </c>
      <c r="D338" s="980">
        <v>0.65590000000000004</v>
      </c>
      <c r="E338" s="980">
        <v>0.65590000000000004</v>
      </c>
      <c r="F338" s="980">
        <v>0.65590000000000004</v>
      </c>
      <c r="G338" s="980">
        <v>0.54139999999999999</v>
      </c>
      <c r="H338" s="980">
        <v>0.54139999999999999</v>
      </c>
      <c r="I338" s="980">
        <v>0.46200000000000002</v>
      </c>
      <c r="J338" s="980">
        <v>0.46200000000000002</v>
      </c>
      <c r="K338" s="980">
        <v>0.46200000000000002</v>
      </c>
      <c r="L338" s="980">
        <v>0.46200000000000002</v>
      </c>
      <c r="M338" s="980">
        <v>0.46200000000000002</v>
      </c>
    </row>
    <row r="339" spans="1:13">
      <c r="A339" s="988">
        <v>7</v>
      </c>
      <c r="B339" s="980">
        <v>0.70450000000000002</v>
      </c>
      <c r="C339" s="980">
        <v>0.70450000000000002</v>
      </c>
      <c r="D339" s="980">
        <v>0.65400000000000003</v>
      </c>
      <c r="E339" s="980">
        <v>0.65400000000000003</v>
      </c>
      <c r="F339" s="980">
        <v>0.65400000000000003</v>
      </c>
      <c r="G339" s="980">
        <v>0.53920000000000001</v>
      </c>
      <c r="H339" s="980">
        <v>0.53920000000000001</v>
      </c>
      <c r="I339" s="980">
        <v>0.45979999999999999</v>
      </c>
      <c r="J339" s="980">
        <v>0.45979999999999999</v>
      </c>
      <c r="K339" s="980">
        <v>0.45979999999999999</v>
      </c>
      <c r="L339" s="980">
        <v>0.45979999999999999</v>
      </c>
      <c r="M339" s="980">
        <v>0.45979999999999999</v>
      </c>
    </row>
    <row r="340" spans="1:13">
      <c r="A340" s="988">
        <v>7.1</v>
      </c>
      <c r="B340" s="980">
        <v>0.70289999999999997</v>
      </c>
      <c r="C340" s="980">
        <v>0.70289999999999997</v>
      </c>
      <c r="D340" s="980">
        <v>0.65210000000000001</v>
      </c>
      <c r="E340" s="980">
        <v>0.65210000000000001</v>
      </c>
      <c r="F340" s="980">
        <v>0.65210000000000001</v>
      </c>
      <c r="G340" s="980">
        <v>0.53710000000000002</v>
      </c>
      <c r="H340" s="980">
        <v>0.53710000000000002</v>
      </c>
      <c r="I340" s="980">
        <v>0.45779999999999998</v>
      </c>
      <c r="J340" s="980">
        <v>0.45779999999999998</v>
      </c>
      <c r="K340" s="980">
        <v>0.45779999999999998</v>
      </c>
      <c r="L340" s="980">
        <v>0.45779999999999998</v>
      </c>
      <c r="M340" s="980">
        <v>0.45779999999999998</v>
      </c>
    </row>
    <row r="341" spans="1:13">
      <c r="A341" s="988">
        <v>7.2</v>
      </c>
      <c r="B341" s="980">
        <v>0.70140000000000002</v>
      </c>
      <c r="C341" s="980">
        <v>0.70140000000000002</v>
      </c>
      <c r="D341" s="980">
        <v>0.6502</v>
      </c>
      <c r="E341" s="980">
        <v>0.6502</v>
      </c>
      <c r="F341" s="980">
        <v>0.6502</v>
      </c>
      <c r="G341" s="980">
        <v>0.53500000000000003</v>
      </c>
      <c r="H341" s="980">
        <v>0.53500000000000003</v>
      </c>
      <c r="I341" s="980">
        <v>0.45569999999999999</v>
      </c>
      <c r="J341" s="980">
        <v>0.45569999999999999</v>
      </c>
      <c r="K341" s="980">
        <v>0.45569999999999999</v>
      </c>
      <c r="L341" s="980">
        <v>0.45569999999999999</v>
      </c>
      <c r="M341" s="980">
        <v>0.45569999999999999</v>
      </c>
    </row>
    <row r="342" spans="1:13">
      <c r="A342" s="988">
        <v>7.3</v>
      </c>
      <c r="B342" s="980">
        <v>0.69989999999999997</v>
      </c>
      <c r="C342" s="980">
        <v>0.69989999999999997</v>
      </c>
      <c r="D342" s="980">
        <v>0.64829999999999999</v>
      </c>
      <c r="E342" s="980">
        <v>0.64829999999999999</v>
      </c>
      <c r="F342" s="980">
        <v>0.64829999999999999</v>
      </c>
      <c r="G342" s="980">
        <v>0.53290000000000004</v>
      </c>
      <c r="H342" s="980">
        <v>0.53290000000000004</v>
      </c>
      <c r="I342" s="980">
        <v>0.45369999999999999</v>
      </c>
      <c r="J342" s="980">
        <v>0.45369999999999999</v>
      </c>
      <c r="K342" s="980">
        <v>0.45369999999999999</v>
      </c>
      <c r="L342" s="980">
        <v>0.45369999999999999</v>
      </c>
      <c r="M342" s="980">
        <v>0.45369999999999999</v>
      </c>
    </row>
    <row r="343" spans="1:13">
      <c r="A343" s="988">
        <v>7.4</v>
      </c>
      <c r="B343" s="980">
        <v>0.69840000000000002</v>
      </c>
      <c r="C343" s="980">
        <v>0.69840000000000002</v>
      </c>
      <c r="D343" s="980">
        <v>0.64649999999999996</v>
      </c>
      <c r="E343" s="980">
        <v>0.64649999999999996</v>
      </c>
      <c r="F343" s="980">
        <v>0.64649999999999996</v>
      </c>
      <c r="G343" s="980">
        <v>0.53080000000000005</v>
      </c>
      <c r="H343" s="980">
        <v>0.53080000000000005</v>
      </c>
      <c r="I343" s="980">
        <v>0.4516</v>
      </c>
      <c r="J343" s="980">
        <v>0.4516</v>
      </c>
      <c r="K343" s="980">
        <v>0.4516</v>
      </c>
      <c r="L343" s="980">
        <v>0.4516</v>
      </c>
      <c r="M343" s="980">
        <v>0.4516</v>
      </c>
    </row>
    <row r="344" spans="1:13">
      <c r="A344" s="988">
        <v>7.5</v>
      </c>
      <c r="B344" s="980">
        <v>0.69689999999999996</v>
      </c>
      <c r="C344" s="980">
        <v>0.69689999999999996</v>
      </c>
      <c r="D344" s="980">
        <v>0.64470000000000005</v>
      </c>
      <c r="E344" s="980">
        <v>0.64470000000000005</v>
      </c>
      <c r="F344" s="980">
        <v>0.64470000000000005</v>
      </c>
      <c r="G344" s="980">
        <v>0.52869999999999995</v>
      </c>
      <c r="H344" s="980">
        <v>0.52869999999999995</v>
      </c>
      <c r="I344" s="980">
        <v>0.44950000000000001</v>
      </c>
      <c r="J344" s="980">
        <v>0.44950000000000001</v>
      </c>
      <c r="K344" s="980">
        <v>0.44950000000000001</v>
      </c>
      <c r="L344" s="980">
        <v>0.44950000000000001</v>
      </c>
      <c r="M344" s="980">
        <v>0.44950000000000001</v>
      </c>
    </row>
    <row r="345" spans="1:13">
      <c r="A345" s="988">
        <v>7.6</v>
      </c>
      <c r="B345" s="980">
        <v>0.69540000000000002</v>
      </c>
      <c r="C345" s="980">
        <v>0.69540000000000002</v>
      </c>
      <c r="D345" s="980">
        <v>0.64290000000000003</v>
      </c>
      <c r="E345" s="980">
        <v>0.64290000000000003</v>
      </c>
      <c r="F345" s="980">
        <v>0.64290000000000003</v>
      </c>
      <c r="G345" s="980">
        <v>0.52659999999999996</v>
      </c>
      <c r="H345" s="980">
        <v>0.52659999999999996</v>
      </c>
      <c r="I345" s="980">
        <v>0.44750000000000001</v>
      </c>
      <c r="J345" s="980">
        <v>0.44750000000000001</v>
      </c>
      <c r="K345" s="980">
        <v>0.44750000000000001</v>
      </c>
      <c r="L345" s="980">
        <v>0.44750000000000001</v>
      </c>
      <c r="M345" s="980">
        <v>0.44750000000000001</v>
      </c>
    </row>
    <row r="346" spans="1:13">
      <c r="A346" s="988">
        <v>7.7</v>
      </c>
      <c r="B346" s="980">
        <v>0.69389999999999996</v>
      </c>
      <c r="C346" s="980">
        <v>0.69389999999999996</v>
      </c>
      <c r="D346" s="980">
        <v>0.6411</v>
      </c>
      <c r="E346" s="980">
        <v>0.6411</v>
      </c>
      <c r="F346" s="980">
        <v>0.6411</v>
      </c>
      <c r="G346" s="980">
        <v>0.52459999999999996</v>
      </c>
      <c r="H346" s="980">
        <v>0.52459999999999996</v>
      </c>
      <c r="I346" s="980">
        <v>0.44540000000000002</v>
      </c>
      <c r="J346" s="980">
        <v>0.44540000000000002</v>
      </c>
      <c r="K346" s="980">
        <v>0.44540000000000002</v>
      </c>
      <c r="L346" s="980">
        <v>0.44540000000000002</v>
      </c>
      <c r="M346" s="980">
        <v>0.44540000000000002</v>
      </c>
    </row>
    <row r="347" spans="1:13">
      <c r="A347" s="988">
        <v>7.8</v>
      </c>
      <c r="B347" s="980">
        <v>0.69240000000000002</v>
      </c>
      <c r="C347" s="980">
        <v>0.69240000000000002</v>
      </c>
      <c r="D347" s="980">
        <v>0.63929999999999998</v>
      </c>
      <c r="E347" s="980">
        <v>0.63929999999999998</v>
      </c>
      <c r="F347" s="980">
        <v>0.63929999999999998</v>
      </c>
      <c r="G347" s="980">
        <v>0.52259999999999995</v>
      </c>
      <c r="H347" s="980">
        <v>0.52259999999999995</v>
      </c>
      <c r="I347" s="980">
        <v>0.44340000000000002</v>
      </c>
      <c r="J347" s="980">
        <v>0.44340000000000002</v>
      </c>
      <c r="K347" s="980">
        <v>0.44340000000000002</v>
      </c>
      <c r="L347" s="980">
        <v>0.44340000000000002</v>
      </c>
      <c r="M347" s="980">
        <v>0.44340000000000002</v>
      </c>
    </row>
    <row r="348" spans="1:13">
      <c r="A348" s="988">
        <v>7.9</v>
      </c>
      <c r="B348" s="980">
        <v>0.69099999999999995</v>
      </c>
      <c r="C348" s="980">
        <v>0.69099999999999995</v>
      </c>
      <c r="D348" s="980">
        <v>0.63749999999999996</v>
      </c>
      <c r="E348" s="980">
        <v>0.63749999999999996</v>
      </c>
      <c r="F348" s="980">
        <v>0.63749999999999996</v>
      </c>
      <c r="G348" s="980">
        <v>0.52059999999999995</v>
      </c>
      <c r="H348" s="980">
        <v>0.52059999999999995</v>
      </c>
      <c r="I348" s="980">
        <v>0.44130000000000003</v>
      </c>
      <c r="J348" s="980">
        <v>0.44130000000000003</v>
      </c>
      <c r="K348" s="980">
        <v>0.44130000000000003</v>
      </c>
      <c r="L348" s="980">
        <v>0.44130000000000003</v>
      </c>
      <c r="M348" s="980">
        <v>0.44130000000000003</v>
      </c>
    </row>
    <row r="349" spans="1:13">
      <c r="A349" s="988">
        <v>8</v>
      </c>
      <c r="B349" s="980">
        <v>0.68959999999999999</v>
      </c>
      <c r="C349" s="980">
        <v>0.68959999999999999</v>
      </c>
      <c r="D349" s="980">
        <v>0.63570000000000004</v>
      </c>
      <c r="E349" s="980">
        <v>0.63570000000000004</v>
      </c>
      <c r="F349" s="980">
        <v>0.63570000000000004</v>
      </c>
      <c r="G349" s="980">
        <v>0.51859999999999995</v>
      </c>
      <c r="H349" s="980">
        <v>0.51859999999999995</v>
      </c>
      <c r="I349" s="980">
        <v>0.43919999999999998</v>
      </c>
      <c r="J349" s="980">
        <v>0.43919999999999998</v>
      </c>
      <c r="K349" s="980">
        <v>0.43919999999999998</v>
      </c>
      <c r="L349" s="980">
        <v>0.43919999999999998</v>
      </c>
      <c r="M349" s="980">
        <v>0.43919999999999998</v>
      </c>
    </row>
    <row r="350" spans="1:13">
      <c r="A350" s="988">
        <v>8.1</v>
      </c>
      <c r="B350" s="980">
        <v>0.68820000000000003</v>
      </c>
      <c r="C350" s="980">
        <v>0.68820000000000003</v>
      </c>
      <c r="D350" s="980">
        <v>0.63390000000000002</v>
      </c>
      <c r="E350" s="980">
        <v>0.63390000000000002</v>
      </c>
      <c r="F350" s="980">
        <v>0.63390000000000002</v>
      </c>
      <c r="G350" s="980">
        <v>0.51659999999999995</v>
      </c>
      <c r="H350" s="980">
        <v>0.51659999999999995</v>
      </c>
      <c r="I350" s="980">
        <v>0.43730000000000002</v>
      </c>
      <c r="J350" s="980">
        <v>0.43730000000000002</v>
      </c>
      <c r="K350" s="980">
        <v>0.43730000000000002</v>
      </c>
      <c r="L350" s="980">
        <v>0.43730000000000002</v>
      </c>
      <c r="M350" s="980">
        <v>0.43730000000000002</v>
      </c>
    </row>
    <row r="351" spans="1:13">
      <c r="A351" s="988">
        <v>8.1999999999999993</v>
      </c>
      <c r="B351" s="980">
        <v>0.68679999999999997</v>
      </c>
      <c r="C351" s="980">
        <v>0.68679999999999997</v>
      </c>
      <c r="D351" s="980">
        <v>0.63219999999999998</v>
      </c>
      <c r="E351" s="980">
        <v>0.63219999999999998</v>
      </c>
      <c r="F351" s="980">
        <v>0.63219999999999998</v>
      </c>
      <c r="G351" s="980">
        <v>0.51459999999999995</v>
      </c>
      <c r="H351" s="980">
        <v>0.51459999999999995</v>
      </c>
      <c r="I351" s="980">
        <v>0.43530000000000002</v>
      </c>
      <c r="J351" s="980">
        <v>0.43530000000000002</v>
      </c>
      <c r="K351" s="980">
        <v>0.43530000000000002</v>
      </c>
      <c r="L351" s="980">
        <v>0.43530000000000002</v>
      </c>
      <c r="M351" s="980">
        <v>0.43530000000000002</v>
      </c>
    </row>
    <row r="352" spans="1:13">
      <c r="A352" s="988">
        <v>8.3000000000000007</v>
      </c>
      <c r="B352" s="980">
        <v>0.68540000000000001</v>
      </c>
      <c r="C352" s="980">
        <v>0.68540000000000001</v>
      </c>
      <c r="D352" s="980">
        <v>0.63049999999999995</v>
      </c>
      <c r="E352" s="980">
        <v>0.63049999999999995</v>
      </c>
      <c r="F352" s="980">
        <v>0.63049999999999995</v>
      </c>
      <c r="G352" s="980">
        <v>0.51259999999999994</v>
      </c>
      <c r="H352" s="980">
        <v>0.51259999999999994</v>
      </c>
      <c r="I352" s="980">
        <v>0.43330000000000002</v>
      </c>
      <c r="J352" s="980">
        <v>0.43330000000000002</v>
      </c>
      <c r="K352" s="980">
        <v>0.43330000000000002</v>
      </c>
      <c r="L352" s="980">
        <v>0.43330000000000002</v>
      </c>
      <c r="M352" s="980">
        <v>0.43330000000000002</v>
      </c>
    </row>
    <row r="353" spans="1:13">
      <c r="A353" s="988">
        <v>8.4</v>
      </c>
      <c r="B353" s="980">
        <v>0.68400000000000005</v>
      </c>
      <c r="C353" s="980">
        <v>0.68400000000000005</v>
      </c>
      <c r="D353" s="980">
        <v>0.62880000000000003</v>
      </c>
      <c r="E353" s="980">
        <v>0.62880000000000003</v>
      </c>
      <c r="F353" s="980">
        <v>0.62880000000000003</v>
      </c>
      <c r="G353" s="980">
        <v>0.51070000000000004</v>
      </c>
      <c r="H353" s="980">
        <v>0.51070000000000004</v>
      </c>
      <c r="I353" s="980">
        <v>0.43130000000000002</v>
      </c>
      <c r="J353" s="980">
        <v>0.43130000000000002</v>
      </c>
      <c r="K353" s="980">
        <v>0.43130000000000002</v>
      </c>
      <c r="L353" s="980">
        <v>0.43130000000000002</v>
      </c>
      <c r="M353" s="980">
        <v>0.43130000000000002</v>
      </c>
    </row>
    <row r="354" spans="1:13">
      <c r="A354" s="988">
        <v>8.5</v>
      </c>
      <c r="B354" s="980">
        <v>0.68259999999999998</v>
      </c>
      <c r="C354" s="980">
        <v>0.68259999999999998</v>
      </c>
      <c r="D354" s="980">
        <v>0.62709999999999999</v>
      </c>
      <c r="E354" s="980">
        <v>0.62709999999999999</v>
      </c>
      <c r="F354" s="980">
        <v>0.62709999999999999</v>
      </c>
      <c r="G354" s="980">
        <v>0.50880000000000003</v>
      </c>
      <c r="H354" s="980">
        <v>0.50880000000000003</v>
      </c>
      <c r="I354" s="980">
        <v>0.4294</v>
      </c>
      <c r="J354" s="980">
        <v>0.4294</v>
      </c>
      <c r="K354" s="980">
        <v>0.4294</v>
      </c>
      <c r="L354" s="980">
        <v>0.4294</v>
      </c>
      <c r="M354" s="980">
        <v>0.4294</v>
      </c>
    </row>
    <row r="355" spans="1:13">
      <c r="A355" s="988">
        <v>8.6</v>
      </c>
      <c r="B355" s="980">
        <v>0.68120000000000003</v>
      </c>
      <c r="C355" s="980">
        <v>0.68120000000000003</v>
      </c>
      <c r="D355" s="980">
        <v>0.62539999999999996</v>
      </c>
      <c r="E355" s="980">
        <v>0.62539999999999996</v>
      </c>
      <c r="F355" s="980">
        <v>0.62539999999999996</v>
      </c>
      <c r="G355" s="980">
        <v>0.50690000000000002</v>
      </c>
      <c r="H355" s="980">
        <v>0.50690000000000002</v>
      </c>
      <c r="I355" s="980">
        <v>0.4274</v>
      </c>
      <c r="J355" s="980">
        <v>0.4274</v>
      </c>
      <c r="K355" s="980">
        <v>0.4274</v>
      </c>
      <c r="L355" s="980">
        <v>0.4274</v>
      </c>
      <c r="M355" s="980">
        <v>0.4274</v>
      </c>
    </row>
    <row r="356" spans="1:13">
      <c r="A356" s="988">
        <v>8.6999999999999993</v>
      </c>
      <c r="B356" s="980">
        <v>0.67989999999999995</v>
      </c>
      <c r="C356" s="980">
        <v>0.67989999999999995</v>
      </c>
      <c r="D356" s="980">
        <v>0.62370000000000003</v>
      </c>
      <c r="E356" s="980">
        <v>0.62370000000000003</v>
      </c>
      <c r="F356" s="980">
        <v>0.62370000000000003</v>
      </c>
      <c r="G356" s="980">
        <v>0.505</v>
      </c>
      <c r="H356" s="980">
        <v>0.505</v>
      </c>
      <c r="I356" s="980">
        <v>0.4254</v>
      </c>
      <c r="J356" s="980">
        <v>0.4254</v>
      </c>
      <c r="K356" s="980">
        <v>0.4254</v>
      </c>
      <c r="L356" s="980">
        <v>0.4254</v>
      </c>
      <c r="M356" s="980">
        <v>0.4254</v>
      </c>
    </row>
    <row r="357" spans="1:13">
      <c r="A357" s="988">
        <v>8.8000000000000007</v>
      </c>
      <c r="B357" s="980">
        <v>0.67859999999999998</v>
      </c>
      <c r="C357" s="980">
        <v>0.67859999999999998</v>
      </c>
      <c r="D357" s="980">
        <v>0.622</v>
      </c>
      <c r="E357" s="980">
        <v>0.622</v>
      </c>
      <c r="F357" s="980">
        <v>0.622</v>
      </c>
      <c r="G357" s="980">
        <v>0.50309999999999999</v>
      </c>
      <c r="H357" s="980">
        <v>0.50309999999999999</v>
      </c>
      <c r="I357" s="980">
        <v>0.4234</v>
      </c>
      <c r="J357" s="980">
        <v>0.4234</v>
      </c>
      <c r="K357" s="980">
        <v>0.4234</v>
      </c>
      <c r="L357" s="980">
        <v>0.4234</v>
      </c>
      <c r="M357" s="980">
        <v>0.4234</v>
      </c>
    </row>
    <row r="358" spans="1:13">
      <c r="A358" s="988">
        <v>8.9</v>
      </c>
      <c r="B358" s="980">
        <v>0.67730000000000001</v>
      </c>
      <c r="C358" s="980">
        <v>0.67730000000000001</v>
      </c>
      <c r="D358" s="980">
        <v>0.62029999999999996</v>
      </c>
      <c r="E358" s="980">
        <v>0.62029999999999996</v>
      </c>
      <c r="F358" s="980">
        <v>0.62029999999999996</v>
      </c>
      <c r="G358" s="980">
        <v>0.50119999999999998</v>
      </c>
      <c r="H358" s="980">
        <v>0.50119999999999998</v>
      </c>
      <c r="I358" s="980">
        <v>0.42149999999999999</v>
      </c>
      <c r="J358" s="980">
        <v>0.42149999999999999</v>
      </c>
      <c r="K358" s="980">
        <v>0.42149999999999999</v>
      </c>
      <c r="L358" s="980">
        <v>0.42149999999999999</v>
      </c>
      <c r="M358" s="980">
        <v>0.42149999999999999</v>
      </c>
    </row>
    <row r="359" spans="1:13">
      <c r="A359" s="971">
        <v>9</v>
      </c>
      <c r="B359" s="980">
        <v>0.67600000000000005</v>
      </c>
      <c r="C359" s="980">
        <v>0.67600000000000005</v>
      </c>
      <c r="D359" s="980">
        <v>0.61870000000000003</v>
      </c>
      <c r="E359" s="980">
        <v>0.61870000000000003</v>
      </c>
      <c r="F359" s="980">
        <v>0.61870000000000003</v>
      </c>
      <c r="G359" s="980">
        <v>0.49930000000000002</v>
      </c>
      <c r="H359" s="980">
        <v>0.49930000000000002</v>
      </c>
      <c r="I359" s="980">
        <v>0.41949999999999998</v>
      </c>
      <c r="J359" s="980">
        <v>0.41949999999999998</v>
      </c>
      <c r="K359" s="980">
        <v>0.41949999999999998</v>
      </c>
      <c r="L359" s="980">
        <v>0.41949999999999998</v>
      </c>
      <c r="M359" s="980">
        <v>0.41949999999999998</v>
      </c>
    </row>
    <row r="360" spans="1:13">
      <c r="A360" s="971">
        <v>9.1</v>
      </c>
      <c r="B360" s="980">
        <v>0.67469999999999997</v>
      </c>
      <c r="C360" s="980">
        <v>0.67469999999999997</v>
      </c>
      <c r="D360" s="980">
        <v>0.61709999999999998</v>
      </c>
      <c r="E360" s="980">
        <v>0.61709999999999998</v>
      </c>
      <c r="F360" s="980">
        <v>0.61709999999999998</v>
      </c>
      <c r="G360" s="980">
        <v>0.49740000000000001</v>
      </c>
      <c r="H360" s="980">
        <v>0.49740000000000001</v>
      </c>
      <c r="I360" s="980">
        <v>0.41760000000000003</v>
      </c>
      <c r="J360" s="980">
        <v>0.41760000000000003</v>
      </c>
      <c r="K360" s="980">
        <v>0.41760000000000003</v>
      </c>
      <c r="L360" s="980">
        <v>0.41760000000000003</v>
      </c>
      <c r="M360" s="980">
        <v>0.41760000000000003</v>
      </c>
    </row>
    <row r="361" spans="1:13">
      <c r="A361" s="971">
        <v>9.1999999999999993</v>
      </c>
      <c r="B361" s="980">
        <v>0.6734</v>
      </c>
      <c r="C361" s="980">
        <v>0.6734</v>
      </c>
      <c r="D361" s="980">
        <v>0.61550000000000005</v>
      </c>
      <c r="E361" s="980">
        <v>0.61550000000000005</v>
      </c>
      <c r="F361" s="980">
        <v>0.61550000000000005</v>
      </c>
      <c r="G361" s="980">
        <v>0.49559999999999998</v>
      </c>
      <c r="H361" s="980">
        <v>0.49559999999999998</v>
      </c>
      <c r="I361" s="980">
        <v>0.41570000000000001</v>
      </c>
      <c r="J361" s="980">
        <v>0.41570000000000001</v>
      </c>
      <c r="K361" s="980">
        <v>0.41570000000000001</v>
      </c>
      <c r="L361" s="980">
        <v>0.41570000000000001</v>
      </c>
      <c r="M361" s="980">
        <v>0.41570000000000001</v>
      </c>
    </row>
    <row r="362" spans="1:13">
      <c r="A362" s="971">
        <v>9.3000000000000007</v>
      </c>
      <c r="B362" s="980">
        <v>0.67210000000000003</v>
      </c>
      <c r="C362" s="980">
        <v>0.67210000000000003</v>
      </c>
      <c r="D362" s="980">
        <v>0.6139</v>
      </c>
      <c r="E362" s="980">
        <v>0.6139</v>
      </c>
      <c r="F362" s="980">
        <v>0.6139</v>
      </c>
      <c r="G362" s="980">
        <v>0.49380000000000002</v>
      </c>
      <c r="H362" s="980">
        <v>0.49380000000000002</v>
      </c>
      <c r="I362" s="980">
        <v>0.4138</v>
      </c>
      <c r="J362" s="980">
        <v>0.4138</v>
      </c>
      <c r="K362" s="980">
        <v>0.4138</v>
      </c>
      <c r="L362" s="980">
        <v>0.4138</v>
      </c>
      <c r="M362" s="980">
        <v>0.4138</v>
      </c>
    </row>
    <row r="363" spans="1:13">
      <c r="A363" s="971">
        <v>9.4</v>
      </c>
      <c r="B363" s="980">
        <v>0.67079999999999995</v>
      </c>
      <c r="C363" s="980">
        <v>0.67079999999999995</v>
      </c>
      <c r="D363" s="980">
        <v>0.61229999999999996</v>
      </c>
      <c r="E363" s="980">
        <v>0.61229999999999996</v>
      </c>
      <c r="F363" s="980">
        <v>0.61229999999999996</v>
      </c>
      <c r="G363" s="980">
        <v>0.49199999999999999</v>
      </c>
      <c r="H363" s="980">
        <v>0.49199999999999999</v>
      </c>
      <c r="I363" s="980">
        <v>0.41189999999999999</v>
      </c>
      <c r="J363" s="980">
        <v>0.41189999999999999</v>
      </c>
      <c r="K363" s="980">
        <v>0.41189999999999999</v>
      </c>
      <c r="L363" s="980">
        <v>0.41189999999999999</v>
      </c>
      <c r="M363" s="980">
        <v>0.41189999999999999</v>
      </c>
    </row>
    <row r="364" spans="1:13">
      <c r="A364" s="971">
        <v>9.5</v>
      </c>
      <c r="B364" s="980">
        <v>0.66959999999999997</v>
      </c>
      <c r="C364" s="980">
        <v>0.66959999999999997</v>
      </c>
      <c r="D364" s="980">
        <v>0.61070000000000002</v>
      </c>
      <c r="E364" s="980">
        <v>0.61070000000000002</v>
      </c>
      <c r="F364" s="980">
        <v>0.61070000000000002</v>
      </c>
      <c r="G364" s="980">
        <v>0.49020000000000002</v>
      </c>
      <c r="H364" s="980">
        <v>0.49020000000000002</v>
      </c>
      <c r="I364" s="980">
        <v>0.41</v>
      </c>
      <c r="J364" s="980">
        <v>0.41</v>
      </c>
      <c r="K364" s="980">
        <v>0.41</v>
      </c>
      <c r="L364" s="980">
        <v>0.41</v>
      </c>
      <c r="M364" s="980">
        <v>0.41</v>
      </c>
    </row>
    <row r="365" spans="1:13">
      <c r="A365" s="988">
        <v>9.6</v>
      </c>
      <c r="B365" s="980">
        <v>0.66839999999999999</v>
      </c>
      <c r="C365" s="980">
        <v>0.66839999999999999</v>
      </c>
      <c r="D365" s="980">
        <v>0.60909999999999997</v>
      </c>
      <c r="E365" s="980">
        <v>0.60909999999999997</v>
      </c>
      <c r="F365" s="980">
        <v>0.60909999999999997</v>
      </c>
      <c r="G365" s="980">
        <v>0.4884</v>
      </c>
      <c r="H365" s="980">
        <v>0.4884</v>
      </c>
      <c r="I365" s="980">
        <v>0.40810000000000002</v>
      </c>
      <c r="J365" s="980">
        <v>0.40810000000000002</v>
      </c>
      <c r="K365" s="980">
        <v>0.40810000000000002</v>
      </c>
      <c r="L365" s="980">
        <v>0.40810000000000002</v>
      </c>
      <c r="M365" s="980">
        <v>0.40810000000000002</v>
      </c>
    </row>
    <row r="366" spans="1:13">
      <c r="A366" s="971">
        <v>9.6999999999999993</v>
      </c>
      <c r="B366" s="980">
        <v>0.66720000000000002</v>
      </c>
      <c r="C366" s="980">
        <v>0.66720000000000002</v>
      </c>
      <c r="D366" s="980">
        <v>0.60750000000000004</v>
      </c>
      <c r="E366" s="980">
        <v>0.60750000000000004</v>
      </c>
      <c r="F366" s="980">
        <v>0.60750000000000004</v>
      </c>
      <c r="G366" s="980">
        <v>0.48659999999999998</v>
      </c>
      <c r="H366" s="980">
        <v>0.48659999999999998</v>
      </c>
      <c r="I366" s="980">
        <v>0.40620000000000001</v>
      </c>
      <c r="J366" s="980">
        <v>0.40620000000000001</v>
      </c>
      <c r="K366" s="980">
        <v>0.40620000000000001</v>
      </c>
      <c r="L366" s="980">
        <v>0.40620000000000001</v>
      </c>
      <c r="M366" s="980">
        <v>0.40620000000000001</v>
      </c>
    </row>
    <row r="367" spans="1:13">
      <c r="A367" s="971">
        <v>9.8000000000000007</v>
      </c>
      <c r="B367" s="980">
        <v>0.66600000000000004</v>
      </c>
      <c r="C367" s="980">
        <v>0.66600000000000004</v>
      </c>
      <c r="D367" s="980">
        <v>0.60599999999999998</v>
      </c>
      <c r="E367" s="980">
        <v>0.60599999999999998</v>
      </c>
      <c r="F367" s="980">
        <v>0.60599999999999998</v>
      </c>
      <c r="G367" s="980">
        <v>0.48480000000000001</v>
      </c>
      <c r="H367" s="980">
        <v>0.48480000000000001</v>
      </c>
      <c r="I367" s="980">
        <v>0.40429999999999999</v>
      </c>
      <c r="J367" s="980">
        <v>0.40429999999999999</v>
      </c>
      <c r="K367" s="980">
        <v>0.40429999999999999</v>
      </c>
      <c r="L367" s="980">
        <v>0.40429999999999999</v>
      </c>
      <c r="M367" s="980">
        <v>0.40429999999999999</v>
      </c>
    </row>
    <row r="368" spans="1:13">
      <c r="A368" s="971">
        <v>9.9</v>
      </c>
      <c r="B368" s="980">
        <v>0.66479999999999995</v>
      </c>
      <c r="C368" s="980">
        <v>0.66479999999999995</v>
      </c>
      <c r="D368" s="980">
        <v>0.60450000000000004</v>
      </c>
      <c r="E368" s="980">
        <v>0.60450000000000004</v>
      </c>
      <c r="F368" s="980">
        <v>0.60450000000000004</v>
      </c>
      <c r="G368" s="980">
        <v>0.48299999999999998</v>
      </c>
      <c r="H368" s="980">
        <v>0.48299999999999998</v>
      </c>
      <c r="I368" s="980">
        <v>0.40239999999999998</v>
      </c>
      <c r="J368" s="980">
        <v>0.40239999999999998</v>
      </c>
      <c r="K368" s="980">
        <v>0.40239999999999998</v>
      </c>
      <c r="L368" s="980">
        <v>0.40239999999999998</v>
      </c>
      <c r="M368" s="980">
        <v>0.40239999999999998</v>
      </c>
    </row>
    <row r="369" spans="1:14" ht="14.25">
      <c r="A369" s="3339" t="s">
        <v>2774</v>
      </c>
      <c r="B369" s="980"/>
      <c r="C369" s="980"/>
      <c r="D369" s="980"/>
      <c r="E369" s="980"/>
      <c r="F369" s="980"/>
      <c r="G369" s="980"/>
      <c r="H369" s="980"/>
      <c r="I369" s="980"/>
      <c r="J369" s="980"/>
      <c r="K369" s="980"/>
      <c r="L369" s="980"/>
      <c r="M369" s="980"/>
    </row>
    <row r="370" spans="1:14">
      <c r="A370" s="971" t="s">
        <v>1550</v>
      </c>
      <c r="B370" s="980" t="s">
        <v>990</v>
      </c>
      <c r="C370" s="980" t="s">
        <v>1031</v>
      </c>
      <c r="D370" s="980" t="s">
        <v>1145</v>
      </c>
      <c r="E370" s="980" t="s">
        <v>853</v>
      </c>
      <c r="F370" s="980" t="s">
        <v>1152</v>
      </c>
      <c r="G370" s="980" t="s">
        <v>1153</v>
      </c>
      <c r="H370" s="980" t="s">
        <v>1154</v>
      </c>
      <c r="I370" s="980" t="s">
        <v>1155</v>
      </c>
      <c r="J370" s="980" t="s">
        <v>1156</v>
      </c>
      <c r="K370" s="980" t="s">
        <v>1157</v>
      </c>
      <c r="L370" s="980" t="s">
        <v>2757</v>
      </c>
      <c r="M370" s="980" t="s">
        <v>2758</v>
      </c>
      <c r="N370" s="970" t="e">
        <f>SUMPRODUCT((A371:A460=ROUNDDOWN([2]基准地价修正!G3,1))*(B370:M370=[2]基准地价修正!G2)*(B371:M460))</f>
        <v>#REF!</v>
      </c>
    </row>
    <row r="371" spans="1:14">
      <c r="A371" s="971">
        <v>1</v>
      </c>
      <c r="B371" s="980">
        <v>1.1839999999999999</v>
      </c>
      <c r="C371" s="980">
        <v>1.1839999999999999</v>
      </c>
      <c r="D371" s="980">
        <v>1.1565000000000001</v>
      </c>
      <c r="E371" s="980">
        <v>1.1565000000000001</v>
      </c>
      <c r="F371" s="980">
        <v>1.1565000000000001</v>
      </c>
      <c r="G371" s="980">
        <v>1.1565000000000001</v>
      </c>
      <c r="H371" s="980">
        <v>1.1565000000000001</v>
      </c>
      <c r="I371" s="980">
        <v>1.1198999999999999</v>
      </c>
      <c r="J371" s="980">
        <v>1.1198999999999999</v>
      </c>
      <c r="K371" s="980">
        <v>1.1198999999999999</v>
      </c>
      <c r="L371" s="980">
        <v>1.1198999999999999</v>
      </c>
      <c r="M371" s="980">
        <v>1.1198999999999999</v>
      </c>
    </row>
    <row r="372" spans="1:14">
      <c r="A372" s="971">
        <v>1.1000000000000001</v>
      </c>
      <c r="B372" s="980">
        <v>1.1658999999999999</v>
      </c>
      <c r="C372" s="980">
        <v>1.1658999999999999</v>
      </c>
      <c r="D372" s="980">
        <v>1.1364000000000001</v>
      </c>
      <c r="E372" s="980">
        <v>1.1364000000000001</v>
      </c>
      <c r="F372" s="980">
        <v>1.1364000000000001</v>
      </c>
      <c r="G372" s="980">
        <v>1.1364000000000001</v>
      </c>
      <c r="H372" s="980">
        <v>1.1364000000000001</v>
      </c>
      <c r="I372" s="980">
        <v>1.0931</v>
      </c>
      <c r="J372" s="980">
        <v>1.0931</v>
      </c>
      <c r="K372" s="980">
        <v>1.0931</v>
      </c>
      <c r="L372" s="980">
        <v>1.0931</v>
      </c>
      <c r="M372" s="980">
        <v>1.0931</v>
      </c>
    </row>
    <row r="373" spans="1:14">
      <c r="A373" s="971">
        <v>1.2</v>
      </c>
      <c r="B373" s="980">
        <v>1.1489</v>
      </c>
      <c r="C373" s="980">
        <v>1.1489</v>
      </c>
      <c r="D373" s="980">
        <v>1.1174999999999999</v>
      </c>
      <c r="E373" s="980">
        <v>1.1174999999999999</v>
      </c>
      <c r="F373" s="980">
        <v>1.1174999999999999</v>
      </c>
      <c r="G373" s="980">
        <v>1.1174999999999999</v>
      </c>
      <c r="H373" s="980">
        <v>1.1174999999999999</v>
      </c>
      <c r="I373" s="980">
        <v>1.0678000000000001</v>
      </c>
      <c r="J373" s="980">
        <v>1.0678000000000001</v>
      </c>
      <c r="K373" s="980">
        <v>1.0678000000000001</v>
      </c>
      <c r="L373" s="980">
        <v>1.0678000000000001</v>
      </c>
      <c r="M373" s="980">
        <v>1.0678000000000001</v>
      </c>
    </row>
    <row r="374" spans="1:14">
      <c r="A374" s="971">
        <v>1.3</v>
      </c>
      <c r="B374" s="980">
        <v>1.1328</v>
      </c>
      <c r="C374" s="980">
        <v>1.1328</v>
      </c>
      <c r="D374" s="980">
        <v>1.0995999999999999</v>
      </c>
      <c r="E374" s="980">
        <v>1.0995999999999999</v>
      </c>
      <c r="F374" s="980">
        <v>1.0995999999999999</v>
      </c>
      <c r="G374" s="980">
        <v>1.0995999999999999</v>
      </c>
      <c r="H374" s="980">
        <v>1.0995999999999999</v>
      </c>
      <c r="I374" s="980">
        <v>1.044</v>
      </c>
      <c r="J374" s="980">
        <v>1.044</v>
      </c>
      <c r="K374" s="980">
        <v>1.044</v>
      </c>
      <c r="L374" s="980">
        <v>1.044</v>
      </c>
      <c r="M374" s="980">
        <v>1.044</v>
      </c>
    </row>
    <row r="375" spans="1:14">
      <c r="A375" s="971">
        <v>1.4</v>
      </c>
      <c r="B375" s="980">
        <v>1.1175999999999999</v>
      </c>
      <c r="C375" s="980">
        <v>1.1175999999999999</v>
      </c>
      <c r="D375" s="980">
        <v>1.0827</v>
      </c>
      <c r="E375" s="980">
        <v>1.0827</v>
      </c>
      <c r="F375" s="980">
        <v>1.0827</v>
      </c>
      <c r="G375" s="980">
        <v>1.0827</v>
      </c>
      <c r="H375" s="980">
        <v>1.0827</v>
      </c>
      <c r="I375" s="980">
        <v>1.0214000000000001</v>
      </c>
      <c r="J375" s="980">
        <v>1.0214000000000001</v>
      </c>
      <c r="K375" s="980">
        <v>1.0214000000000001</v>
      </c>
      <c r="L375" s="980">
        <v>1.0214000000000001</v>
      </c>
      <c r="M375" s="980">
        <v>1.0214000000000001</v>
      </c>
    </row>
    <row r="376" spans="1:14">
      <c r="A376" s="971">
        <v>1.5</v>
      </c>
      <c r="B376" s="980">
        <v>1.1032999999999999</v>
      </c>
      <c r="C376" s="980">
        <v>1.1032999999999999</v>
      </c>
      <c r="D376" s="980">
        <v>1.0668</v>
      </c>
      <c r="E376" s="980">
        <v>1.0668</v>
      </c>
      <c r="F376" s="980">
        <v>1.0668</v>
      </c>
      <c r="G376" s="980">
        <v>1.0668</v>
      </c>
      <c r="H376" s="980">
        <v>1.0668</v>
      </c>
      <c r="I376" s="980">
        <v>1</v>
      </c>
      <c r="J376" s="980">
        <v>1</v>
      </c>
      <c r="K376" s="980">
        <v>1</v>
      </c>
      <c r="L376" s="980">
        <v>1</v>
      </c>
      <c r="M376" s="980">
        <v>1</v>
      </c>
    </row>
    <row r="377" spans="1:14">
      <c r="A377" s="971">
        <v>1.6</v>
      </c>
      <c r="B377" s="980">
        <v>1.0899000000000001</v>
      </c>
      <c r="C377" s="980">
        <v>1.0899000000000001</v>
      </c>
      <c r="D377" s="980">
        <v>1.0517000000000001</v>
      </c>
      <c r="E377" s="980">
        <v>1.0517000000000001</v>
      </c>
      <c r="F377" s="980">
        <v>1.0517000000000001</v>
      </c>
      <c r="G377" s="980">
        <v>1.0517000000000001</v>
      </c>
      <c r="H377" s="980">
        <v>1.0517000000000001</v>
      </c>
      <c r="I377" s="980">
        <v>0.97989999999999999</v>
      </c>
      <c r="J377" s="980">
        <v>0.97989999999999999</v>
      </c>
      <c r="K377" s="980">
        <v>0.97989999999999999</v>
      </c>
      <c r="L377" s="980">
        <v>0.97989999999999999</v>
      </c>
      <c r="M377" s="980">
        <v>0.97989999999999999</v>
      </c>
    </row>
    <row r="378" spans="1:14">
      <c r="A378" s="971">
        <v>1.7</v>
      </c>
      <c r="B378" s="980">
        <v>1.0771999999999999</v>
      </c>
      <c r="C378" s="980">
        <v>1.0771999999999999</v>
      </c>
      <c r="D378" s="980">
        <v>1.0376000000000001</v>
      </c>
      <c r="E378" s="980">
        <v>1.0376000000000001</v>
      </c>
      <c r="F378" s="980">
        <v>1.0376000000000001</v>
      </c>
      <c r="G378" s="980">
        <v>1.0376000000000001</v>
      </c>
      <c r="H378" s="980">
        <v>1.0376000000000001</v>
      </c>
      <c r="I378" s="980">
        <v>0.96089999999999998</v>
      </c>
      <c r="J378" s="980">
        <v>0.96089999999999998</v>
      </c>
      <c r="K378" s="980">
        <v>0.96089999999999998</v>
      </c>
      <c r="L378" s="980">
        <v>0.96089999999999998</v>
      </c>
      <c r="M378" s="980">
        <v>0.96089999999999998</v>
      </c>
    </row>
    <row r="379" spans="1:14">
      <c r="A379" s="971">
        <v>1.8</v>
      </c>
      <c r="B379" s="980">
        <v>1.0652999999999999</v>
      </c>
      <c r="C379" s="980">
        <v>1.0652999999999999</v>
      </c>
      <c r="D379" s="980">
        <v>1.0243</v>
      </c>
      <c r="E379" s="980">
        <v>1.0243</v>
      </c>
      <c r="F379" s="980">
        <v>1.0243</v>
      </c>
      <c r="G379" s="980">
        <v>1.0243</v>
      </c>
      <c r="H379" s="980">
        <v>1.0243</v>
      </c>
      <c r="I379" s="980">
        <v>0.94299999999999995</v>
      </c>
      <c r="J379" s="980">
        <v>0.94299999999999995</v>
      </c>
      <c r="K379" s="980">
        <v>0.94299999999999995</v>
      </c>
      <c r="L379" s="980">
        <v>0.94299999999999995</v>
      </c>
      <c r="M379" s="980">
        <v>0.94299999999999995</v>
      </c>
    </row>
    <row r="380" spans="1:14">
      <c r="A380" s="971">
        <v>1.9</v>
      </c>
      <c r="B380" s="980">
        <v>1.054</v>
      </c>
      <c r="C380" s="980">
        <v>1.054</v>
      </c>
      <c r="D380" s="980">
        <v>1.0118</v>
      </c>
      <c r="E380" s="980">
        <v>1.0118</v>
      </c>
      <c r="F380" s="980">
        <v>1.0118</v>
      </c>
      <c r="G380" s="980">
        <v>1.0118</v>
      </c>
      <c r="H380" s="980">
        <v>1.0118</v>
      </c>
      <c r="I380" s="980">
        <v>0.92620000000000002</v>
      </c>
      <c r="J380" s="980">
        <v>0.92620000000000002</v>
      </c>
      <c r="K380" s="980">
        <v>0.92620000000000002</v>
      </c>
      <c r="L380" s="980">
        <v>0.92620000000000002</v>
      </c>
      <c r="M380" s="980">
        <v>0.92620000000000002</v>
      </c>
    </row>
    <row r="381" spans="1:14">
      <c r="A381" s="971">
        <v>2</v>
      </c>
      <c r="B381" s="980">
        <v>1.0435000000000001</v>
      </c>
      <c r="C381" s="980">
        <v>1.0435000000000001</v>
      </c>
      <c r="D381" s="980">
        <v>1</v>
      </c>
      <c r="E381" s="980">
        <v>1</v>
      </c>
      <c r="F381" s="980">
        <v>1</v>
      </c>
      <c r="G381" s="980">
        <v>1</v>
      </c>
      <c r="H381" s="980">
        <v>1</v>
      </c>
      <c r="I381" s="980">
        <v>0.9103</v>
      </c>
      <c r="J381" s="980">
        <v>0.9103</v>
      </c>
      <c r="K381" s="980">
        <v>0.9103</v>
      </c>
      <c r="L381" s="980">
        <v>0.9103</v>
      </c>
      <c r="M381" s="980">
        <v>0.9103</v>
      </c>
    </row>
    <row r="382" spans="1:14">
      <c r="A382" s="971">
        <v>2.1</v>
      </c>
      <c r="B382" s="980">
        <v>1.0336000000000001</v>
      </c>
      <c r="C382" s="980">
        <v>1.0336000000000001</v>
      </c>
      <c r="D382" s="980">
        <v>0.98899999999999999</v>
      </c>
      <c r="E382" s="980">
        <v>0.98899999999999999</v>
      </c>
      <c r="F382" s="980">
        <v>0.98899999999999999</v>
      </c>
      <c r="G382" s="980">
        <v>0.98899999999999999</v>
      </c>
      <c r="H382" s="980">
        <v>0.98899999999999999</v>
      </c>
      <c r="I382" s="980">
        <v>0.89539999999999997</v>
      </c>
      <c r="J382" s="980">
        <v>0.89539999999999997</v>
      </c>
      <c r="K382" s="980">
        <v>0.89539999999999997</v>
      </c>
      <c r="L382" s="980">
        <v>0.89539999999999997</v>
      </c>
      <c r="M382" s="980">
        <v>0.89539999999999997</v>
      </c>
    </row>
    <row r="383" spans="1:14">
      <c r="A383" s="971">
        <v>2.2000000000000002</v>
      </c>
      <c r="B383" s="980">
        <v>1.0243</v>
      </c>
      <c r="C383" s="980">
        <v>1.0243</v>
      </c>
      <c r="D383" s="980">
        <v>0.97860000000000003</v>
      </c>
      <c r="E383" s="980">
        <v>0.97860000000000003</v>
      </c>
      <c r="F383" s="980">
        <v>0.97860000000000003</v>
      </c>
      <c r="G383" s="980">
        <v>0.97860000000000003</v>
      </c>
      <c r="H383" s="980">
        <v>0.97860000000000003</v>
      </c>
      <c r="I383" s="980">
        <v>0.88139999999999996</v>
      </c>
      <c r="J383" s="980">
        <v>0.88139999999999996</v>
      </c>
      <c r="K383" s="980">
        <v>0.88139999999999996</v>
      </c>
      <c r="L383" s="980">
        <v>0.88139999999999996</v>
      </c>
      <c r="M383" s="980">
        <v>0.88139999999999996</v>
      </c>
    </row>
    <row r="384" spans="1:14">
      <c r="A384" s="971">
        <v>2.2999999999999998</v>
      </c>
      <c r="B384" s="980">
        <v>1.0157</v>
      </c>
      <c r="C384" s="980">
        <v>1.0157</v>
      </c>
      <c r="D384" s="980">
        <v>0.96889999999999998</v>
      </c>
      <c r="E384" s="980">
        <v>0.96889999999999998</v>
      </c>
      <c r="F384" s="980">
        <v>0.96889999999999998</v>
      </c>
      <c r="G384" s="980">
        <v>0.96889999999999998</v>
      </c>
      <c r="H384" s="980">
        <v>0.96889999999999998</v>
      </c>
      <c r="I384" s="980">
        <v>0.86819999999999997</v>
      </c>
      <c r="J384" s="980">
        <v>0.86819999999999997</v>
      </c>
      <c r="K384" s="980">
        <v>0.86819999999999997</v>
      </c>
      <c r="L384" s="980">
        <v>0.86819999999999997</v>
      </c>
      <c r="M384" s="980">
        <v>0.86819999999999997</v>
      </c>
    </row>
    <row r="385" spans="1:13">
      <c r="A385" s="971">
        <v>2.4</v>
      </c>
      <c r="B385" s="980">
        <v>1.0076000000000001</v>
      </c>
      <c r="C385" s="980">
        <v>1.0076000000000001</v>
      </c>
      <c r="D385" s="980">
        <v>0.95979999999999999</v>
      </c>
      <c r="E385" s="980">
        <v>0.95979999999999999</v>
      </c>
      <c r="F385" s="980">
        <v>0.95979999999999999</v>
      </c>
      <c r="G385" s="980">
        <v>0.95979999999999999</v>
      </c>
      <c r="H385" s="980">
        <v>0.95979999999999999</v>
      </c>
      <c r="I385" s="980">
        <v>0.85580000000000001</v>
      </c>
      <c r="J385" s="980">
        <v>0.85580000000000001</v>
      </c>
      <c r="K385" s="980">
        <v>0.85580000000000001</v>
      </c>
      <c r="L385" s="980">
        <v>0.85580000000000001</v>
      </c>
      <c r="M385" s="980">
        <v>0.85580000000000001</v>
      </c>
    </row>
    <row r="386" spans="1:13">
      <c r="A386" s="971">
        <v>2.5</v>
      </c>
      <c r="B386" s="980">
        <v>1</v>
      </c>
      <c r="C386" s="980">
        <v>1</v>
      </c>
      <c r="D386" s="980">
        <v>0.95120000000000005</v>
      </c>
      <c r="E386" s="980">
        <v>0.95120000000000005</v>
      </c>
      <c r="F386" s="980">
        <v>0.95120000000000005</v>
      </c>
      <c r="G386" s="980">
        <v>0.95120000000000005</v>
      </c>
      <c r="H386" s="980">
        <v>0.95120000000000005</v>
      </c>
      <c r="I386" s="980">
        <v>0.84419999999999995</v>
      </c>
      <c r="J386" s="980">
        <v>0.84419999999999995</v>
      </c>
      <c r="K386" s="980">
        <v>0.84419999999999995</v>
      </c>
      <c r="L386" s="980">
        <v>0.84419999999999995</v>
      </c>
      <c r="M386" s="980">
        <v>0.84419999999999995</v>
      </c>
    </row>
    <row r="387" spans="1:13">
      <c r="A387" s="971">
        <v>2.6</v>
      </c>
      <c r="B387" s="980">
        <v>0.9929</v>
      </c>
      <c r="C387" s="980">
        <v>0.9929</v>
      </c>
      <c r="D387" s="980">
        <v>0.94320000000000004</v>
      </c>
      <c r="E387" s="980">
        <v>0.94320000000000004</v>
      </c>
      <c r="F387" s="980">
        <v>0.94320000000000004</v>
      </c>
      <c r="G387" s="980">
        <v>0.94320000000000004</v>
      </c>
      <c r="H387" s="980">
        <v>0.94320000000000004</v>
      </c>
      <c r="I387" s="980">
        <v>0.83330000000000004</v>
      </c>
      <c r="J387" s="980">
        <v>0.83330000000000004</v>
      </c>
      <c r="K387" s="980">
        <v>0.83330000000000004</v>
      </c>
      <c r="L387" s="980">
        <v>0.83330000000000004</v>
      </c>
      <c r="M387" s="980">
        <v>0.83330000000000004</v>
      </c>
    </row>
    <row r="388" spans="1:13">
      <c r="A388" s="971">
        <v>2.7</v>
      </c>
      <c r="B388" s="980">
        <v>0.98629999999999995</v>
      </c>
      <c r="C388" s="980">
        <v>0.98629999999999995</v>
      </c>
      <c r="D388" s="980">
        <v>0.93569999999999998</v>
      </c>
      <c r="E388" s="980">
        <v>0.93569999999999998</v>
      </c>
      <c r="F388" s="980">
        <v>0.93569999999999998</v>
      </c>
      <c r="G388" s="980">
        <v>0.93569999999999998</v>
      </c>
      <c r="H388" s="980">
        <v>0.93569999999999998</v>
      </c>
      <c r="I388" s="980">
        <v>0.82320000000000004</v>
      </c>
      <c r="J388" s="980">
        <v>0.82320000000000004</v>
      </c>
      <c r="K388" s="980">
        <v>0.82320000000000004</v>
      </c>
      <c r="L388" s="980">
        <v>0.82320000000000004</v>
      </c>
      <c r="M388" s="980">
        <v>0.82320000000000004</v>
      </c>
    </row>
    <row r="389" spans="1:13">
      <c r="A389" s="971">
        <v>2.8</v>
      </c>
      <c r="B389" s="980">
        <v>0.98009999999999997</v>
      </c>
      <c r="C389" s="980">
        <v>0.98009999999999997</v>
      </c>
      <c r="D389" s="980">
        <v>0.92879999999999996</v>
      </c>
      <c r="E389" s="980">
        <v>0.92879999999999996</v>
      </c>
      <c r="F389" s="980">
        <v>0.92879999999999996</v>
      </c>
      <c r="G389" s="980">
        <v>0.92879999999999996</v>
      </c>
      <c r="H389" s="980">
        <v>0.92879999999999996</v>
      </c>
      <c r="I389" s="980">
        <v>0.81359999999999999</v>
      </c>
      <c r="J389" s="980">
        <v>0.81359999999999999</v>
      </c>
      <c r="K389" s="980">
        <v>0.81359999999999999</v>
      </c>
      <c r="L389" s="980">
        <v>0.81359999999999999</v>
      </c>
      <c r="M389" s="980">
        <v>0.81359999999999999</v>
      </c>
    </row>
    <row r="390" spans="1:13">
      <c r="A390" s="971">
        <v>2.9</v>
      </c>
      <c r="B390" s="980">
        <v>0.97430000000000005</v>
      </c>
      <c r="C390" s="980">
        <v>0.97430000000000005</v>
      </c>
      <c r="D390" s="980">
        <v>0.92220000000000002</v>
      </c>
      <c r="E390" s="980">
        <v>0.92220000000000002</v>
      </c>
      <c r="F390" s="980">
        <v>0.92220000000000002</v>
      </c>
      <c r="G390" s="980">
        <v>0.92220000000000002</v>
      </c>
      <c r="H390" s="980">
        <v>0.92220000000000002</v>
      </c>
      <c r="I390" s="980">
        <v>0.80459999999999998</v>
      </c>
      <c r="J390" s="980">
        <v>0.80459999999999998</v>
      </c>
      <c r="K390" s="980">
        <v>0.80459999999999998</v>
      </c>
      <c r="L390" s="980">
        <v>0.80459999999999998</v>
      </c>
      <c r="M390" s="980">
        <v>0.80459999999999998</v>
      </c>
    </row>
    <row r="391" spans="1:13">
      <c r="A391" s="971">
        <v>3</v>
      </c>
      <c r="B391" s="980">
        <v>0.96889999999999998</v>
      </c>
      <c r="C391" s="980">
        <v>0.96889999999999998</v>
      </c>
      <c r="D391" s="980">
        <v>0.91610000000000003</v>
      </c>
      <c r="E391" s="980">
        <v>0.91610000000000003</v>
      </c>
      <c r="F391" s="980">
        <v>0.91610000000000003</v>
      </c>
      <c r="G391" s="980">
        <v>0.91610000000000003</v>
      </c>
      <c r="H391" s="980">
        <v>0.91610000000000003</v>
      </c>
      <c r="I391" s="980">
        <v>0.79620000000000002</v>
      </c>
      <c r="J391" s="980">
        <v>0.79620000000000002</v>
      </c>
      <c r="K391" s="980">
        <v>0.79620000000000002</v>
      </c>
      <c r="L391" s="980">
        <v>0.79620000000000002</v>
      </c>
      <c r="M391" s="980">
        <v>0.79620000000000002</v>
      </c>
    </row>
    <row r="392" spans="1:13">
      <c r="A392" s="971">
        <v>3.1</v>
      </c>
      <c r="B392" s="980">
        <v>0.96389999999999998</v>
      </c>
      <c r="C392" s="980">
        <v>0.96389999999999998</v>
      </c>
      <c r="D392" s="980">
        <v>0.91039999999999999</v>
      </c>
      <c r="E392" s="980">
        <v>0.91039999999999999</v>
      </c>
      <c r="F392" s="980">
        <v>0.91039999999999999</v>
      </c>
      <c r="G392" s="980">
        <v>0.91039999999999999</v>
      </c>
      <c r="H392" s="980">
        <v>0.91039999999999999</v>
      </c>
      <c r="I392" s="980">
        <v>0.7883</v>
      </c>
      <c r="J392" s="980">
        <v>0.7883</v>
      </c>
      <c r="K392" s="980">
        <v>0.7883</v>
      </c>
      <c r="L392" s="980">
        <v>0.7883</v>
      </c>
      <c r="M392" s="980">
        <v>0.7883</v>
      </c>
    </row>
    <row r="393" spans="1:13">
      <c r="A393" s="971">
        <v>3.2</v>
      </c>
      <c r="B393" s="980">
        <v>0.95930000000000004</v>
      </c>
      <c r="C393" s="980">
        <v>0.95930000000000004</v>
      </c>
      <c r="D393" s="980">
        <v>0.9052</v>
      </c>
      <c r="E393" s="980">
        <v>0.9052</v>
      </c>
      <c r="F393" s="980">
        <v>0.9052</v>
      </c>
      <c r="G393" s="980">
        <v>0.9052</v>
      </c>
      <c r="H393" s="980">
        <v>0.9052</v>
      </c>
      <c r="I393" s="980">
        <v>0.78090000000000004</v>
      </c>
      <c r="J393" s="980">
        <v>0.78090000000000004</v>
      </c>
      <c r="K393" s="980">
        <v>0.78090000000000004</v>
      </c>
      <c r="L393" s="980">
        <v>0.78090000000000004</v>
      </c>
      <c r="M393" s="980">
        <v>0.78090000000000004</v>
      </c>
    </row>
    <row r="394" spans="1:13">
      <c r="A394" s="971">
        <v>3.3</v>
      </c>
      <c r="B394" s="980">
        <v>0.95489999999999997</v>
      </c>
      <c r="C394" s="980">
        <v>0.95489999999999997</v>
      </c>
      <c r="D394" s="980">
        <v>0.9002</v>
      </c>
      <c r="E394" s="980">
        <v>0.9002</v>
      </c>
      <c r="F394" s="980">
        <v>0.9002</v>
      </c>
      <c r="G394" s="980">
        <v>0.9002</v>
      </c>
      <c r="H394" s="980">
        <v>0.9002</v>
      </c>
      <c r="I394" s="980">
        <v>0.77410000000000001</v>
      </c>
      <c r="J394" s="980">
        <v>0.77410000000000001</v>
      </c>
      <c r="K394" s="980">
        <v>0.77410000000000001</v>
      </c>
      <c r="L394" s="980">
        <v>0.77410000000000001</v>
      </c>
      <c r="M394" s="980">
        <v>0.77410000000000001</v>
      </c>
    </row>
    <row r="395" spans="1:13">
      <c r="A395" s="971">
        <v>3.4</v>
      </c>
      <c r="B395" s="980">
        <v>0.95089999999999997</v>
      </c>
      <c r="C395" s="980">
        <v>0.95089999999999997</v>
      </c>
      <c r="D395" s="980">
        <v>0.89559999999999995</v>
      </c>
      <c r="E395" s="980">
        <v>0.89559999999999995</v>
      </c>
      <c r="F395" s="980">
        <v>0.89559999999999995</v>
      </c>
      <c r="G395" s="980">
        <v>0.89559999999999995</v>
      </c>
      <c r="H395" s="980">
        <v>0.89559999999999995</v>
      </c>
      <c r="I395" s="980">
        <v>0.76759999999999995</v>
      </c>
      <c r="J395" s="980">
        <v>0.76759999999999995</v>
      </c>
      <c r="K395" s="980">
        <v>0.76759999999999995</v>
      </c>
      <c r="L395" s="980">
        <v>0.76759999999999995</v>
      </c>
      <c r="M395" s="980">
        <v>0.76759999999999995</v>
      </c>
    </row>
    <row r="396" spans="1:13">
      <c r="A396" s="971">
        <v>3.5</v>
      </c>
      <c r="B396" s="980">
        <v>0.94710000000000005</v>
      </c>
      <c r="C396" s="980">
        <v>0.94710000000000005</v>
      </c>
      <c r="D396" s="980">
        <v>0.89129999999999998</v>
      </c>
      <c r="E396" s="980">
        <v>0.89129999999999998</v>
      </c>
      <c r="F396" s="980">
        <v>0.89129999999999998</v>
      </c>
      <c r="G396" s="980">
        <v>0.89129999999999998</v>
      </c>
      <c r="H396" s="980">
        <v>0.89129999999999998</v>
      </c>
      <c r="I396" s="980">
        <v>0.76160000000000005</v>
      </c>
      <c r="J396" s="980">
        <v>0.76160000000000005</v>
      </c>
      <c r="K396" s="980">
        <v>0.76160000000000005</v>
      </c>
      <c r="L396" s="980">
        <v>0.76160000000000005</v>
      </c>
      <c r="M396" s="980">
        <v>0.76160000000000005</v>
      </c>
    </row>
    <row r="397" spans="1:13">
      <c r="A397" s="971">
        <v>3.6</v>
      </c>
      <c r="B397" s="980">
        <v>0.94359999999999999</v>
      </c>
      <c r="C397" s="980">
        <v>0.94359999999999999</v>
      </c>
      <c r="D397" s="980">
        <v>0.88729999999999998</v>
      </c>
      <c r="E397" s="980">
        <v>0.88729999999999998</v>
      </c>
      <c r="F397" s="980">
        <v>0.88729999999999998</v>
      </c>
      <c r="G397" s="980">
        <v>0.88729999999999998</v>
      </c>
      <c r="H397" s="980">
        <v>0.88729999999999998</v>
      </c>
      <c r="I397" s="980">
        <v>0.75590000000000002</v>
      </c>
      <c r="J397" s="980">
        <v>0.75590000000000002</v>
      </c>
      <c r="K397" s="980">
        <v>0.75590000000000002</v>
      </c>
      <c r="L397" s="980">
        <v>0.75590000000000002</v>
      </c>
      <c r="M397" s="980">
        <v>0.75590000000000002</v>
      </c>
    </row>
    <row r="398" spans="1:13">
      <c r="A398" s="988">
        <v>3.7</v>
      </c>
      <c r="B398" s="980">
        <v>0.94040000000000001</v>
      </c>
      <c r="C398" s="980">
        <v>0.94040000000000001</v>
      </c>
      <c r="D398" s="980">
        <v>0.88349999999999995</v>
      </c>
      <c r="E398" s="980">
        <v>0.88349999999999995</v>
      </c>
      <c r="F398" s="980">
        <v>0.88349999999999995</v>
      </c>
      <c r="G398" s="980">
        <v>0.88349999999999995</v>
      </c>
      <c r="H398" s="980">
        <v>0.88349999999999995</v>
      </c>
      <c r="I398" s="980">
        <v>0.75070000000000003</v>
      </c>
      <c r="J398" s="980">
        <v>0.75070000000000003</v>
      </c>
      <c r="K398" s="980">
        <v>0.75070000000000003</v>
      </c>
      <c r="L398" s="980">
        <v>0.75070000000000003</v>
      </c>
      <c r="M398" s="980">
        <v>0.75070000000000003</v>
      </c>
    </row>
    <row r="399" spans="1:13">
      <c r="A399" s="988">
        <v>3.8</v>
      </c>
      <c r="B399" s="980">
        <v>0.93740000000000001</v>
      </c>
      <c r="C399" s="980">
        <v>0.93740000000000001</v>
      </c>
      <c r="D399" s="980">
        <v>0.88009999999999999</v>
      </c>
      <c r="E399" s="980">
        <v>0.88009999999999999</v>
      </c>
      <c r="F399" s="980">
        <v>0.88009999999999999</v>
      </c>
      <c r="G399" s="980">
        <v>0.88009999999999999</v>
      </c>
      <c r="H399" s="980">
        <v>0.88009999999999999</v>
      </c>
      <c r="I399" s="980">
        <v>0.74570000000000003</v>
      </c>
      <c r="J399" s="980">
        <v>0.74570000000000003</v>
      </c>
      <c r="K399" s="980">
        <v>0.74570000000000003</v>
      </c>
      <c r="L399" s="980">
        <v>0.74570000000000003</v>
      </c>
      <c r="M399" s="980">
        <v>0.74570000000000003</v>
      </c>
    </row>
    <row r="400" spans="1:13">
      <c r="A400" s="988">
        <v>3.9</v>
      </c>
      <c r="B400" s="980">
        <v>0.93459999999999999</v>
      </c>
      <c r="C400" s="980">
        <v>0.93459999999999999</v>
      </c>
      <c r="D400" s="980">
        <v>0.87680000000000002</v>
      </c>
      <c r="E400" s="980">
        <v>0.87680000000000002</v>
      </c>
      <c r="F400" s="980">
        <v>0.87680000000000002</v>
      </c>
      <c r="G400" s="980">
        <v>0.87680000000000002</v>
      </c>
      <c r="H400" s="980">
        <v>0.87680000000000002</v>
      </c>
      <c r="I400" s="980">
        <v>0.74109999999999998</v>
      </c>
      <c r="J400" s="980">
        <v>0.74109999999999998</v>
      </c>
      <c r="K400" s="980">
        <v>0.74109999999999998</v>
      </c>
      <c r="L400" s="980">
        <v>0.74109999999999998</v>
      </c>
      <c r="M400" s="980">
        <v>0.74109999999999998</v>
      </c>
    </row>
    <row r="401" spans="1:13">
      <c r="A401" s="988">
        <v>4</v>
      </c>
      <c r="B401" s="980">
        <v>0.93179999999999996</v>
      </c>
      <c r="C401" s="980">
        <v>0.93179999999999996</v>
      </c>
      <c r="D401" s="980">
        <v>0.87380000000000002</v>
      </c>
      <c r="E401" s="980">
        <v>0.87380000000000002</v>
      </c>
      <c r="F401" s="980">
        <v>0.87380000000000002</v>
      </c>
      <c r="G401" s="980">
        <v>0.87380000000000002</v>
      </c>
      <c r="H401" s="980">
        <v>0.87380000000000002</v>
      </c>
      <c r="I401" s="980">
        <v>0.73680000000000001</v>
      </c>
      <c r="J401" s="980">
        <v>0.73680000000000001</v>
      </c>
      <c r="K401" s="980">
        <v>0.73680000000000001</v>
      </c>
      <c r="L401" s="980">
        <v>0.73680000000000001</v>
      </c>
      <c r="M401" s="980">
        <v>0.73680000000000001</v>
      </c>
    </row>
    <row r="402" spans="1:13">
      <c r="A402" s="988">
        <v>4.0999999999999996</v>
      </c>
      <c r="B402" s="980">
        <v>0.92920000000000003</v>
      </c>
      <c r="C402" s="980">
        <v>0.92920000000000003</v>
      </c>
      <c r="D402" s="980">
        <v>0.87090000000000001</v>
      </c>
      <c r="E402" s="980">
        <v>0.87090000000000001</v>
      </c>
      <c r="F402" s="980">
        <v>0.87090000000000001</v>
      </c>
      <c r="G402" s="980">
        <v>0.87090000000000001</v>
      </c>
      <c r="H402" s="980">
        <v>0.87090000000000001</v>
      </c>
      <c r="I402" s="980">
        <v>0.73270000000000002</v>
      </c>
      <c r="J402" s="980">
        <v>0.73270000000000002</v>
      </c>
      <c r="K402" s="980">
        <v>0.73270000000000002</v>
      </c>
      <c r="L402" s="980">
        <v>0.73270000000000002</v>
      </c>
      <c r="M402" s="980">
        <v>0.73270000000000002</v>
      </c>
    </row>
    <row r="403" spans="1:13">
      <c r="A403" s="988">
        <v>4.2</v>
      </c>
      <c r="B403" s="980">
        <v>0.92659999999999998</v>
      </c>
      <c r="C403" s="980">
        <v>0.92659999999999998</v>
      </c>
      <c r="D403" s="980">
        <v>0.86819999999999997</v>
      </c>
      <c r="E403" s="980">
        <v>0.86819999999999997</v>
      </c>
      <c r="F403" s="980">
        <v>0.86819999999999997</v>
      </c>
      <c r="G403" s="980">
        <v>0.86819999999999997</v>
      </c>
      <c r="H403" s="980">
        <v>0.86819999999999997</v>
      </c>
      <c r="I403" s="980">
        <v>0.7288</v>
      </c>
      <c r="J403" s="980">
        <v>0.7288</v>
      </c>
      <c r="K403" s="980">
        <v>0.7288</v>
      </c>
      <c r="L403" s="980">
        <v>0.7288</v>
      </c>
      <c r="M403" s="980">
        <v>0.7288</v>
      </c>
    </row>
    <row r="404" spans="1:13">
      <c r="A404" s="988">
        <v>4.3</v>
      </c>
      <c r="B404" s="980">
        <v>0.92410000000000003</v>
      </c>
      <c r="C404" s="980">
        <v>0.92410000000000003</v>
      </c>
      <c r="D404" s="980">
        <v>0.86550000000000005</v>
      </c>
      <c r="E404" s="980">
        <v>0.86550000000000005</v>
      </c>
      <c r="F404" s="980">
        <v>0.86550000000000005</v>
      </c>
      <c r="G404" s="980">
        <v>0.86550000000000005</v>
      </c>
      <c r="H404" s="980">
        <v>0.86550000000000005</v>
      </c>
      <c r="I404" s="980">
        <v>0.72509999999999997</v>
      </c>
      <c r="J404" s="980">
        <v>0.72509999999999997</v>
      </c>
      <c r="K404" s="980">
        <v>0.72509999999999997</v>
      </c>
      <c r="L404" s="980">
        <v>0.72509999999999997</v>
      </c>
      <c r="M404" s="980">
        <v>0.72509999999999997</v>
      </c>
    </row>
    <row r="405" spans="1:13">
      <c r="A405" s="988">
        <v>4.4000000000000004</v>
      </c>
      <c r="B405" s="980">
        <v>0.92179999999999995</v>
      </c>
      <c r="C405" s="980">
        <v>0.92179999999999995</v>
      </c>
      <c r="D405" s="980">
        <v>0.8629</v>
      </c>
      <c r="E405" s="980">
        <v>0.8629</v>
      </c>
      <c r="F405" s="980">
        <v>0.8629</v>
      </c>
      <c r="G405" s="980">
        <v>0.8629</v>
      </c>
      <c r="H405" s="980">
        <v>0.8629</v>
      </c>
      <c r="I405" s="980">
        <v>0.72150000000000003</v>
      </c>
      <c r="J405" s="980">
        <v>0.72150000000000003</v>
      </c>
      <c r="K405" s="980">
        <v>0.72150000000000003</v>
      </c>
      <c r="L405" s="980">
        <v>0.72150000000000003</v>
      </c>
      <c r="M405" s="980">
        <v>0.72150000000000003</v>
      </c>
    </row>
    <row r="406" spans="1:13">
      <c r="A406" s="988">
        <v>4.5</v>
      </c>
      <c r="B406" s="980">
        <v>0.91949999999999998</v>
      </c>
      <c r="C406" s="980">
        <v>0.91949999999999998</v>
      </c>
      <c r="D406" s="980">
        <v>0.86050000000000004</v>
      </c>
      <c r="E406" s="980">
        <v>0.86050000000000004</v>
      </c>
      <c r="F406" s="980">
        <v>0.86050000000000004</v>
      </c>
      <c r="G406" s="980">
        <v>0.86050000000000004</v>
      </c>
      <c r="H406" s="980">
        <v>0.86050000000000004</v>
      </c>
      <c r="I406" s="980">
        <v>0.71819999999999995</v>
      </c>
      <c r="J406" s="980">
        <v>0.71819999999999995</v>
      </c>
      <c r="K406" s="980">
        <v>0.71819999999999995</v>
      </c>
      <c r="L406" s="980">
        <v>0.71819999999999995</v>
      </c>
      <c r="M406" s="980">
        <v>0.71819999999999995</v>
      </c>
    </row>
    <row r="407" spans="1:13">
      <c r="A407" s="988">
        <v>4.5999999999999996</v>
      </c>
      <c r="B407" s="980">
        <v>0.9173</v>
      </c>
      <c r="C407" s="980">
        <v>0.9173</v>
      </c>
      <c r="D407" s="980">
        <v>0.85809999999999997</v>
      </c>
      <c r="E407" s="980">
        <v>0.85809999999999997</v>
      </c>
      <c r="F407" s="980">
        <v>0.85809999999999997</v>
      </c>
      <c r="G407" s="980">
        <v>0.85809999999999997</v>
      </c>
      <c r="H407" s="980">
        <v>0.85809999999999997</v>
      </c>
      <c r="I407" s="980">
        <v>0.71499999999999997</v>
      </c>
      <c r="J407" s="980">
        <v>0.71499999999999997</v>
      </c>
      <c r="K407" s="980">
        <v>0.71499999999999997</v>
      </c>
      <c r="L407" s="980">
        <v>0.71499999999999997</v>
      </c>
      <c r="M407" s="980">
        <v>0.71499999999999997</v>
      </c>
    </row>
    <row r="408" spans="1:13">
      <c r="A408" s="988">
        <v>4.7</v>
      </c>
      <c r="B408" s="980">
        <v>0.91520000000000001</v>
      </c>
      <c r="C408" s="980">
        <v>0.91520000000000001</v>
      </c>
      <c r="D408" s="980">
        <v>0.85570000000000002</v>
      </c>
      <c r="E408" s="980">
        <v>0.85570000000000002</v>
      </c>
      <c r="F408" s="980">
        <v>0.85570000000000002</v>
      </c>
      <c r="G408" s="980">
        <v>0.85570000000000002</v>
      </c>
      <c r="H408" s="980">
        <v>0.85570000000000002</v>
      </c>
      <c r="I408" s="980">
        <v>0.71199999999999997</v>
      </c>
      <c r="J408" s="980">
        <v>0.71199999999999997</v>
      </c>
      <c r="K408" s="980">
        <v>0.71199999999999997</v>
      </c>
      <c r="L408" s="980">
        <v>0.71199999999999997</v>
      </c>
      <c r="M408" s="980">
        <v>0.71199999999999997</v>
      </c>
    </row>
    <row r="409" spans="1:13">
      <c r="A409" s="988">
        <v>4.8</v>
      </c>
      <c r="B409" s="980">
        <v>0.91310000000000002</v>
      </c>
      <c r="C409" s="980">
        <v>0.91310000000000002</v>
      </c>
      <c r="D409" s="980">
        <v>0.85340000000000005</v>
      </c>
      <c r="E409" s="980">
        <v>0.85340000000000005</v>
      </c>
      <c r="F409" s="980">
        <v>0.85340000000000005</v>
      </c>
      <c r="G409" s="980">
        <v>0.85340000000000005</v>
      </c>
      <c r="H409" s="980">
        <v>0.85340000000000005</v>
      </c>
      <c r="I409" s="980">
        <v>0.70909999999999995</v>
      </c>
      <c r="J409" s="980">
        <v>0.70909999999999995</v>
      </c>
      <c r="K409" s="980">
        <v>0.70909999999999995</v>
      </c>
      <c r="L409" s="980">
        <v>0.70909999999999995</v>
      </c>
      <c r="M409" s="980">
        <v>0.70909999999999995</v>
      </c>
    </row>
    <row r="410" spans="1:13">
      <c r="A410" s="988">
        <v>4.9000000000000004</v>
      </c>
      <c r="B410" s="980">
        <v>0.91120000000000001</v>
      </c>
      <c r="C410" s="980">
        <v>0.91120000000000001</v>
      </c>
      <c r="D410" s="980">
        <v>0.85109999999999997</v>
      </c>
      <c r="E410" s="980">
        <v>0.85109999999999997</v>
      </c>
      <c r="F410" s="980">
        <v>0.85109999999999997</v>
      </c>
      <c r="G410" s="980">
        <v>0.85109999999999997</v>
      </c>
      <c r="H410" s="980">
        <v>0.85109999999999997</v>
      </c>
      <c r="I410" s="980">
        <v>0.70620000000000005</v>
      </c>
      <c r="J410" s="980">
        <v>0.70620000000000005</v>
      </c>
      <c r="K410" s="980">
        <v>0.70620000000000005</v>
      </c>
      <c r="L410" s="980">
        <v>0.70620000000000005</v>
      </c>
      <c r="M410" s="980">
        <v>0.70620000000000005</v>
      </c>
    </row>
    <row r="411" spans="1:13">
      <c r="A411" s="988">
        <v>5</v>
      </c>
      <c r="B411" s="980">
        <v>0.90920000000000001</v>
      </c>
      <c r="C411" s="980">
        <v>0.90920000000000001</v>
      </c>
      <c r="D411" s="980">
        <v>0.84889999999999999</v>
      </c>
      <c r="E411" s="980">
        <v>0.84889999999999999</v>
      </c>
      <c r="F411" s="980">
        <v>0.84889999999999999</v>
      </c>
      <c r="G411" s="980">
        <v>0.84889999999999999</v>
      </c>
      <c r="H411" s="980">
        <v>0.84889999999999999</v>
      </c>
      <c r="I411" s="980">
        <v>0.70350000000000001</v>
      </c>
      <c r="J411" s="980">
        <v>0.70350000000000001</v>
      </c>
      <c r="K411" s="980">
        <v>0.70350000000000001</v>
      </c>
      <c r="L411" s="980">
        <v>0.70350000000000001</v>
      </c>
      <c r="M411" s="980">
        <v>0.70350000000000001</v>
      </c>
    </row>
    <row r="412" spans="1:13">
      <c r="A412" s="988">
        <v>5.0999999999999996</v>
      </c>
      <c r="B412" s="980">
        <v>0.90720000000000001</v>
      </c>
      <c r="C412" s="980">
        <v>0.90720000000000001</v>
      </c>
      <c r="D412" s="980">
        <v>0.84670000000000001</v>
      </c>
      <c r="E412" s="980">
        <v>0.84670000000000001</v>
      </c>
      <c r="F412" s="980">
        <v>0.84670000000000001</v>
      </c>
      <c r="G412" s="980">
        <v>0.84670000000000001</v>
      </c>
      <c r="H412" s="980">
        <v>0.84670000000000001</v>
      </c>
      <c r="I412" s="980">
        <v>0.70089999999999997</v>
      </c>
      <c r="J412" s="980">
        <v>0.70089999999999997</v>
      </c>
      <c r="K412" s="980">
        <v>0.70089999999999997</v>
      </c>
      <c r="L412" s="980">
        <v>0.70089999999999997</v>
      </c>
      <c r="M412" s="980">
        <v>0.70089999999999997</v>
      </c>
    </row>
    <row r="413" spans="1:13">
      <c r="A413" s="988">
        <v>5.2</v>
      </c>
      <c r="B413" s="980">
        <v>0.90529999999999999</v>
      </c>
      <c r="C413" s="980">
        <v>0.90529999999999999</v>
      </c>
      <c r="D413" s="980">
        <v>0.84450000000000003</v>
      </c>
      <c r="E413" s="980">
        <v>0.84450000000000003</v>
      </c>
      <c r="F413" s="980">
        <v>0.84450000000000003</v>
      </c>
      <c r="G413" s="980">
        <v>0.84450000000000003</v>
      </c>
      <c r="H413" s="980">
        <v>0.84450000000000003</v>
      </c>
      <c r="I413" s="980">
        <v>0.69820000000000004</v>
      </c>
      <c r="J413" s="980">
        <v>0.69820000000000004</v>
      </c>
      <c r="K413" s="980">
        <v>0.69820000000000004</v>
      </c>
      <c r="L413" s="980">
        <v>0.69820000000000004</v>
      </c>
      <c r="M413" s="980">
        <v>0.69820000000000004</v>
      </c>
    </row>
    <row r="414" spans="1:13">
      <c r="A414" s="988">
        <v>5.3</v>
      </c>
      <c r="B414" s="980">
        <v>0.90339999999999998</v>
      </c>
      <c r="C414" s="980">
        <v>0.90339999999999998</v>
      </c>
      <c r="D414" s="980">
        <v>0.84230000000000005</v>
      </c>
      <c r="E414" s="980">
        <v>0.84230000000000005</v>
      </c>
      <c r="F414" s="980">
        <v>0.84230000000000005</v>
      </c>
      <c r="G414" s="980">
        <v>0.84230000000000005</v>
      </c>
      <c r="H414" s="980">
        <v>0.84230000000000005</v>
      </c>
      <c r="I414" s="980">
        <v>0.69569999999999999</v>
      </c>
      <c r="J414" s="980">
        <v>0.69569999999999999</v>
      </c>
      <c r="K414" s="980">
        <v>0.69569999999999999</v>
      </c>
      <c r="L414" s="980">
        <v>0.69569999999999999</v>
      </c>
      <c r="M414" s="980">
        <v>0.69569999999999999</v>
      </c>
    </row>
    <row r="415" spans="1:13">
      <c r="A415" s="988">
        <v>5.4</v>
      </c>
      <c r="B415" s="980">
        <v>0.90149999999999997</v>
      </c>
      <c r="C415" s="980">
        <v>0.90149999999999997</v>
      </c>
      <c r="D415" s="980">
        <v>0.84019999999999995</v>
      </c>
      <c r="E415" s="980">
        <v>0.84019999999999995</v>
      </c>
      <c r="F415" s="980">
        <v>0.84019999999999995</v>
      </c>
      <c r="G415" s="980">
        <v>0.84019999999999995</v>
      </c>
      <c r="H415" s="980">
        <v>0.84019999999999995</v>
      </c>
      <c r="I415" s="980">
        <v>0.69310000000000005</v>
      </c>
      <c r="J415" s="980">
        <v>0.69310000000000005</v>
      </c>
      <c r="K415" s="980">
        <v>0.69310000000000005</v>
      </c>
      <c r="L415" s="980">
        <v>0.69310000000000005</v>
      </c>
      <c r="M415" s="980">
        <v>0.69310000000000005</v>
      </c>
    </row>
    <row r="416" spans="1:13">
      <c r="A416" s="988">
        <v>5.5</v>
      </c>
      <c r="B416" s="980">
        <v>0.89959999999999996</v>
      </c>
      <c r="C416" s="980">
        <v>0.89959999999999996</v>
      </c>
      <c r="D416" s="980">
        <v>0.83809999999999996</v>
      </c>
      <c r="E416" s="980">
        <v>0.83809999999999996</v>
      </c>
      <c r="F416" s="980">
        <v>0.83809999999999996</v>
      </c>
      <c r="G416" s="980">
        <v>0.83809999999999996</v>
      </c>
      <c r="H416" s="980">
        <v>0.83809999999999996</v>
      </c>
      <c r="I416" s="980">
        <v>0.69059999999999999</v>
      </c>
      <c r="J416" s="980">
        <v>0.69059999999999999</v>
      </c>
      <c r="K416" s="980">
        <v>0.69059999999999999</v>
      </c>
      <c r="L416" s="980">
        <v>0.69059999999999999</v>
      </c>
      <c r="M416" s="980">
        <v>0.69059999999999999</v>
      </c>
    </row>
    <row r="417" spans="1:13">
      <c r="A417" s="988">
        <v>5.6</v>
      </c>
      <c r="B417" s="980">
        <v>0.89780000000000004</v>
      </c>
      <c r="C417" s="980">
        <v>0.89780000000000004</v>
      </c>
      <c r="D417" s="980">
        <v>0.83599999999999997</v>
      </c>
      <c r="E417" s="980">
        <v>0.83599999999999997</v>
      </c>
      <c r="F417" s="980">
        <v>0.83599999999999997</v>
      </c>
      <c r="G417" s="980">
        <v>0.83599999999999997</v>
      </c>
      <c r="H417" s="980">
        <v>0.83599999999999997</v>
      </c>
      <c r="I417" s="980">
        <v>0.68810000000000004</v>
      </c>
      <c r="J417" s="980">
        <v>0.68810000000000004</v>
      </c>
      <c r="K417" s="980">
        <v>0.68810000000000004</v>
      </c>
      <c r="L417" s="980">
        <v>0.68810000000000004</v>
      </c>
      <c r="M417" s="980">
        <v>0.68810000000000004</v>
      </c>
    </row>
    <row r="418" spans="1:13">
      <c r="A418" s="988">
        <v>5.7</v>
      </c>
      <c r="B418" s="980">
        <v>0.89600000000000002</v>
      </c>
      <c r="C418" s="980">
        <v>0.89600000000000002</v>
      </c>
      <c r="D418" s="980">
        <v>0.83389999999999997</v>
      </c>
      <c r="E418" s="980">
        <v>0.83389999999999997</v>
      </c>
      <c r="F418" s="980">
        <v>0.83389999999999997</v>
      </c>
      <c r="G418" s="980">
        <v>0.83389999999999997</v>
      </c>
      <c r="H418" s="980">
        <v>0.83389999999999997</v>
      </c>
      <c r="I418" s="980">
        <v>0.68569999999999998</v>
      </c>
      <c r="J418" s="980">
        <v>0.68569999999999998</v>
      </c>
      <c r="K418" s="980">
        <v>0.68569999999999998</v>
      </c>
      <c r="L418" s="980">
        <v>0.68569999999999998</v>
      </c>
      <c r="M418" s="980">
        <v>0.68569999999999998</v>
      </c>
    </row>
    <row r="419" spans="1:13">
      <c r="A419" s="988">
        <v>5.8</v>
      </c>
      <c r="B419" s="980">
        <v>0.89419999999999999</v>
      </c>
      <c r="C419" s="980">
        <v>0.89419999999999999</v>
      </c>
      <c r="D419" s="980">
        <v>0.83189999999999997</v>
      </c>
      <c r="E419" s="980">
        <v>0.83189999999999997</v>
      </c>
      <c r="F419" s="980">
        <v>0.83189999999999997</v>
      </c>
      <c r="G419" s="980">
        <v>0.83189999999999997</v>
      </c>
      <c r="H419" s="980">
        <v>0.83189999999999997</v>
      </c>
      <c r="I419" s="980">
        <v>0.68320000000000003</v>
      </c>
      <c r="J419" s="980">
        <v>0.68320000000000003</v>
      </c>
      <c r="K419" s="980">
        <v>0.68320000000000003</v>
      </c>
      <c r="L419" s="980">
        <v>0.68320000000000003</v>
      </c>
      <c r="M419" s="980">
        <v>0.68320000000000003</v>
      </c>
    </row>
    <row r="420" spans="1:13">
      <c r="A420" s="988">
        <v>5.9</v>
      </c>
      <c r="B420" s="980">
        <v>0.89239999999999997</v>
      </c>
      <c r="C420" s="980">
        <v>0.89239999999999997</v>
      </c>
      <c r="D420" s="980">
        <v>0.82989999999999997</v>
      </c>
      <c r="E420" s="980">
        <v>0.82989999999999997</v>
      </c>
      <c r="F420" s="980">
        <v>0.82989999999999997</v>
      </c>
      <c r="G420" s="980">
        <v>0.82989999999999997</v>
      </c>
      <c r="H420" s="980">
        <v>0.82989999999999997</v>
      </c>
      <c r="I420" s="980">
        <v>0.68069999999999997</v>
      </c>
      <c r="J420" s="980">
        <v>0.68069999999999997</v>
      </c>
      <c r="K420" s="980">
        <v>0.68069999999999997</v>
      </c>
      <c r="L420" s="980">
        <v>0.68069999999999997</v>
      </c>
      <c r="M420" s="980">
        <v>0.68069999999999997</v>
      </c>
    </row>
    <row r="421" spans="1:13">
      <c r="A421" s="988">
        <v>6</v>
      </c>
      <c r="B421" s="980">
        <v>0.89070000000000005</v>
      </c>
      <c r="C421" s="980">
        <v>0.89070000000000005</v>
      </c>
      <c r="D421" s="980">
        <v>0.82789999999999997</v>
      </c>
      <c r="E421" s="980">
        <v>0.82789999999999997</v>
      </c>
      <c r="F421" s="980">
        <v>0.82789999999999997</v>
      </c>
      <c r="G421" s="980">
        <v>0.82789999999999997</v>
      </c>
      <c r="H421" s="980">
        <v>0.82789999999999997</v>
      </c>
      <c r="I421" s="980">
        <v>0.6784</v>
      </c>
      <c r="J421" s="980">
        <v>0.6784</v>
      </c>
      <c r="K421" s="980">
        <v>0.6784</v>
      </c>
      <c r="L421" s="980">
        <v>0.6784</v>
      </c>
      <c r="M421" s="980">
        <v>0.6784</v>
      </c>
    </row>
    <row r="422" spans="1:13">
      <c r="A422" s="988">
        <v>6.1</v>
      </c>
      <c r="B422" s="980">
        <v>0.88900000000000001</v>
      </c>
      <c r="C422" s="980">
        <v>0.88900000000000001</v>
      </c>
      <c r="D422" s="980">
        <v>0.82589999999999997</v>
      </c>
      <c r="E422" s="980">
        <v>0.82589999999999997</v>
      </c>
      <c r="F422" s="980">
        <v>0.82589999999999997</v>
      </c>
      <c r="G422" s="980">
        <v>0.82589999999999997</v>
      </c>
      <c r="H422" s="980">
        <v>0.82589999999999997</v>
      </c>
      <c r="I422" s="980">
        <v>0.67600000000000005</v>
      </c>
      <c r="J422" s="980">
        <v>0.67600000000000005</v>
      </c>
      <c r="K422" s="980">
        <v>0.67600000000000005</v>
      </c>
      <c r="L422" s="980">
        <v>0.67600000000000005</v>
      </c>
      <c r="M422" s="980">
        <v>0.67600000000000005</v>
      </c>
    </row>
    <row r="423" spans="1:13">
      <c r="A423" s="988">
        <v>6.2</v>
      </c>
      <c r="B423" s="980">
        <v>0.88729999999999998</v>
      </c>
      <c r="C423" s="980">
        <v>0.88729999999999998</v>
      </c>
      <c r="D423" s="980">
        <v>0.82389999999999997</v>
      </c>
      <c r="E423" s="980">
        <v>0.82389999999999997</v>
      </c>
      <c r="F423" s="980">
        <v>0.82389999999999997</v>
      </c>
      <c r="G423" s="980">
        <v>0.82389999999999997</v>
      </c>
      <c r="H423" s="980">
        <v>0.82389999999999997</v>
      </c>
      <c r="I423" s="980">
        <v>0.67359999999999998</v>
      </c>
      <c r="J423" s="980">
        <v>0.67359999999999998</v>
      </c>
      <c r="K423" s="980">
        <v>0.67359999999999998</v>
      </c>
      <c r="L423" s="980">
        <v>0.67359999999999998</v>
      </c>
      <c r="M423" s="980">
        <v>0.67359999999999998</v>
      </c>
    </row>
    <row r="424" spans="1:13">
      <c r="A424" s="988">
        <v>6.3</v>
      </c>
      <c r="B424" s="980">
        <v>0.88560000000000005</v>
      </c>
      <c r="C424" s="980">
        <v>0.88560000000000005</v>
      </c>
      <c r="D424" s="980">
        <v>0.82189999999999996</v>
      </c>
      <c r="E424" s="980">
        <v>0.82189999999999996</v>
      </c>
      <c r="F424" s="980">
        <v>0.82189999999999996</v>
      </c>
      <c r="G424" s="980">
        <v>0.82189999999999996</v>
      </c>
      <c r="H424" s="980">
        <v>0.82189999999999996</v>
      </c>
      <c r="I424" s="980">
        <v>0.67130000000000001</v>
      </c>
      <c r="J424" s="980">
        <v>0.67130000000000001</v>
      </c>
      <c r="K424" s="980">
        <v>0.67130000000000001</v>
      </c>
      <c r="L424" s="980">
        <v>0.67130000000000001</v>
      </c>
      <c r="M424" s="980">
        <v>0.67130000000000001</v>
      </c>
    </row>
    <row r="425" spans="1:13">
      <c r="A425" s="988">
        <v>6.4</v>
      </c>
      <c r="B425" s="980">
        <v>0.88390000000000002</v>
      </c>
      <c r="C425" s="980">
        <v>0.88390000000000002</v>
      </c>
      <c r="D425" s="980">
        <v>0.82</v>
      </c>
      <c r="E425" s="980">
        <v>0.82</v>
      </c>
      <c r="F425" s="980">
        <v>0.82</v>
      </c>
      <c r="G425" s="980">
        <v>0.82</v>
      </c>
      <c r="H425" s="980">
        <v>0.82</v>
      </c>
      <c r="I425" s="980">
        <v>0.66890000000000005</v>
      </c>
      <c r="J425" s="980">
        <v>0.66890000000000005</v>
      </c>
      <c r="K425" s="980">
        <v>0.66890000000000005</v>
      </c>
      <c r="L425" s="980">
        <v>0.66890000000000005</v>
      </c>
      <c r="M425" s="980">
        <v>0.66890000000000005</v>
      </c>
    </row>
    <row r="426" spans="1:13">
      <c r="A426" s="988">
        <v>6.5</v>
      </c>
      <c r="B426" s="980">
        <v>0.88229999999999997</v>
      </c>
      <c r="C426" s="980">
        <v>0.88229999999999997</v>
      </c>
      <c r="D426" s="980">
        <v>0.81810000000000005</v>
      </c>
      <c r="E426" s="980">
        <v>0.81810000000000005</v>
      </c>
      <c r="F426" s="980">
        <v>0.81810000000000005</v>
      </c>
      <c r="G426" s="980">
        <v>0.81810000000000005</v>
      </c>
      <c r="H426" s="980">
        <v>0.81810000000000005</v>
      </c>
      <c r="I426" s="980">
        <v>0.66659999999999997</v>
      </c>
      <c r="J426" s="980">
        <v>0.66659999999999997</v>
      </c>
      <c r="K426" s="980">
        <v>0.66659999999999997</v>
      </c>
      <c r="L426" s="980">
        <v>0.66659999999999997</v>
      </c>
      <c r="M426" s="980">
        <v>0.66659999999999997</v>
      </c>
    </row>
    <row r="427" spans="1:13">
      <c r="A427" s="988">
        <v>6.6</v>
      </c>
      <c r="B427" s="980">
        <v>0.88070000000000004</v>
      </c>
      <c r="C427" s="980">
        <v>0.88070000000000004</v>
      </c>
      <c r="D427" s="980">
        <v>0.81620000000000004</v>
      </c>
      <c r="E427" s="980">
        <v>0.81620000000000004</v>
      </c>
      <c r="F427" s="980">
        <v>0.81620000000000004</v>
      </c>
      <c r="G427" s="980">
        <v>0.81620000000000004</v>
      </c>
      <c r="H427" s="980">
        <v>0.81620000000000004</v>
      </c>
      <c r="I427" s="980">
        <v>0.66439999999999999</v>
      </c>
      <c r="J427" s="980">
        <v>0.66439999999999999</v>
      </c>
      <c r="K427" s="980">
        <v>0.66439999999999999</v>
      </c>
      <c r="L427" s="980">
        <v>0.66439999999999999</v>
      </c>
      <c r="M427" s="980">
        <v>0.66439999999999999</v>
      </c>
    </row>
    <row r="428" spans="1:13">
      <c r="A428" s="988">
        <v>6.7</v>
      </c>
      <c r="B428" s="980">
        <v>0.879</v>
      </c>
      <c r="C428" s="980">
        <v>0.879</v>
      </c>
      <c r="D428" s="980">
        <v>0.81430000000000002</v>
      </c>
      <c r="E428" s="980">
        <v>0.81430000000000002</v>
      </c>
      <c r="F428" s="980">
        <v>0.81430000000000002</v>
      </c>
      <c r="G428" s="980">
        <v>0.81430000000000002</v>
      </c>
      <c r="H428" s="980">
        <v>0.81430000000000002</v>
      </c>
      <c r="I428" s="980">
        <v>0.66210000000000002</v>
      </c>
      <c r="J428" s="980">
        <v>0.66210000000000002</v>
      </c>
      <c r="K428" s="980">
        <v>0.66210000000000002</v>
      </c>
      <c r="L428" s="980">
        <v>0.66210000000000002</v>
      </c>
      <c r="M428" s="980">
        <v>0.66210000000000002</v>
      </c>
    </row>
    <row r="429" spans="1:13">
      <c r="A429" s="988">
        <v>6.8</v>
      </c>
      <c r="B429" s="980">
        <v>0.87739999999999996</v>
      </c>
      <c r="C429" s="980">
        <v>0.87739999999999996</v>
      </c>
      <c r="D429" s="980">
        <v>0.81240000000000001</v>
      </c>
      <c r="E429" s="980">
        <v>0.81240000000000001</v>
      </c>
      <c r="F429" s="980">
        <v>0.81240000000000001</v>
      </c>
      <c r="G429" s="980">
        <v>0.81240000000000001</v>
      </c>
      <c r="H429" s="980">
        <v>0.81240000000000001</v>
      </c>
      <c r="I429" s="980">
        <v>0.65980000000000005</v>
      </c>
      <c r="J429" s="980">
        <v>0.65980000000000005</v>
      </c>
      <c r="K429" s="980">
        <v>0.65980000000000005</v>
      </c>
      <c r="L429" s="980">
        <v>0.65980000000000005</v>
      </c>
      <c r="M429" s="980">
        <v>0.65980000000000005</v>
      </c>
    </row>
    <row r="430" spans="1:13">
      <c r="A430" s="988">
        <v>6.9</v>
      </c>
      <c r="B430" s="980">
        <v>0.87580000000000002</v>
      </c>
      <c r="C430" s="980">
        <v>0.87580000000000002</v>
      </c>
      <c r="D430" s="980">
        <v>0.8105</v>
      </c>
      <c r="E430" s="980">
        <v>0.8105</v>
      </c>
      <c r="F430" s="980">
        <v>0.8105</v>
      </c>
      <c r="G430" s="980">
        <v>0.8105</v>
      </c>
      <c r="H430" s="980">
        <v>0.8105</v>
      </c>
      <c r="I430" s="980">
        <v>0.65749999999999997</v>
      </c>
      <c r="J430" s="980">
        <v>0.65749999999999997</v>
      </c>
      <c r="K430" s="980">
        <v>0.65749999999999997</v>
      </c>
      <c r="L430" s="980">
        <v>0.65749999999999997</v>
      </c>
      <c r="M430" s="980">
        <v>0.65749999999999997</v>
      </c>
    </row>
    <row r="431" spans="1:13">
      <c r="A431" s="988">
        <v>7</v>
      </c>
      <c r="B431" s="980">
        <v>0.87419999999999998</v>
      </c>
      <c r="C431" s="980">
        <v>0.87419999999999998</v>
      </c>
      <c r="D431" s="980">
        <v>0.80869999999999997</v>
      </c>
      <c r="E431" s="980">
        <v>0.80869999999999997</v>
      </c>
      <c r="F431" s="980">
        <v>0.80869999999999997</v>
      </c>
      <c r="G431" s="980">
        <v>0.80869999999999997</v>
      </c>
      <c r="H431" s="980">
        <v>0.80869999999999997</v>
      </c>
      <c r="I431" s="980">
        <v>0.65529999999999999</v>
      </c>
      <c r="J431" s="980">
        <v>0.65529999999999999</v>
      </c>
      <c r="K431" s="980">
        <v>0.65529999999999999</v>
      </c>
      <c r="L431" s="980">
        <v>0.65529999999999999</v>
      </c>
      <c r="M431" s="980">
        <v>0.65529999999999999</v>
      </c>
    </row>
    <row r="432" spans="1:13">
      <c r="A432" s="988">
        <v>7.1</v>
      </c>
      <c r="B432" s="980">
        <v>0.87270000000000003</v>
      </c>
      <c r="C432" s="980">
        <v>0.87270000000000003</v>
      </c>
      <c r="D432" s="980">
        <v>0.80689999999999995</v>
      </c>
      <c r="E432" s="980">
        <v>0.80689999999999995</v>
      </c>
      <c r="F432" s="980">
        <v>0.80689999999999995</v>
      </c>
      <c r="G432" s="980">
        <v>0.80689999999999995</v>
      </c>
      <c r="H432" s="980">
        <v>0.80689999999999995</v>
      </c>
      <c r="I432" s="980">
        <v>0.6532</v>
      </c>
      <c r="J432" s="980">
        <v>0.6532</v>
      </c>
      <c r="K432" s="980">
        <v>0.6532</v>
      </c>
      <c r="L432" s="980">
        <v>0.6532</v>
      </c>
      <c r="M432" s="980">
        <v>0.6532</v>
      </c>
    </row>
    <row r="433" spans="1:13">
      <c r="A433" s="988">
        <v>7.2</v>
      </c>
      <c r="B433" s="980">
        <v>0.87119999999999997</v>
      </c>
      <c r="C433" s="980">
        <v>0.87119999999999997</v>
      </c>
      <c r="D433" s="980">
        <v>0.80510000000000004</v>
      </c>
      <c r="E433" s="980">
        <v>0.80510000000000004</v>
      </c>
      <c r="F433" s="980">
        <v>0.80510000000000004</v>
      </c>
      <c r="G433" s="980">
        <v>0.80510000000000004</v>
      </c>
      <c r="H433" s="980">
        <v>0.80510000000000004</v>
      </c>
      <c r="I433" s="980">
        <v>0.65100000000000002</v>
      </c>
      <c r="J433" s="980">
        <v>0.65100000000000002</v>
      </c>
      <c r="K433" s="980">
        <v>0.65100000000000002</v>
      </c>
      <c r="L433" s="980">
        <v>0.65100000000000002</v>
      </c>
      <c r="M433" s="980">
        <v>0.65100000000000002</v>
      </c>
    </row>
    <row r="434" spans="1:13">
      <c r="A434" s="988">
        <v>7.3</v>
      </c>
      <c r="B434" s="980">
        <v>0.86970000000000003</v>
      </c>
      <c r="C434" s="980">
        <v>0.86970000000000003</v>
      </c>
      <c r="D434" s="980">
        <v>0.80330000000000001</v>
      </c>
      <c r="E434" s="980">
        <v>0.80330000000000001</v>
      </c>
      <c r="F434" s="980">
        <v>0.80330000000000001</v>
      </c>
      <c r="G434" s="980">
        <v>0.80330000000000001</v>
      </c>
      <c r="H434" s="980">
        <v>0.80330000000000001</v>
      </c>
      <c r="I434" s="980">
        <v>0.64880000000000004</v>
      </c>
      <c r="J434" s="980">
        <v>0.64880000000000004</v>
      </c>
      <c r="K434" s="980">
        <v>0.64880000000000004</v>
      </c>
      <c r="L434" s="980">
        <v>0.64880000000000004</v>
      </c>
      <c r="M434" s="980">
        <v>0.64880000000000004</v>
      </c>
    </row>
    <row r="435" spans="1:13">
      <c r="A435" s="988">
        <v>7.4</v>
      </c>
      <c r="B435" s="980">
        <v>0.86819999999999997</v>
      </c>
      <c r="C435" s="980">
        <v>0.86819999999999997</v>
      </c>
      <c r="D435" s="980">
        <v>0.80149999999999999</v>
      </c>
      <c r="E435" s="980">
        <v>0.80149999999999999</v>
      </c>
      <c r="F435" s="980">
        <v>0.80149999999999999</v>
      </c>
      <c r="G435" s="980">
        <v>0.80149999999999999</v>
      </c>
      <c r="H435" s="980">
        <v>0.80149999999999999</v>
      </c>
      <c r="I435" s="980">
        <v>0.64659999999999995</v>
      </c>
      <c r="J435" s="980">
        <v>0.64659999999999995</v>
      </c>
      <c r="K435" s="980">
        <v>0.64659999999999995</v>
      </c>
      <c r="L435" s="980">
        <v>0.64659999999999995</v>
      </c>
      <c r="M435" s="980">
        <v>0.64659999999999995</v>
      </c>
    </row>
    <row r="436" spans="1:13">
      <c r="A436" s="988">
        <v>7.5</v>
      </c>
      <c r="B436" s="980">
        <v>0.86660000000000004</v>
      </c>
      <c r="C436" s="980">
        <v>0.86660000000000004</v>
      </c>
      <c r="D436" s="980">
        <v>0.79969999999999997</v>
      </c>
      <c r="E436" s="980">
        <v>0.79969999999999997</v>
      </c>
      <c r="F436" s="980">
        <v>0.79969999999999997</v>
      </c>
      <c r="G436" s="980">
        <v>0.79969999999999997</v>
      </c>
      <c r="H436" s="980">
        <v>0.79969999999999997</v>
      </c>
      <c r="I436" s="980">
        <v>0.64449999999999996</v>
      </c>
      <c r="J436" s="980">
        <v>0.64449999999999996</v>
      </c>
      <c r="K436" s="980">
        <v>0.64449999999999996</v>
      </c>
      <c r="L436" s="980">
        <v>0.64449999999999996</v>
      </c>
      <c r="M436" s="980">
        <v>0.64449999999999996</v>
      </c>
    </row>
    <row r="437" spans="1:13">
      <c r="A437" s="988">
        <v>7.6</v>
      </c>
      <c r="B437" s="980">
        <v>0.86509999999999998</v>
      </c>
      <c r="C437" s="980">
        <v>0.86509999999999998</v>
      </c>
      <c r="D437" s="980">
        <v>0.79800000000000004</v>
      </c>
      <c r="E437" s="980">
        <v>0.79800000000000004</v>
      </c>
      <c r="F437" s="980">
        <v>0.79800000000000004</v>
      </c>
      <c r="G437" s="980">
        <v>0.79800000000000004</v>
      </c>
      <c r="H437" s="980">
        <v>0.79800000000000004</v>
      </c>
      <c r="I437" s="980">
        <v>0.64239999999999997</v>
      </c>
      <c r="J437" s="980">
        <v>0.64239999999999997</v>
      </c>
      <c r="K437" s="980">
        <v>0.64239999999999997</v>
      </c>
      <c r="L437" s="980">
        <v>0.64239999999999997</v>
      </c>
      <c r="M437" s="980">
        <v>0.64239999999999997</v>
      </c>
    </row>
    <row r="438" spans="1:13">
      <c r="A438" s="988">
        <v>7.7</v>
      </c>
      <c r="B438" s="980">
        <v>0.86370000000000002</v>
      </c>
      <c r="C438" s="980">
        <v>0.86370000000000002</v>
      </c>
      <c r="D438" s="980">
        <v>0.79630000000000001</v>
      </c>
      <c r="E438" s="980">
        <v>0.79630000000000001</v>
      </c>
      <c r="F438" s="980">
        <v>0.79630000000000001</v>
      </c>
      <c r="G438" s="980">
        <v>0.79630000000000001</v>
      </c>
      <c r="H438" s="980">
        <v>0.79630000000000001</v>
      </c>
      <c r="I438" s="980">
        <v>0.64029999999999998</v>
      </c>
      <c r="J438" s="980">
        <v>0.64029999999999998</v>
      </c>
      <c r="K438" s="980">
        <v>0.64029999999999998</v>
      </c>
      <c r="L438" s="980">
        <v>0.64029999999999998</v>
      </c>
      <c r="M438" s="980">
        <v>0.64029999999999998</v>
      </c>
    </row>
    <row r="439" spans="1:13">
      <c r="A439" s="988">
        <v>7.8</v>
      </c>
      <c r="B439" s="980">
        <v>0.86229999999999996</v>
      </c>
      <c r="C439" s="980">
        <v>0.86229999999999996</v>
      </c>
      <c r="D439" s="980">
        <v>0.79449999999999998</v>
      </c>
      <c r="E439" s="980">
        <v>0.79449999999999998</v>
      </c>
      <c r="F439" s="980">
        <v>0.79449999999999998</v>
      </c>
      <c r="G439" s="980">
        <v>0.79449999999999998</v>
      </c>
      <c r="H439" s="980">
        <v>0.79449999999999998</v>
      </c>
      <c r="I439" s="980">
        <v>0.63819999999999999</v>
      </c>
      <c r="J439" s="980">
        <v>0.63819999999999999</v>
      </c>
      <c r="K439" s="980">
        <v>0.63819999999999999</v>
      </c>
      <c r="L439" s="980">
        <v>0.63819999999999999</v>
      </c>
      <c r="M439" s="980">
        <v>0.63819999999999999</v>
      </c>
    </row>
    <row r="440" spans="1:13">
      <c r="A440" s="988">
        <v>7.9</v>
      </c>
      <c r="B440" s="980">
        <v>0.8609</v>
      </c>
      <c r="C440" s="980">
        <v>0.8609</v>
      </c>
      <c r="D440" s="980">
        <v>0.79279999999999995</v>
      </c>
      <c r="E440" s="980">
        <v>0.79279999999999995</v>
      </c>
      <c r="F440" s="980">
        <v>0.79279999999999995</v>
      </c>
      <c r="G440" s="980">
        <v>0.79279999999999995</v>
      </c>
      <c r="H440" s="980">
        <v>0.79279999999999995</v>
      </c>
      <c r="I440" s="980">
        <v>0.6361</v>
      </c>
      <c r="J440" s="980">
        <v>0.6361</v>
      </c>
      <c r="K440" s="980">
        <v>0.6361</v>
      </c>
      <c r="L440" s="980">
        <v>0.6361</v>
      </c>
      <c r="M440" s="980">
        <v>0.6361</v>
      </c>
    </row>
    <row r="441" spans="1:13">
      <c r="A441" s="988">
        <v>8</v>
      </c>
      <c r="B441" s="980">
        <v>0.85940000000000005</v>
      </c>
      <c r="C441" s="980">
        <v>0.85940000000000005</v>
      </c>
      <c r="D441" s="980">
        <v>0.79110000000000003</v>
      </c>
      <c r="E441" s="980">
        <v>0.79110000000000003</v>
      </c>
      <c r="F441" s="980">
        <v>0.79110000000000003</v>
      </c>
      <c r="G441" s="980">
        <v>0.79110000000000003</v>
      </c>
      <c r="H441" s="980">
        <v>0.79110000000000003</v>
      </c>
      <c r="I441" s="980">
        <v>0.6341</v>
      </c>
      <c r="J441" s="980">
        <v>0.6341</v>
      </c>
      <c r="K441" s="980">
        <v>0.6341</v>
      </c>
      <c r="L441" s="980">
        <v>0.6341</v>
      </c>
      <c r="M441" s="980">
        <v>0.6341</v>
      </c>
    </row>
    <row r="442" spans="1:13">
      <c r="A442" s="988">
        <v>8.1</v>
      </c>
      <c r="B442" s="980">
        <v>0.85799999999999998</v>
      </c>
      <c r="C442" s="980">
        <v>0.85799999999999998</v>
      </c>
      <c r="D442" s="980">
        <v>0.78939999999999999</v>
      </c>
      <c r="E442" s="980">
        <v>0.78939999999999999</v>
      </c>
      <c r="F442" s="980">
        <v>0.78939999999999999</v>
      </c>
      <c r="G442" s="980">
        <v>0.78939999999999999</v>
      </c>
      <c r="H442" s="980">
        <v>0.78939999999999999</v>
      </c>
      <c r="I442" s="980">
        <v>0.6321</v>
      </c>
      <c r="J442" s="980">
        <v>0.6321</v>
      </c>
      <c r="K442" s="980">
        <v>0.6321</v>
      </c>
      <c r="L442" s="980">
        <v>0.6321</v>
      </c>
      <c r="M442" s="980">
        <v>0.6321</v>
      </c>
    </row>
    <row r="443" spans="1:13">
      <c r="A443" s="988">
        <v>8.1999999999999993</v>
      </c>
      <c r="B443" s="980">
        <v>0.85660000000000003</v>
      </c>
      <c r="C443" s="980">
        <v>0.85660000000000003</v>
      </c>
      <c r="D443" s="980">
        <v>0.78779999999999994</v>
      </c>
      <c r="E443" s="980">
        <v>0.78779999999999994</v>
      </c>
      <c r="F443" s="980">
        <v>0.78779999999999994</v>
      </c>
      <c r="G443" s="980">
        <v>0.78779999999999994</v>
      </c>
      <c r="H443" s="980">
        <v>0.78779999999999994</v>
      </c>
      <c r="I443" s="980">
        <v>0.63009999999999999</v>
      </c>
      <c r="J443" s="980">
        <v>0.63009999999999999</v>
      </c>
      <c r="K443" s="980">
        <v>0.63009999999999999</v>
      </c>
      <c r="L443" s="980">
        <v>0.63009999999999999</v>
      </c>
      <c r="M443" s="980">
        <v>0.63009999999999999</v>
      </c>
    </row>
    <row r="444" spans="1:13">
      <c r="A444" s="988">
        <v>8.3000000000000007</v>
      </c>
      <c r="B444" s="980">
        <v>0.85529999999999995</v>
      </c>
      <c r="C444" s="980">
        <v>0.85529999999999995</v>
      </c>
      <c r="D444" s="980">
        <v>0.78620000000000001</v>
      </c>
      <c r="E444" s="980">
        <v>0.78620000000000001</v>
      </c>
      <c r="F444" s="980">
        <v>0.78620000000000001</v>
      </c>
      <c r="G444" s="980">
        <v>0.78620000000000001</v>
      </c>
      <c r="H444" s="980">
        <v>0.78620000000000001</v>
      </c>
      <c r="I444" s="980">
        <v>0.62809999999999999</v>
      </c>
      <c r="J444" s="980">
        <v>0.62809999999999999</v>
      </c>
      <c r="K444" s="980">
        <v>0.62809999999999999</v>
      </c>
      <c r="L444" s="980">
        <v>0.62809999999999999</v>
      </c>
      <c r="M444" s="980">
        <v>0.62809999999999999</v>
      </c>
    </row>
    <row r="445" spans="1:13">
      <c r="A445" s="988">
        <v>8.4</v>
      </c>
      <c r="B445" s="980">
        <v>0.85389999999999999</v>
      </c>
      <c r="C445" s="980">
        <v>0.85389999999999999</v>
      </c>
      <c r="D445" s="980">
        <v>0.78459999999999996</v>
      </c>
      <c r="E445" s="980">
        <v>0.78459999999999996</v>
      </c>
      <c r="F445" s="980">
        <v>0.78459999999999996</v>
      </c>
      <c r="G445" s="980">
        <v>0.78459999999999996</v>
      </c>
      <c r="H445" s="980">
        <v>0.78459999999999996</v>
      </c>
      <c r="I445" s="980">
        <v>0.62609999999999999</v>
      </c>
      <c r="J445" s="980">
        <v>0.62609999999999999</v>
      </c>
      <c r="K445" s="980">
        <v>0.62609999999999999</v>
      </c>
      <c r="L445" s="980">
        <v>0.62609999999999999</v>
      </c>
      <c r="M445" s="980">
        <v>0.62609999999999999</v>
      </c>
    </row>
    <row r="446" spans="1:13">
      <c r="A446" s="988">
        <v>8.5</v>
      </c>
      <c r="B446" s="980">
        <v>0.85260000000000002</v>
      </c>
      <c r="C446" s="980">
        <v>0.85260000000000002</v>
      </c>
      <c r="D446" s="980">
        <v>0.78290000000000004</v>
      </c>
      <c r="E446" s="980">
        <v>0.78290000000000004</v>
      </c>
      <c r="F446" s="980">
        <v>0.78290000000000004</v>
      </c>
      <c r="G446" s="980">
        <v>0.78290000000000004</v>
      </c>
      <c r="H446" s="980">
        <v>0.78290000000000004</v>
      </c>
      <c r="I446" s="980">
        <v>0.62419999999999998</v>
      </c>
      <c r="J446" s="980">
        <v>0.62419999999999998</v>
      </c>
      <c r="K446" s="980">
        <v>0.62419999999999998</v>
      </c>
      <c r="L446" s="980">
        <v>0.62419999999999998</v>
      </c>
      <c r="M446" s="980">
        <v>0.62419999999999998</v>
      </c>
    </row>
    <row r="447" spans="1:13">
      <c r="A447" s="988">
        <v>8.6</v>
      </c>
      <c r="B447" s="980">
        <v>0.85129999999999995</v>
      </c>
      <c r="C447" s="980">
        <v>0.85129999999999995</v>
      </c>
      <c r="D447" s="980">
        <v>0.78129999999999999</v>
      </c>
      <c r="E447" s="980">
        <v>0.78129999999999999</v>
      </c>
      <c r="F447" s="980">
        <v>0.78129999999999999</v>
      </c>
      <c r="G447" s="980">
        <v>0.78129999999999999</v>
      </c>
      <c r="H447" s="980">
        <v>0.78129999999999999</v>
      </c>
      <c r="I447" s="980">
        <v>0.62229999999999996</v>
      </c>
      <c r="J447" s="980">
        <v>0.62229999999999996</v>
      </c>
      <c r="K447" s="980">
        <v>0.62229999999999996</v>
      </c>
      <c r="L447" s="980">
        <v>0.62229999999999996</v>
      </c>
      <c r="M447" s="980">
        <v>0.62229999999999996</v>
      </c>
    </row>
    <row r="448" spans="1:13">
      <c r="A448" s="988">
        <v>8.6999999999999993</v>
      </c>
      <c r="B448" s="980">
        <v>0.85</v>
      </c>
      <c r="C448" s="980">
        <v>0.85</v>
      </c>
      <c r="D448" s="980">
        <v>0.77969999999999995</v>
      </c>
      <c r="E448" s="980">
        <v>0.77969999999999995</v>
      </c>
      <c r="F448" s="980">
        <v>0.77969999999999995</v>
      </c>
      <c r="G448" s="980">
        <v>0.77969999999999995</v>
      </c>
      <c r="H448" s="980">
        <v>0.77969999999999995</v>
      </c>
      <c r="I448" s="980">
        <v>0.62039999999999995</v>
      </c>
      <c r="J448" s="980">
        <v>0.62039999999999995</v>
      </c>
      <c r="K448" s="980">
        <v>0.62039999999999995</v>
      </c>
      <c r="L448" s="980">
        <v>0.62039999999999995</v>
      </c>
      <c r="M448" s="980">
        <v>0.62039999999999995</v>
      </c>
    </row>
    <row r="449" spans="1:13">
      <c r="A449" s="988">
        <v>8.8000000000000007</v>
      </c>
      <c r="B449" s="980">
        <v>0.84860000000000002</v>
      </c>
      <c r="C449" s="980">
        <v>0.84860000000000002</v>
      </c>
      <c r="D449" s="980">
        <v>0.7782</v>
      </c>
      <c r="E449" s="980">
        <v>0.7782</v>
      </c>
      <c r="F449" s="980">
        <v>0.7782</v>
      </c>
      <c r="G449" s="980">
        <v>0.7782</v>
      </c>
      <c r="H449" s="980">
        <v>0.7782</v>
      </c>
      <c r="I449" s="980">
        <v>0.61850000000000005</v>
      </c>
      <c r="J449" s="980">
        <v>0.61850000000000005</v>
      </c>
      <c r="K449" s="980">
        <v>0.61850000000000005</v>
      </c>
      <c r="L449" s="980">
        <v>0.61850000000000005</v>
      </c>
      <c r="M449" s="980">
        <v>0.61850000000000005</v>
      </c>
    </row>
    <row r="450" spans="1:13">
      <c r="A450" s="988">
        <v>8.9</v>
      </c>
      <c r="B450" s="980">
        <v>0.84740000000000004</v>
      </c>
      <c r="C450" s="980">
        <v>0.84740000000000004</v>
      </c>
      <c r="D450" s="980">
        <v>0.77669999999999995</v>
      </c>
      <c r="E450" s="980">
        <v>0.77669999999999995</v>
      </c>
      <c r="F450" s="980">
        <v>0.77669999999999995</v>
      </c>
      <c r="G450" s="980">
        <v>0.77669999999999995</v>
      </c>
      <c r="H450" s="980">
        <v>0.77669999999999995</v>
      </c>
      <c r="I450" s="980">
        <v>0.61670000000000003</v>
      </c>
      <c r="J450" s="980">
        <v>0.61670000000000003</v>
      </c>
      <c r="K450" s="980">
        <v>0.61670000000000003</v>
      </c>
      <c r="L450" s="980">
        <v>0.61670000000000003</v>
      </c>
      <c r="M450" s="980">
        <v>0.61670000000000003</v>
      </c>
    </row>
    <row r="451" spans="1:13">
      <c r="A451" s="988">
        <v>9</v>
      </c>
      <c r="B451" s="980">
        <v>0.84619999999999995</v>
      </c>
      <c r="C451" s="980">
        <v>0.84619999999999995</v>
      </c>
      <c r="D451" s="980">
        <v>0.77510000000000001</v>
      </c>
      <c r="E451" s="980">
        <v>0.77510000000000001</v>
      </c>
      <c r="F451" s="980">
        <v>0.77510000000000001</v>
      </c>
      <c r="G451" s="980">
        <v>0.77510000000000001</v>
      </c>
      <c r="H451" s="980">
        <v>0.77510000000000001</v>
      </c>
      <c r="I451" s="980">
        <v>0.61480000000000001</v>
      </c>
      <c r="J451" s="980">
        <v>0.61480000000000001</v>
      </c>
      <c r="K451" s="980">
        <v>0.61480000000000001</v>
      </c>
      <c r="L451" s="980">
        <v>0.61480000000000001</v>
      </c>
      <c r="M451" s="980">
        <v>0.61480000000000001</v>
      </c>
    </row>
    <row r="452" spans="1:13">
      <c r="A452" s="988">
        <v>9.1</v>
      </c>
      <c r="B452" s="980">
        <v>0.84499999999999997</v>
      </c>
      <c r="C452" s="980">
        <v>0.84499999999999997</v>
      </c>
      <c r="D452" s="980">
        <v>0.77359999999999995</v>
      </c>
      <c r="E452" s="980">
        <v>0.77359999999999995</v>
      </c>
      <c r="F452" s="980">
        <v>0.77359999999999995</v>
      </c>
      <c r="G452" s="980">
        <v>0.77359999999999995</v>
      </c>
      <c r="H452" s="980">
        <v>0.77359999999999995</v>
      </c>
      <c r="I452" s="980">
        <v>0.61299999999999999</v>
      </c>
      <c r="J452" s="980">
        <v>0.61299999999999999</v>
      </c>
      <c r="K452" s="980">
        <v>0.61299999999999999</v>
      </c>
      <c r="L452" s="980">
        <v>0.61299999999999999</v>
      </c>
      <c r="M452" s="980">
        <v>0.61299999999999999</v>
      </c>
    </row>
    <row r="453" spans="1:13">
      <c r="A453" s="988">
        <v>9.1999999999999993</v>
      </c>
      <c r="B453" s="980">
        <v>0.84370000000000001</v>
      </c>
      <c r="C453" s="980">
        <v>0.84370000000000001</v>
      </c>
      <c r="D453" s="980">
        <v>0.77210000000000001</v>
      </c>
      <c r="E453" s="980">
        <v>0.77210000000000001</v>
      </c>
      <c r="F453" s="980">
        <v>0.77210000000000001</v>
      </c>
      <c r="G453" s="980">
        <v>0.77210000000000001</v>
      </c>
      <c r="H453" s="980">
        <v>0.77210000000000001</v>
      </c>
      <c r="I453" s="980">
        <v>0.61119999999999997</v>
      </c>
      <c r="J453" s="980">
        <v>0.61119999999999997</v>
      </c>
      <c r="K453" s="980">
        <v>0.61119999999999997</v>
      </c>
      <c r="L453" s="980">
        <v>0.61119999999999997</v>
      </c>
      <c r="M453" s="980">
        <v>0.61119999999999997</v>
      </c>
    </row>
    <row r="454" spans="1:13">
      <c r="A454" s="988">
        <v>9.3000000000000007</v>
      </c>
      <c r="B454" s="980">
        <v>0.84250000000000003</v>
      </c>
      <c r="C454" s="980">
        <v>0.84250000000000003</v>
      </c>
      <c r="D454" s="980">
        <v>0.77059999999999995</v>
      </c>
      <c r="E454" s="980">
        <v>0.77059999999999995</v>
      </c>
      <c r="F454" s="980">
        <v>0.77059999999999995</v>
      </c>
      <c r="G454" s="980">
        <v>0.77059999999999995</v>
      </c>
      <c r="H454" s="980">
        <v>0.77059999999999995</v>
      </c>
      <c r="I454" s="980">
        <v>0.60940000000000005</v>
      </c>
      <c r="J454" s="980">
        <v>0.60940000000000005</v>
      </c>
      <c r="K454" s="980">
        <v>0.60940000000000005</v>
      </c>
      <c r="L454" s="980">
        <v>0.60940000000000005</v>
      </c>
      <c r="M454" s="980">
        <v>0.60940000000000005</v>
      </c>
    </row>
    <row r="455" spans="1:13">
      <c r="A455" s="988">
        <v>9.4</v>
      </c>
      <c r="B455" s="980">
        <v>0.84130000000000005</v>
      </c>
      <c r="C455" s="980">
        <v>0.84130000000000005</v>
      </c>
      <c r="D455" s="980">
        <v>0.76900000000000002</v>
      </c>
      <c r="E455" s="980">
        <v>0.76900000000000002</v>
      </c>
      <c r="F455" s="980">
        <v>0.76900000000000002</v>
      </c>
      <c r="G455" s="980">
        <v>0.76900000000000002</v>
      </c>
      <c r="H455" s="980">
        <v>0.76900000000000002</v>
      </c>
      <c r="I455" s="980">
        <v>0.60760000000000003</v>
      </c>
      <c r="J455" s="980">
        <v>0.60760000000000003</v>
      </c>
      <c r="K455" s="980">
        <v>0.60760000000000003</v>
      </c>
      <c r="L455" s="980">
        <v>0.60760000000000003</v>
      </c>
      <c r="M455" s="980">
        <v>0.60760000000000003</v>
      </c>
    </row>
    <row r="456" spans="1:13">
      <c r="A456" s="988">
        <v>9.5</v>
      </c>
      <c r="B456" s="980">
        <v>0.84009999999999996</v>
      </c>
      <c r="C456" s="980">
        <v>0.84009999999999996</v>
      </c>
      <c r="D456" s="980">
        <v>0.76759999999999995</v>
      </c>
      <c r="E456" s="980">
        <v>0.76759999999999995</v>
      </c>
      <c r="F456" s="980">
        <v>0.76759999999999995</v>
      </c>
      <c r="G456" s="980">
        <v>0.76759999999999995</v>
      </c>
      <c r="H456" s="980">
        <v>0.76759999999999995</v>
      </c>
      <c r="I456" s="980">
        <v>0.60580000000000001</v>
      </c>
      <c r="J456" s="980">
        <v>0.60580000000000001</v>
      </c>
      <c r="K456" s="980">
        <v>0.60580000000000001</v>
      </c>
      <c r="L456" s="980">
        <v>0.60580000000000001</v>
      </c>
      <c r="M456" s="980">
        <v>0.60580000000000001</v>
      </c>
    </row>
    <row r="457" spans="1:13">
      <c r="A457" s="988">
        <v>9.6</v>
      </c>
      <c r="B457" s="980">
        <v>0.83899999999999997</v>
      </c>
      <c r="C457" s="980">
        <v>0.83899999999999997</v>
      </c>
      <c r="D457" s="980">
        <v>0.76619999999999999</v>
      </c>
      <c r="E457" s="980">
        <v>0.76619999999999999</v>
      </c>
      <c r="F457" s="980">
        <v>0.76619999999999999</v>
      </c>
      <c r="G457" s="980">
        <v>0.76619999999999999</v>
      </c>
      <c r="H457" s="980">
        <v>0.76619999999999999</v>
      </c>
      <c r="I457" s="980">
        <v>0.60409999999999997</v>
      </c>
      <c r="J457" s="980">
        <v>0.60409999999999997</v>
      </c>
      <c r="K457" s="980">
        <v>0.60409999999999997</v>
      </c>
      <c r="L457" s="980">
        <v>0.60409999999999997</v>
      </c>
      <c r="M457" s="980">
        <v>0.60409999999999997</v>
      </c>
    </row>
    <row r="458" spans="1:13">
      <c r="A458" s="988">
        <v>9.6999999999999993</v>
      </c>
      <c r="B458" s="980">
        <v>0.83779999999999999</v>
      </c>
      <c r="C458" s="980">
        <v>0.83779999999999999</v>
      </c>
      <c r="D458" s="980">
        <v>0.76480000000000004</v>
      </c>
      <c r="E458" s="980">
        <v>0.76480000000000004</v>
      </c>
      <c r="F458" s="980">
        <v>0.76480000000000004</v>
      </c>
      <c r="G458" s="980">
        <v>0.76480000000000004</v>
      </c>
      <c r="H458" s="980">
        <v>0.76480000000000004</v>
      </c>
      <c r="I458" s="980">
        <v>0.60240000000000005</v>
      </c>
      <c r="J458" s="980">
        <v>0.60240000000000005</v>
      </c>
      <c r="K458" s="980">
        <v>0.60240000000000005</v>
      </c>
      <c r="L458" s="980">
        <v>0.60240000000000005</v>
      </c>
      <c r="M458" s="980">
        <v>0.60240000000000005</v>
      </c>
    </row>
    <row r="459" spans="1:13">
      <c r="A459" s="988">
        <v>9.8000000000000007</v>
      </c>
      <c r="B459" s="980">
        <v>0.8367</v>
      </c>
      <c r="C459" s="980">
        <v>0.8367</v>
      </c>
      <c r="D459" s="980">
        <v>0.76329999999999998</v>
      </c>
      <c r="E459" s="980">
        <v>0.76329999999999998</v>
      </c>
      <c r="F459" s="980">
        <v>0.76329999999999998</v>
      </c>
      <c r="G459" s="980">
        <v>0.76329999999999998</v>
      </c>
      <c r="H459" s="980">
        <v>0.76329999999999998</v>
      </c>
      <c r="I459" s="980">
        <v>0.60060000000000002</v>
      </c>
      <c r="J459" s="980">
        <v>0.60060000000000002</v>
      </c>
      <c r="K459" s="980">
        <v>0.60060000000000002</v>
      </c>
      <c r="L459" s="980">
        <v>0.60060000000000002</v>
      </c>
      <c r="M459" s="980">
        <v>0.60060000000000002</v>
      </c>
    </row>
    <row r="460" spans="1:13">
      <c r="A460" s="988">
        <v>9.9</v>
      </c>
      <c r="B460" s="980">
        <v>0.83560000000000001</v>
      </c>
      <c r="C460" s="980">
        <v>0.83560000000000001</v>
      </c>
      <c r="D460" s="980">
        <v>0.76190000000000002</v>
      </c>
      <c r="E460" s="980">
        <v>0.76190000000000002</v>
      </c>
      <c r="F460" s="980">
        <v>0.76190000000000002</v>
      </c>
      <c r="G460" s="980">
        <v>0.76190000000000002</v>
      </c>
      <c r="H460" s="980">
        <v>0.76190000000000002</v>
      </c>
      <c r="I460" s="980">
        <v>0.59889999999999999</v>
      </c>
      <c r="J460" s="980">
        <v>0.59889999999999999</v>
      </c>
      <c r="K460" s="980">
        <v>0.59889999999999999</v>
      </c>
      <c r="L460" s="980">
        <v>0.59889999999999999</v>
      </c>
      <c r="M460" s="980">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8" customWidth="1"/>
    <col min="2" max="2" width="13.875" style="3498" customWidth="1"/>
    <col min="3" max="7" width="8.875" style="3463"/>
    <col min="8" max="16384" width="8.875" style="1580"/>
  </cols>
  <sheetData>
    <row r="1" spans="1:7">
      <c r="A1" s="3931" t="s">
        <v>3021</v>
      </c>
      <c r="B1" s="3931"/>
    </row>
    <row r="2" spans="1:7" ht="14.25" thickBot="1">
      <c r="A2" s="3464"/>
      <c r="B2" s="3464"/>
    </row>
    <row r="3" spans="1:7" ht="14.25" thickBot="1">
      <c r="A3" s="3464"/>
      <c r="B3" s="3464"/>
      <c r="C3" s="3465" t="s">
        <v>3022</v>
      </c>
      <c r="D3" s="3465" t="s">
        <v>3023</v>
      </c>
      <c r="E3" s="3465" t="s">
        <v>3024</v>
      </c>
      <c r="F3" s="3465" t="s">
        <v>3025</v>
      </c>
      <c r="G3" s="3465" t="s">
        <v>3026</v>
      </c>
    </row>
    <row r="4" spans="1:7" ht="14.25" thickBot="1">
      <c r="A4" s="3466" t="s">
        <v>3027</v>
      </c>
      <c r="B4" s="3467" t="s">
        <v>3028</v>
      </c>
      <c r="C4" s="3465"/>
      <c r="D4" s="3465"/>
      <c r="E4" s="3465"/>
      <c r="F4" s="3465"/>
      <c r="G4" s="3465"/>
    </row>
    <row r="5" spans="1:7">
      <c r="A5" s="3468" t="s">
        <v>3029</v>
      </c>
      <c r="B5" s="3469" t="s">
        <v>3030</v>
      </c>
      <c r="C5" s="3470">
        <v>9.8000000000000004E-2</v>
      </c>
      <c r="D5" s="3470">
        <v>8.6999999999999994E-2</v>
      </c>
      <c r="E5" s="3470">
        <v>8.6999999999999994E-2</v>
      </c>
      <c r="F5" s="3470">
        <v>9.8000000000000004E-2</v>
      </c>
      <c r="G5" s="3471">
        <v>9.5000000000000001E-2</v>
      </c>
    </row>
    <row r="6" spans="1:7">
      <c r="A6" s="3472" t="s">
        <v>990</v>
      </c>
      <c r="B6" s="3473" t="s">
        <v>3031</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4.25" thickBot="1">
      <c r="A9" s="3476" t="s">
        <v>990</v>
      </c>
      <c r="B9" s="3477" t="s">
        <v>1001</v>
      </c>
      <c r="C9" s="3478">
        <v>0.1</v>
      </c>
      <c r="D9" s="3478">
        <v>0.1</v>
      </c>
      <c r="E9" s="3478">
        <v>0.1</v>
      </c>
      <c r="F9" s="3479"/>
      <c r="G9" s="3480">
        <v>0.1</v>
      </c>
    </row>
    <row r="10" spans="1:7">
      <c r="A10" s="3468" t="s">
        <v>1031</v>
      </c>
      <c r="B10" s="3469" t="s">
        <v>3032</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3033</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4.25" thickBot="1">
      <c r="A29" s="3476" t="s">
        <v>1031</v>
      </c>
      <c r="B29" s="3477" t="s">
        <v>2819</v>
      </c>
      <c r="C29" s="3482"/>
      <c r="D29" s="3478">
        <v>5.1999999999999998E-2</v>
      </c>
      <c r="E29" s="3478">
        <v>7.0000000000000007E-2</v>
      </c>
      <c r="F29" s="3482"/>
      <c r="G29" s="3480">
        <v>7.0999999999999994E-2</v>
      </c>
    </row>
    <row r="30" spans="1:7">
      <c r="A30" s="3483" t="s">
        <v>1145</v>
      </c>
      <c r="B30" s="3469" t="s">
        <v>3034</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3035</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2821</v>
      </c>
      <c r="C50" s="3474">
        <v>9.8000000000000004E-2</v>
      </c>
      <c r="D50" s="3474">
        <v>7.2999999999999995E-2</v>
      </c>
      <c r="E50" s="3474">
        <v>7.0999999999999994E-2</v>
      </c>
      <c r="F50" s="3485"/>
      <c r="G50" s="3475">
        <v>7.2999999999999995E-2</v>
      </c>
    </row>
    <row r="51" spans="1:7">
      <c r="A51" s="3484" t="s">
        <v>1145</v>
      </c>
      <c r="B51" s="3473" t="s">
        <v>2822</v>
      </c>
      <c r="C51" s="3474">
        <v>9.9000000000000005E-2</v>
      </c>
      <c r="D51" s="3474">
        <v>8.5000000000000006E-2</v>
      </c>
      <c r="E51" s="3474">
        <v>6.3E-2</v>
      </c>
      <c r="F51" s="3485"/>
      <c r="G51" s="3475">
        <v>9.6000000000000002E-2</v>
      </c>
    </row>
    <row r="52" spans="1:7">
      <c r="A52" s="3484" t="s">
        <v>1145</v>
      </c>
      <c r="B52" s="3473" t="s">
        <v>2823</v>
      </c>
      <c r="C52" s="3474">
        <v>7.3999999999999996E-2</v>
      </c>
      <c r="D52" s="3474">
        <v>9.6000000000000002E-2</v>
      </c>
      <c r="E52" s="3474">
        <v>0.05</v>
      </c>
      <c r="F52" s="3485"/>
      <c r="G52" s="3475">
        <v>9.8000000000000004E-2</v>
      </c>
    </row>
    <row r="53" spans="1:7">
      <c r="A53" s="3484" t="s">
        <v>1145</v>
      </c>
      <c r="B53" s="3473" t="s">
        <v>2824</v>
      </c>
      <c r="C53" s="3474">
        <v>8.5999999999999993E-2</v>
      </c>
      <c r="D53" s="3485"/>
      <c r="E53" s="3474">
        <v>9.1999999999999998E-2</v>
      </c>
      <c r="F53" s="3485"/>
      <c r="G53" s="3486"/>
    </row>
    <row r="54" spans="1:7" ht="14.25" thickBot="1">
      <c r="A54" s="3487" t="s">
        <v>1145</v>
      </c>
      <c r="B54" s="3477" t="s">
        <v>2825</v>
      </c>
      <c r="C54" s="3478">
        <v>9.6000000000000002E-2</v>
      </c>
      <c r="D54" s="3479"/>
      <c r="E54" s="3488"/>
      <c r="F54" s="3479"/>
      <c r="G54" s="3489"/>
    </row>
    <row r="55" spans="1:7">
      <c r="A55" s="3483" t="s">
        <v>853</v>
      </c>
      <c r="B55" s="3469" t="s">
        <v>3036</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2827</v>
      </c>
      <c r="C78" s="3474">
        <v>0.1</v>
      </c>
      <c r="D78" s="3474">
        <v>8.5000000000000006E-2</v>
      </c>
      <c r="E78" s="3474">
        <v>9.6000000000000002E-2</v>
      </c>
      <c r="F78" s="3485"/>
      <c r="G78" s="3475">
        <v>9.6000000000000002E-2</v>
      </c>
    </row>
    <row r="79" spans="1:7">
      <c r="A79" s="3484" t="s">
        <v>853</v>
      </c>
      <c r="B79" s="3473" t="s">
        <v>2828</v>
      </c>
      <c r="C79" s="3474">
        <v>0.05</v>
      </c>
      <c r="D79" s="3474">
        <v>9.6000000000000002E-2</v>
      </c>
      <c r="E79" s="3474">
        <v>9.5000000000000001E-2</v>
      </c>
      <c r="F79" s="3485"/>
      <c r="G79" s="3475">
        <v>9.8000000000000004E-2</v>
      </c>
    </row>
    <row r="80" spans="1:7">
      <c r="A80" s="3484" t="s">
        <v>853</v>
      </c>
      <c r="B80" s="3473" t="s">
        <v>2829</v>
      </c>
      <c r="C80" s="3474">
        <v>8.5999999999999993E-2</v>
      </c>
      <c r="D80" s="3490"/>
      <c r="E80" s="3474">
        <v>0.1</v>
      </c>
      <c r="F80" s="3485"/>
      <c r="G80" s="3486"/>
    </row>
    <row r="81" spans="1:7">
      <c r="A81" s="3484" t="s">
        <v>853</v>
      </c>
      <c r="B81" s="3473" t="s">
        <v>2830</v>
      </c>
      <c r="C81" s="3474">
        <v>9.6000000000000002E-2</v>
      </c>
      <c r="D81" s="3485"/>
      <c r="E81" s="3474">
        <v>9.8000000000000004E-2</v>
      </c>
      <c r="F81" s="3485"/>
      <c r="G81" s="3486"/>
    </row>
    <row r="82" spans="1:7">
      <c r="A82" s="3484" t="s">
        <v>853</v>
      </c>
      <c r="B82" s="3473" t="s">
        <v>2831</v>
      </c>
      <c r="C82" s="3490"/>
      <c r="D82" s="3485"/>
      <c r="E82" s="3474">
        <v>7.6999999999999999E-2</v>
      </c>
      <c r="F82" s="3485"/>
      <c r="G82" s="3486"/>
    </row>
    <row r="83" spans="1:7">
      <c r="A83" s="3484" t="s">
        <v>853</v>
      </c>
      <c r="B83" s="3473" t="s">
        <v>3037</v>
      </c>
      <c r="C83" s="3485"/>
      <c r="D83" s="3485"/>
      <c r="E83" s="3485"/>
      <c r="F83" s="3474">
        <v>0.1</v>
      </c>
      <c r="G83" s="3491"/>
    </row>
    <row r="84" spans="1:7">
      <c r="A84" s="3484" t="s">
        <v>853</v>
      </c>
      <c r="B84" s="3473" t="s">
        <v>3038</v>
      </c>
      <c r="C84" s="3485"/>
      <c r="D84" s="3485"/>
      <c r="E84" s="3485"/>
      <c r="F84" s="3474">
        <v>0.1</v>
      </c>
      <c r="G84" s="3491"/>
    </row>
    <row r="85" spans="1:7">
      <c r="A85" s="3484" t="s">
        <v>853</v>
      </c>
      <c r="B85" s="3473" t="s">
        <v>3039</v>
      </c>
      <c r="C85" s="3485"/>
      <c r="D85" s="3485"/>
      <c r="E85" s="3485"/>
      <c r="F85" s="3474">
        <v>0.1</v>
      </c>
      <c r="G85" s="3491"/>
    </row>
    <row r="86" spans="1:7" ht="14.25" thickBot="1">
      <c r="A86" s="3487" t="s">
        <v>853</v>
      </c>
      <c r="B86" s="3477" t="s">
        <v>3040</v>
      </c>
      <c r="C86" s="3478">
        <v>9.8000000000000004E-2</v>
      </c>
      <c r="D86" s="3478">
        <v>9.8000000000000004E-2</v>
      </c>
      <c r="E86" s="3478">
        <v>9.6000000000000002E-2</v>
      </c>
      <c r="F86" s="3488"/>
      <c r="G86" s="3480">
        <v>0.1</v>
      </c>
    </row>
    <row r="87" spans="1:7">
      <c r="A87" s="3483" t="s">
        <v>1152</v>
      </c>
      <c r="B87" s="3469" t="s">
        <v>3041</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2837</v>
      </c>
      <c r="C113" s="3474">
        <v>0.1</v>
      </c>
      <c r="D113" s="3474">
        <v>0.1</v>
      </c>
      <c r="E113" s="3485"/>
      <c r="F113" s="3485"/>
      <c r="G113" s="3475">
        <v>0.1</v>
      </c>
    </row>
    <row r="114" spans="1:7">
      <c r="A114" s="3484" t="s">
        <v>1152</v>
      </c>
      <c r="B114" s="3473" t="s">
        <v>2838</v>
      </c>
      <c r="C114" s="3474">
        <v>9.7000000000000003E-2</v>
      </c>
      <c r="D114" s="3474">
        <v>9.7000000000000003E-2</v>
      </c>
      <c r="E114" s="3485"/>
      <c r="F114" s="3485"/>
      <c r="G114" s="3475">
        <v>9.9000000000000005E-2</v>
      </c>
    </row>
    <row r="115" spans="1:7">
      <c r="A115" s="3484" t="s">
        <v>1152</v>
      </c>
      <c r="B115" s="3473" t="s">
        <v>2839</v>
      </c>
      <c r="C115" s="3474">
        <v>0.1</v>
      </c>
      <c r="D115" s="3474">
        <v>0.1</v>
      </c>
      <c r="E115" s="3485"/>
      <c r="F115" s="3485"/>
      <c r="G115" s="3475">
        <v>0.1</v>
      </c>
    </row>
    <row r="116" spans="1:7">
      <c r="A116" s="3484" t="s">
        <v>1152</v>
      </c>
      <c r="B116" s="3473" t="s">
        <v>2840</v>
      </c>
      <c r="C116" s="3474">
        <v>0.1</v>
      </c>
      <c r="D116" s="3474">
        <v>0.1</v>
      </c>
      <c r="E116" s="3485"/>
      <c r="F116" s="3485"/>
      <c r="G116" s="3475">
        <v>0.1</v>
      </c>
    </row>
    <row r="117" spans="1:7">
      <c r="A117" s="3484" t="s">
        <v>1152</v>
      </c>
      <c r="B117" s="3473" t="s">
        <v>2841</v>
      </c>
      <c r="C117" s="3474">
        <v>9.7000000000000003E-2</v>
      </c>
      <c r="D117" s="3474">
        <v>9.7000000000000003E-2</v>
      </c>
      <c r="E117" s="3485"/>
      <c r="F117" s="3485"/>
      <c r="G117" s="3475">
        <v>9.7000000000000003E-2</v>
      </c>
    </row>
    <row r="118" spans="1:7">
      <c r="A118" s="3484" t="s">
        <v>1152</v>
      </c>
      <c r="B118" s="3473" t="s">
        <v>2842</v>
      </c>
      <c r="C118" s="3474">
        <v>0.1</v>
      </c>
      <c r="D118" s="3474">
        <v>0.1</v>
      </c>
      <c r="E118" s="3485"/>
      <c r="F118" s="3485"/>
      <c r="G118" s="3475">
        <v>0.1</v>
      </c>
    </row>
    <row r="119" spans="1:7">
      <c r="A119" s="3484" t="s">
        <v>1152</v>
      </c>
      <c r="B119" s="3473" t="s">
        <v>2843</v>
      </c>
      <c r="C119" s="3474">
        <v>5.0999999999999997E-2</v>
      </c>
      <c r="D119" s="3474">
        <v>5.1999999999999998E-2</v>
      </c>
      <c r="E119" s="3485"/>
      <c r="F119" s="3490"/>
      <c r="G119" s="3475">
        <v>0.06</v>
      </c>
    </row>
    <row r="120" spans="1:7">
      <c r="A120" s="3484" t="s">
        <v>1152</v>
      </c>
      <c r="B120" s="3473" t="s">
        <v>3042</v>
      </c>
      <c r="C120" s="3485"/>
      <c r="D120" s="3485"/>
      <c r="E120" s="3485"/>
      <c r="F120" s="3474">
        <v>0.1</v>
      </c>
      <c r="G120" s="3491"/>
    </row>
    <row r="121" spans="1:7">
      <c r="A121" s="3484" t="s">
        <v>1152</v>
      </c>
      <c r="B121" s="3473" t="s">
        <v>3043</v>
      </c>
      <c r="C121" s="3485"/>
      <c r="D121" s="3485"/>
      <c r="E121" s="3485"/>
      <c r="F121" s="3474">
        <v>0.1</v>
      </c>
      <c r="G121" s="3491"/>
    </row>
    <row r="122" spans="1:7">
      <c r="A122" s="3484" t="s">
        <v>1152</v>
      </c>
      <c r="B122" s="3473" t="s">
        <v>3044</v>
      </c>
      <c r="C122" s="3474">
        <v>0.1</v>
      </c>
      <c r="D122" s="3474">
        <v>0.1</v>
      </c>
      <c r="E122" s="3474">
        <v>9.8000000000000004E-2</v>
      </c>
      <c r="F122" s="3474">
        <v>0.1</v>
      </c>
      <c r="G122" s="3475">
        <v>0.1</v>
      </c>
    </row>
    <row r="123" spans="1:7">
      <c r="A123" s="3484" t="s">
        <v>1152</v>
      </c>
      <c r="B123" s="3473" t="s">
        <v>2847</v>
      </c>
      <c r="C123" s="3474">
        <v>0.1</v>
      </c>
      <c r="D123" s="3474">
        <v>0.1</v>
      </c>
      <c r="E123" s="3474">
        <v>9.8000000000000004E-2</v>
      </c>
      <c r="F123" s="3474">
        <v>0.1</v>
      </c>
      <c r="G123" s="3475">
        <v>0.1</v>
      </c>
    </row>
    <row r="124" spans="1:7">
      <c r="A124" s="3484" t="s">
        <v>1152</v>
      </c>
      <c r="B124" s="3473" t="s">
        <v>2848</v>
      </c>
      <c r="C124" s="3474">
        <v>0.1</v>
      </c>
      <c r="D124" s="3474">
        <v>0.1</v>
      </c>
      <c r="E124" s="3474">
        <v>9.8000000000000004E-2</v>
      </c>
      <c r="F124" s="3490"/>
      <c r="G124" s="3475">
        <v>0.1</v>
      </c>
    </row>
    <row r="125" spans="1:7">
      <c r="A125" s="3484" t="s">
        <v>1152</v>
      </c>
      <c r="B125" s="3473" t="s">
        <v>2849</v>
      </c>
      <c r="C125" s="3474">
        <v>9.8000000000000004E-2</v>
      </c>
      <c r="D125" s="3474">
        <v>9.8000000000000004E-2</v>
      </c>
      <c r="E125" s="3474">
        <v>9.6000000000000002E-2</v>
      </c>
      <c r="F125" s="3490"/>
      <c r="G125" s="3475">
        <v>0.1</v>
      </c>
    </row>
    <row r="126" spans="1:7" ht="14.25" thickBot="1">
      <c r="A126" s="3487" t="s">
        <v>1152</v>
      </c>
      <c r="B126" s="3477" t="s">
        <v>3045</v>
      </c>
      <c r="C126" s="3478">
        <v>0.1</v>
      </c>
      <c r="D126" s="3478">
        <v>0.1</v>
      </c>
      <c r="E126" s="3478">
        <v>9.8000000000000004E-2</v>
      </c>
      <c r="F126" s="3478">
        <v>0.1</v>
      </c>
      <c r="G126" s="3480">
        <v>0.1</v>
      </c>
    </row>
    <row r="127" spans="1:7">
      <c r="A127" s="3483" t="s">
        <v>1153</v>
      </c>
      <c r="B127" s="3469" t="s">
        <v>3046</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3047</v>
      </c>
      <c r="C148" s="3474">
        <v>0.13</v>
      </c>
      <c r="D148" s="3474">
        <v>0.13</v>
      </c>
      <c r="E148" s="3474">
        <v>0.13</v>
      </c>
      <c r="F148" s="3485"/>
      <c r="G148" s="3475">
        <v>0.13</v>
      </c>
    </row>
    <row r="149" spans="1:7">
      <c r="A149" s="3484" t="s">
        <v>1153</v>
      </c>
      <c r="B149" s="3473" t="s">
        <v>3048</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2854</v>
      </c>
      <c r="C153" s="3474">
        <v>0.13</v>
      </c>
      <c r="D153" s="3474">
        <v>0.13</v>
      </c>
      <c r="E153" s="3474">
        <v>0.13</v>
      </c>
      <c r="F153" s="3474">
        <v>0.13</v>
      </c>
      <c r="G153" s="3475">
        <v>0.13</v>
      </c>
    </row>
    <row r="154" spans="1:7">
      <c r="A154" s="3484" t="s">
        <v>1153</v>
      </c>
      <c r="B154" s="3473" t="s">
        <v>3049</v>
      </c>
      <c r="C154" s="3474">
        <v>0.121</v>
      </c>
      <c r="D154" s="3474">
        <v>0.121</v>
      </c>
      <c r="E154" s="3474">
        <v>0.105</v>
      </c>
      <c r="F154" s="3474">
        <v>0.121</v>
      </c>
      <c r="G154" s="3475">
        <v>0.123</v>
      </c>
    </row>
    <row r="155" spans="1:7">
      <c r="A155" s="3484" t="s">
        <v>1153</v>
      </c>
      <c r="B155" s="3473" t="s">
        <v>2856</v>
      </c>
      <c r="C155" s="3474">
        <v>0.1</v>
      </c>
      <c r="D155" s="3474">
        <v>0.1</v>
      </c>
      <c r="E155" s="3474">
        <v>0.1</v>
      </c>
      <c r="F155" s="3474">
        <v>0.1</v>
      </c>
      <c r="G155" s="3475">
        <v>0.1</v>
      </c>
    </row>
    <row r="156" spans="1:7">
      <c r="A156" s="3484" t="s">
        <v>1153</v>
      </c>
      <c r="B156" s="3473" t="s">
        <v>3050</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3051</v>
      </c>
      <c r="C160" s="3474">
        <v>0.13</v>
      </c>
      <c r="D160" s="3474">
        <v>0.13</v>
      </c>
      <c r="E160" s="3474">
        <v>0.124</v>
      </c>
      <c r="F160" s="3474">
        <v>0.126</v>
      </c>
      <c r="G160" s="3475">
        <v>0.13</v>
      </c>
    </row>
    <row r="161" spans="1:7">
      <c r="A161" s="3484" t="s">
        <v>1153</v>
      </c>
      <c r="B161" s="3473" t="s">
        <v>2859</v>
      </c>
      <c r="C161" s="3474">
        <v>0.13</v>
      </c>
      <c r="D161" s="3474">
        <v>0.13</v>
      </c>
      <c r="E161" s="3474">
        <v>0.124</v>
      </c>
      <c r="F161" s="3474">
        <v>0.127</v>
      </c>
      <c r="G161" s="3475">
        <v>0.13</v>
      </c>
    </row>
    <row r="162" spans="1:7">
      <c r="A162" s="3484" t="s">
        <v>1153</v>
      </c>
      <c r="B162" s="3473" t="s">
        <v>2860</v>
      </c>
      <c r="C162" s="3474">
        <v>0.1</v>
      </c>
      <c r="D162" s="3474">
        <v>0.1</v>
      </c>
      <c r="E162" s="3474">
        <v>0.1</v>
      </c>
      <c r="F162" s="3474">
        <v>0.121</v>
      </c>
      <c r="G162" s="3475">
        <v>0.105</v>
      </c>
    </row>
    <row r="163" spans="1:7">
      <c r="A163" s="3484" t="s">
        <v>1153</v>
      </c>
      <c r="B163" s="3473" t="s">
        <v>2861</v>
      </c>
      <c r="C163" s="3474">
        <v>0.1</v>
      </c>
      <c r="D163" s="3474">
        <v>0.1</v>
      </c>
      <c r="E163" s="3474">
        <v>0.1</v>
      </c>
      <c r="F163" s="3474">
        <v>0.1</v>
      </c>
      <c r="G163" s="3475">
        <v>0.1</v>
      </c>
    </row>
    <row r="164" spans="1:7">
      <c r="A164" s="3484" t="s">
        <v>1153</v>
      </c>
      <c r="B164" s="3473" t="s">
        <v>2862</v>
      </c>
      <c r="C164" s="3490"/>
      <c r="D164" s="3490"/>
      <c r="E164" s="3490"/>
      <c r="F164" s="3474">
        <v>0.1</v>
      </c>
      <c r="G164" s="3486"/>
    </row>
    <row r="165" spans="1:7">
      <c r="A165" s="3484" t="s">
        <v>1153</v>
      </c>
      <c r="B165" s="3473" t="s">
        <v>3052</v>
      </c>
      <c r="C165" s="3474">
        <v>0.126</v>
      </c>
      <c r="D165" s="3474">
        <v>0.126</v>
      </c>
      <c r="E165" s="3474">
        <v>0.11899999999999999</v>
      </c>
      <c r="F165" s="3474">
        <v>0.13</v>
      </c>
      <c r="G165" s="3475">
        <v>0.128</v>
      </c>
    </row>
    <row r="166" spans="1:7">
      <c r="A166" s="3484" t="s">
        <v>1153</v>
      </c>
      <c r="B166" s="3473" t="s">
        <v>2864</v>
      </c>
      <c r="C166" s="3474">
        <v>0.129</v>
      </c>
      <c r="D166" s="3474">
        <v>0.129</v>
      </c>
      <c r="E166" s="3474">
        <v>0.123</v>
      </c>
      <c r="F166" s="3474">
        <v>0.128</v>
      </c>
      <c r="G166" s="3475">
        <v>0.13</v>
      </c>
    </row>
    <row r="167" spans="1:7">
      <c r="A167" s="3484" t="s">
        <v>1153</v>
      </c>
      <c r="B167" s="3473" t="s">
        <v>2865</v>
      </c>
      <c r="C167" s="3474">
        <v>0.125</v>
      </c>
      <c r="D167" s="3474">
        <v>0.125</v>
      </c>
      <c r="E167" s="3474">
        <v>0.11700000000000001</v>
      </c>
      <c r="F167" s="3474">
        <v>0.13</v>
      </c>
      <c r="G167" s="3475">
        <v>0.126</v>
      </c>
    </row>
    <row r="168" spans="1:7">
      <c r="A168" s="3484" t="s">
        <v>1153</v>
      </c>
      <c r="B168" s="3473" t="s">
        <v>2866</v>
      </c>
      <c r="C168" s="3474">
        <v>0.128</v>
      </c>
      <c r="D168" s="3474">
        <v>0.128</v>
      </c>
      <c r="E168" s="3474">
        <v>0.123</v>
      </c>
      <c r="F168" s="3485"/>
      <c r="G168" s="3475">
        <v>0.13</v>
      </c>
    </row>
    <row r="169" spans="1:7">
      <c r="A169" s="3484" t="s">
        <v>1153</v>
      </c>
      <c r="B169" s="3473" t="s">
        <v>3053</v>
      </c>
      <c r="C169" s="3490"/>
      <c r="D169" s="3490"/>
      <c r="E169" s="3490"/>
      <c r="F169" s="3474">
        <v>0.05</v>
      </c>
      <c r="G169" s="3486"/>
    </row>
    <row r="170" spans="1:7">
      <c r="A170" s="3484" t="s">
        <v>1153</v>
      </c>
      <c r="B170" s="3473" t="s">
        <v>3054</v>
      </c>
      <c r="C170" s="3490"/>
      <c r="D170" s="3490"/>
      <c r="E170" s="3490"/>
      <c r="F170" s="3474">
        <v>0.05</v>
      </c>
      <c r="G170" s="3486"/>
    </row>
    <row r="171" spans="1:7">
      <c r="A171" s="3484" t="s">
        <v>1153</v>
      </c>
      <c r="B171" s="3473" t="s">
        <v>3055</v>
      </c>
      <c r="C171" s="3490"/>
      <c r="D171" s="3490"/>
      <c r="E171" s="3490"/>
      <c r="F171" s="3474">
        <v>0.05</v>
      </c>
      <c r="G171" s="3491"/>
    </row>
    <row r="172" spans="1:7">
      <c r="A172" s="3484" t="s">
        <v>1153</v>
      </c>
      <c r="B172" s="3473" t="s">
        <v>3056</v>
      </c>
      <c r="C172" s="3490"/>
      <c r="D172" s="3490"/>
      <c r="E172" s="3490"/>
      <c r="F172" s="3474">
        <v>0.05</v>
      </c>
      <c r="G172" s="3491"/>
    </row>
    <row r="173" spans="1:7">
      <c r="A173" s="3484" t="s">
        <v>1153</v>
      </c>
      <c r="B173" s="3473" t="s">
        <v>3057</v>
      </c>
      <c r="C173" s="3490"/>
      <c r="D173" s="3490"/>
      <c r="E173" s="3490"/>
      <c r="F173" s="3474">
        <v>0.05</v>
      </c>
      <c r="G173" s="3486"/>
    </row>
    <row r="174" spans="1:7">
      <c r="A174" s="3484" t="s">
        <v>1153</v>
      </c>
      <c r="B174" s="3473" t="s">
        <v>3058</v>
      </c>
      <c r="C174" s="3490"/>
      <c r="D174" s="3490"/>
      <c r="E174" s="3490"/>
      <c r="F174" s="3474">
        <v>0.05</v>
      </c>
      <c r="G174" s="3486"/>
    </row>
    <row r="175" spans="1:7">
      <c r="A175" s="3484" t="s">
        <v>1153</v>
      </c>
      <c r="B175" s="3473" t="s">
        <v>3059</v>
      </c>
      <c r="C175" s="3490"/>
      <c r="D175" s="3490"/>
      <c r="E175" s="3490"/>
      <c r="F175" s="3474">
        <v>0.05</v>
      </c>
      <c r="G175" s="3486"/>
    </row>
    <row r="176" spans="1:7">
      <c r="A176" s="3484" t="s">
        <v>1153</v>
      </c>
      <c r="B176" s="3473" t="s">
        <v>3060</v>
      </c>
      <c r="C176" s="3490"/>
      <c r="D176" s="3490"/>
      <c r="E176" s="3490"/>
      <c r="F176" s="3474">
        <v>0.05</v>
      </c>
      <c r="G176" s="3486"/>
    </row>
    <row r="177" spans="1:7">
      <c r="A177" s="3484" t="s">
        <v>1153</v>
      </c>
      <c r="B177" s="3473" t="s">
        <v>3061</v>
      </c>
      <c r="C177" s="3485"/>
      <c r="D177" s="3485"/>
      <c r="E177" s="3485"/>
      <c r="F177" s="3474">
        <v>0.05</v>
      </c>
      <c r="G177" s="3491"/>
    </row>
    <row r="178" spans="1:7">
      <c r="A178" s="3484" t="s">
        <v>1153</v>
      </c>
      <c r="B178" s="3473" t="s">
        <v>3062</v>
      </c>
      <c r="C178" s="3485"/>
      <c r="D178" s="3485"/>
      <c r="E178" s="3485"/>
      <c r="F178" s="3474">
        <v>0.05</v>
      </c>
      <c r="G178" s="3491"/>
    </row>
    <row r="179" spans="1:7">
      <c r="A179" s="3484" t="s">
        <v>1153</v>
      </c>
      <c r="B179" s="3473" t="s">
        <v>3063</v>
      </c>
      <c r="C179" s="3485"/>
      <c r="D179" s="3485"/>
      <c r="E179" s="3485"/>
      <c r="F179" s="3474">
        <v>0.05</v>
      </c>
      <c r="G179" s="3491"/>
    </row>
    <row r="180" spans="1:7">
      <c r="A180" s="3484" t="s">
        <v>1153</v>
      </c>
      <c r="B180" s="3473" t="s">
        <v>3064</v>
      </c>
      <c r="C180" s="3485"/>
      <c r="D180" s="3485"/>
      <c r="E180" s="3485"/>
      <c r="F180" s="3474">
        <v>0.05</v>
      </c>
      <c r="G180" s="3491"/>
    </row>
    <row r="181" spans="1:7">
      <c r="A181" s="3484" t="s">
        <v>1153</v>
      </c>
      <c r="B181" s="3473" t="s">
        <v>3065</v>
      </c>
      <c r="C181" s="3485"/>
      <c r="D181" s="3485"/>
      <c r="E181" s="3485"/>
      <c r="F181" s="3474">
        <v>0.05</v>
      </c>
      <c r="G181" s="3491"/>
    </row>
    <row r="182" spans="1:7">
      <c r="A182" s="3484" t="s">
        <v>1153</v>
      </c>
      <c r="B182" s="3473" t="s">
        <v>3066</v>
      </c>
      <c r="C182" s="3485"/>
      <c r="D182" s="3485"/>
      <c r="E182" s="3485"/>
      <c r="F182" s="3474">
        <v>0.05</v>
      </c>
      <c r="G182" s="3491"/>
    </row>
    <row r="183" spans="1:7">
      <c r="A183" s="3484" t="s">
        <v>1153</v>
      </c>
      <c r="B183" s="3473" t="s">
        <v>3067</v>
      </c>
      <c r="C183" s="3485"/>
      <c r="D183" s="3485"/>
      <c r="E183" s="3485"/>
      <c r="F183" s="3474">
        <v>0.05</v>
      </c>
      <c r="G183" s="3491"/>
    </row>
    <row r="184" spans="1:7">
      <c r="A184" s="3484" t="s">
        <v>1153</v>
      </c>
      <c r="B184" s="3473" t="s">
        <v>3068</v>
      </c>
      <c r="C184" s="3485"/>
      <c r="D184" s="3485"/>
      <c r="E184" s="3485"/>
      <c r="F184" s="3474">
        <v>0.05</v>
      </c>
      <c r="G184" s="3491"/>
    </row>
    <row r="185" spans="1:7">
      <c r="A185" s="3484" t="s">
        <v>1153</v>
      </c>
      <c r="B185" s="3473" t="s">
        <v>3069</v>
      </c>
      <c r="C185" s="3485"/>
      <c r="D185" s="3485"/>
      <c r="E185" s="3485"/>
      <c r="F185" s="3474">
        <v>0.05</v>
      </c>
      <c r="G185" s="3491"/>
    </row>
    <row r="186" spans="1:7">
      <c r="A186" s="3484" t="s">
        <v>1153</v>
      </c>
      <c r="B186" s="3473" t="s">
        <v>3070</v>
      </c>
      <c r="C186" s="3485"/>
      <c r="D186" s="3485"/>
      <c r="E186" s="3485"/>
      <c r="F186" s="3474">
        <v>0.05</v>
      </c>
      <c r="G186" s="3491"/>
    </row>
    <row r="187" spans="1:7">
      <c r="A187" s="3484" t="s">
        <v>1153</v>
      </c>
      <c r="B187" s="3473" t="s">
        <v>3071</v>
      </c>
      <c r="C187" s="3485"/>
      <c r="D187" s="3485"/>
      <c r="E187" s="3485"/>
      <c r="F187" s="3474">
        <v>0.05</v>
      </c>
      <c r="G187" s="3491"/>
    </row>
    <row r="188" spans="1:7">
      <c r="A188" s="3484" t="s">
        <v>1153</v>
      </c>
      <c r="B188" s="3473" t="s">
        <v>3072</v>
      </c>
      <c r="C188" s="3485"/>
      <c r="D188" s="3485"/>
      <c r="E188" s="3485"/>
      <c r="F188" s="3474">
        <v>0.05</v>
      </c>
      <c r="G188" s="3491"/>
    </row>
    <row r="189" spans="1:7" ht="14.25" thickBot="1">
      <c r="A189" s="3487" t="s">
        <v>1153</v>
      </c>
      <c r="B189" s="3477" t="s">
        <v>3073</v>
      </c>
      <c r="C189" s="3479"/>
      <c r="D189" s="3479"/>
      <c r="E189" s="3479"/>
      <c r="F189" s="3478">
        <v>0.05</v>
      </c>
      <c r="G189" s="3492"/>
    </row>
    <row r="190" spans="1:7">
      <c r="A190" s="3483" t="s">
        <v>1154</v>
      </c>
      <c r="B190" s="3469" t="s">
        <v>3074</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3075</v>
      </c>
      <c r="C199" s="3474">
        <v>0.13</v>
      </c>
      <c r="D199" s="3474">
        <v>0.13</v>
      </c>
      <c r="E199" s="3474">
        <v>0.13</v>
      </c>
      <c r="F199" s="3474">
        <v>0.13</v>
      </c>
      <c r="G199" s="3475">
        <v>0.13</v>
      </c>
    </row>
    <row r="200" spans="1:7">
      <c r="A200" s="3484" t="s">
        <v>1154</v>
      </c>
      <c r="B200" s="3473" t="s">
        <v>2890</v>
      </c>
      <c r="C200" s="3490"/>
      <c r="D200" s="3490"/>
      <c r="E200" s="3490"/>
      <c r="F200" s="3474">
        <v>0.13</v>
      </c>
      <c r="G200" s="3486"/>
    </row>
    <row r="201" spans="1:7">
      <c r="A201" s="3484" t="s">
        <v>1154</v>
      </c>
      <c r="B201" s="3473" t="s">
        <v>3076</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3077</v>
      </c>
      <c r="C203" s="3474">
        <v>0.129</v>
      </c>
      <c r="D203" s="3474">
        <v>0.129</v>
      </c>
      <c r="E203" s="3474">
        <v>0.13</v>
      </c>
      <c r="F203" s="3474">
        <v>0.13</v>
      </c>
      <c r="G203" s="3475">
        <v>0.13</v>
      </c>
    </row>
    <row r="204" spans="1:7">
      <c r="A204" s="3484" t="s">
        <v>1154</v>
      </c>
      <c r="B204" s="3473" t="s">
        <v>2893</v>
      </c>
      <c r="C204" s="3474">
        <v>0.129</v>
      </c>
      <c r="D204" s="3474">
        <v>0.129</v>
      </c>
      <c r="E204" s="3474">
        <v>0.123</v>
      </c>
      <c r="F204" s="3474">
        <v>0.13</v>
      </c>
      <c r="G204" s="3475">
        <v>0.13</v>
      </c>
    </row>
    <row r="205" spans="1:7">
      <c r="A205" s="3484" t="s">
        <v>1154</v>
      </c>
      <c r="B205" s="3473" t="s">
        <v>2894</v>
      </c>
      <c r="C205" s="3474">
        <v>0.13</v>
      </c>
      <c r="D205" s="3474">
        <v>0.13</v>
      </c>
      <c r="E205" s="3474">
        <v>0.13</v>
      </c>
      <c r="F205" s="3474">
        <v>0.13</v>
      </c>
      <c r="G205" s="3475">
        <v>0.13</v>
      </c>
    </row>
    <row r="206" spans="1:7">
      <c r="A206" s="3484" t="s">
        <v>1154</v>
      </c>
      <c r="B206" s="3473" t="s">
        <v>2895</v>
      </c>
      <c r="C206" s="3474">
        <v>0.13</v>
      </c>
      <c r="D206" s="3474">
        <v>0.13</v>
      </c>
      <c r="E206" s="3474">
        <v>0.13</v>
      </c>
      <c r="F206" s="3474">
        <v>0.128</v>
      </c>
      <c r="G206" s="3475">
        <v>0.13</v>
      </c>
    </row>
    <row r="207" spans="1:7">
      <c r="A207" s="3484" t="s">
        <v>1154</v>
      </c>
      <c r="B207" s="3473" t="s">
        <v>2896</v>
      </c>
      <c r="C207" s="3474">
        <v>0.13</v>
      </c>
      <c r="D207" s="3474">
        <v>0.13</v>
      </c>
      <c r="E207" s="3474">
        <v>0.13</v>
      </c>
      <c r="F207" s="3474">
        <v>0.13</v>
      </c>
      <c r="G207" s="3475">
        <v>0.13</v>
      </c>
    </row>
    <row r="208" spans="1:7">
      <c r="A208" s="3484" t="s">
        <v>1154</v>
      </c>
      <c r="B208" s="3473" t="s">
        <v>3078</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2898</v>
      </c>
      <c r="C210" s="3474">
        <v>0.121</v>
      </c>
      <c r="D210" s="3474">
        <v>0.121</v>
      </c>
      <c r="E210" s="3474">
        <v>0.125</v>
      </c>
      <c r="F210" s="3474">
        <v>0.13</v>
      </c>
      <c r="G210" s="3475">
        <v>0.123</v>
      </c>
    </row>
    <row r="211" spans="1:7">
      <c r="A211" s="3484" t="s">
        <v>1154</v>
      </c>
      <c r="B211" s="3473" t="s">
        <v>3079</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3080</v>
      </c>
      <c r="C214" s="3474">
        <v>0.128</v>
      </c>
      <c r="D214" s="3474">
        <v>0.128</v>
      </c>
      <c r="E214" s="3474">
        <v>0.13</v>
      </c>
      <c r="F214" s="3474">
        <v>0.13</v>
      </c>
      <c r="G214" s="3475">
        <v>0.13</v>
      </c>
    </row>
    <row r="215" spans="1:7">
      <c r="A215" s="3484" t="s">
        <v>1154</v>
      </c>
      <c r="B215" s="3473" t="s">
        <v>3081</v>
      </c>
      <c r="C215" s="3474">
        <v>0.13</v>
      </c>
      <c r="D215" s="3474">
        <v>0.13</v>
      </c>
      <c r="E215" s="3474">
        <v>0.13</v>
      </c>
      <c r="F215" s="3474">
        <v>0.129</v>
      </c>
      <c r="G215" s="3475">
        <v>0.13</v>
      </c>
    </row>
    <row r="216" spans="1:7">
      <c r="A216" s="3484" t="s">
        <v>1154</v>
      </c>
      <c r="B216" s="3473" t="s">
        <v>3082</v>
      </c>
      <c r="C216" s="3474">
        <v>0.13</v>
      </c>
      <c r="D216" s="3474">
        <v>0.13</v>
      </c>
      <c r="E216" s="3474">
        <v>0.13</v>
      </c>
      <c r="F216" s="3474">
        <v>0.13</v>
      </c>
      <c r="G216" s="3475">
        <v>0.13</v>
      </c>
    </row>
    <row r="217" spans="1:7">
      <c r="A217" s="3484" t="s">
        <v>1154</v>
      </c>
      <c r="B217" s="3473" t="s">
        <v>2902</v>
      </c>
      <c r="C217" s="3474">
        <v>0.129</v>
      </c>
      <c r="D217" s="3474">
        <v>0.129</v>
      </c>
      <c r="E217" s="3474">
        <v>0.13</v>
      </c>
      <c r="F217" s="3474">
        <v>0.13</v>
      </c>
      <c r="G217" s="3475">
        <v>0.13</v>
      </c>
    </row>
    <row r="218" spans="1:7">
      <c r="A218" s="3484" t="s">
        <v>1154</v>
      </c>
      <c r="B218" s="3473" t="s">
        <v>3083</v>
      </c>
      <c r="C218" s="3485"/>
      <c r="D218" s="3485"/>
      <c r="E218" s="3485"/>
      <c r="F218" s="3474">
        <v>0.05</v>
      </c>
      <c r="G218" s="3491"/>
    </row>
    <row r="219" spans="1:7">
      <c r="A219" s="3484" t="s">
        <v>1154</v>
      </c>
      <c r="B219" s="3473" t="s">
        <v>3084</v>
      </c>
      <c r="C219" s="3485"/>
      <c r="D219" s="3485"/>
      <c r="E219" s="3485"/>
      <c r="F219" s="3474">
        <v>0.05</v>
      </c>
      <c r="G219" s="3491"/>
    </row>
    <row r="220" spans="1:7">
      <c r="A220" s="3484" t="s">
        <v>1154</v>
      </c>
      <c r="B220" s="3473" t="s">
        <v>3085</v>
      </c>
      <c r="C220" s="3485"/>
      <c r="D220" s="3485"/>
      <c r="E220" s="3485"/>
      <c r="F220" s="3474">
        <v>0.05</v>
      </c>
      <c r="G220" s="3491"/>
    </row>
    <row r="221" spans="1:7">
      <c r="A221" s="3484" t="s">
        <v>1154</v>
      </c>
      <c r="B221" s="3473" t="s">
        <v>3086</v>
      </c>
      <c r="C221" s="3485"/>
      <c r="D221" s="3485"/>
      <c r="E221" s="3485"/>
      <c r="F221" s="3474">
        <v>0.05</v>
      </c>
      <c r="G221" s="3491"/>
    </row>
    <row r="222" spans="1:7">
      <c r="A222" s="3484" t="s">
        <v>1154</v>
      </c>
      <c r="B222" s="3473" t="s">
        <v>3087</v>
      </c>
      <c r="C222" s="3485"/>
      <c r="D222" s="3485"/>
      <c r="E222" s="3485"/>
      <c r="F222" s="3474">
        <v>0.05</v>
      </c>
      <c r="G222" s="3491"/>
    </row>
    <row r="223" spans="1:7">
      <c r="A223" s="3484" t="s">
        <v>1154</v>
      </c>
      <c r="B223" s="3473" t="s">
        <v>3088</v>
      </c>
      <c r="C223" s="3485"/>
      <c r="D223" s="3485"/>
      <c r="E223" s="3485"/>
      <c r="F223" s="3474">
        <v>0.05</v>
      </c>
      <c r="G223" s="3491"/>
    </row>
    <row r="224" spans="1:7">
      <c r="A224" s="3484" t="s">
        <v>1154</v>
      </c>
      <c r="B224" s="3473" t="s">
        <v>3089</v>
      </c>
      <c r="C224" s="3485"/>
      <c r="D224" s="3485"/>
      <c r="E224" s="3485"/>
      <c r="F224" s="3474">
        <v>0.05</v>
      </c>
      <c r="G224" s="3491"/>
    </row>
    <row r="225" spans="1:7">
      <c r="A225" s="3484" t="s">
        <v>1154</v>
      </c>
      <c r="B225" s="3473" t="s">
        <v>3090</v>
      </c>
      <c r="C225" s="3485"/>
      <c r="D225" s="3485"/>
      <c r="E225" s="3485"/>
      <c r="F225" s="3474">
        <v>0.05</v>
      </c>
      <c r="G225" s="3491"/>
    </row>
    <row r="226" spans="1:7">
      <c r="A226" s="3484" t="s">
        <v>1154</v>
      </c>
      <c r="B226" s="3473" t="s">
        <v>3091</v>
      </c>
      <c r="C226" s="3485"/>
      <c r="D226" s="3485"/>
      <c r="E226" s="3485"/>
      <c r="F226" s="3474">
        <v>0.05</v>
      </c>
      <c r="G226" s="3491"/>
    </row>
    <row r="227" spans="1:7">
      <c r="A227" s="3484" t="s">
        <v>1154</v>
      </c>
      <c r="B227" s="3473" t="s">
        <v>3092</v>
      </c>
      <c r="C227" s="3485"/>
      <c r="D227" s="3485"/>
      <c r="E227" s="3485"/>
      <c r="F227" s="3474">
        <v>0.05</v>
      </c>
      <c r="G227" s="3491"/>
    </row>
    <row r="228" spans="1:7">
      <c r="A228" s="3484" t="s">
        <v>1154</v>
      </c>
      <c r="B228" s="3473" t="s">
        <v>3093</v>
      </c>
      <c r="C228" s="3485"/>
      <c r="D228" s="3485"/>
      <c r="E228" s="3485"/>
      <c r="F228" s="3474">
        <v>0.05</v>
      </c>
      <c r="G228" s="3491"/>
    </row>
    <row r="229" spans="1:7">
      <c r="A229" s="3484" t="s">
        <v>1154</v>
      </c>
      <c r="B229" s="3473" t="s">
        <v>3094</v>
      </c>
      <c r="C229" s="3485"/>
      <c r="D229" s="3485"/>
      <c r="E229" s="3485"/>
      <c r="F229" s="3474">
        <v>0.05</v>
      </c>
      <c r="G229" s="3491"/>
    </row>
    <row r="230" spans="1:7">
      <c r="A230" s="3484" t="s">
        <v>1154</v>
      </c>
      <c r="B230" s="3473" t="s">
        <v>3095</v>
      </c>
      <c r="C230" s="3485"/>
      <c r="D230" s="3485"/>
      <c r="E230" s="3485"/>
      <c r="F230" s="3474">
        <v>0.05</v>
      </c>
      <c r="G230" s="3491"/>
    </row>
    <row r="231" spans="1:7">
      <c r="A231" s="3484" t="s">
        <v>1154</v>
      </c>
      <c r="B231" s="3473" t="s">
        <v>3096</v>
      </c>
      <c r="C231" s="3485"/>
      <c r="D231" s="3485"/>
      <c r="E231" s="3485"/>
      <c r="F231" s="3474">
        <v>0.05</v>
      </c>
      <c r="G231" s="3491"/>
    </row>
    <row r="232" spans="1:7">
      <c r="A232" s="3484" t="s">
        <v>1154</v>
      </c>
      <c r="B232" s="3473" t="s">
        <v>3097</v>
      </c>
      <c r="C232" s="3485"/>
      <c r="D232" s="3485"/>
      <c r="E232" s="3485"/>
      <c r="F232" s="3474">
        <v>0.05</v>
      </c>
      <c r="G232" s="3491"/>
    </row>
    <row r="233" spans="1:7" ht="14.25" thickBot="1">
      <c r="A233" s="3487" t="s">
        <v>1154</v>
      </c>
      <c r="B233" s="3477" t="s">
        <v>3098</v>
      </c>
      <c r="C233" s="3479"/>
      <c r="D233" s="3479"/>
      <c r="E233" s="3479"/>
      <c r="F233" s="3478">
        <v>0.05</v>
      </c>
      <c r="G233" s="3492"/>
    </row>
    <row r="234" spans="1:7">
      <c r="A234" s="3483" t="s">
        <v>1155</v>
      </c>
      <c r="B234" s="3469" t="s">
        <v>3099</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2920</v>
      </c>
      <c r="C238" s="3474">
        <v>0.14899999999999999</v>
      </c>
      <c r="D238" s="3474">
        <v>0.14899999999999999</v>
      </c>
      <c r="E238" s="3474">
        <v>0.15</v>
      </c>
      <c r="F238" s="3474">
        <v>0.15</v>
      </c>
      <c r="G238" s="3475">
        <v>0.15</v>
      </c>
    </row>
    <row r="239" spans="1:7">
      <c r="A239" s="3484" t="s">
        <v>1155</v>
      </c>
      <c r="B239" s="3473" t="s">
        <v>3100</v>
      </c>
      <c r="C239" s="3474">
        <v>0.15</v>
      </c>
      <c r="D239" s="3474">
        <v>0.15</v>
      </c>
      <c r="E239" s="3474">
        <v>0.15</v>
      </c>
      <c r="F239" s="3474">
        <v>0.15</v>
      </c>
      <c r="G239" s="3475">
        <v>0.15</v>
      </c>
    </row>
    <row r="240" spans="1:7">
      <c r="A240" s="3484" t="s">
        <v>1155</v>
      </c>
      <c r="B240" s="3473" t="s">
        <v>3101</v>
      </c>
      <c r="C240" s="3474">
        <v>0.15</v>
      </c>
      <c r="D240" s="3474">
        <v>0.15</v>
      </c>
      <c r="E240" s="3474">
        <v>0.15</v>
      </c>
      <c r="F240" s="3474">
        <v>0.15</v>
      </c>
      <c r="G240" s="3475">
        <v>0.15</v>
      </c>
    </row>
    <row r="241" spans="1:7">
      <c r="A241" s="3484" t="s">
        <v>1155</v>
      </c>
      <c r="B241" s="3473" t="s">
        <v>3102</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3103</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3104</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3105</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3106</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3107</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2929</v>
      </c>
      <c r="C258" s="3474">
        <v>0.14299999999999999</v>
      </c>
      <c r="D258" s="3474">
        <v>0.14299999999999999</v>
      </c>
      <c r="E258" s="3474">
        <v>0.15</v>
      </c>
      <c r="F258" s="3474">
        <v>0.14799999999999999</v>
      </c>
      <c r="G258" s="3475">
        <v>0.14599999999999999</v>
      </c>
    </row>
    <row r="259" spans="1:7">
      <c r="A259" s="3484" t="s">
        <v>1155</v>
      </c>
      <c r="B259" s="3473" t="s">
        <v>3108</v>
      </c>
      <c r="C259" s="3474">
        <v>0.14399999999999999</v>
      </c>
      <c r="D259" s="3474">
        <v>0.14399999999999999</v>
      </c>
      <c r="E259" s="3474">
        <v>0.14899999999999999</v>
      </c>
      <c r="F259" s="3474">
        <v>0.14699999999999999</v>
      </c>
      <c r="G259" s="3475">
        <v>0.14599999999999999</v>
      </c>
    </row>
    <row r="260" spans="1:7">
      <c r="A260" s="3484" t="s">
        <v>1155</v>
      </c>
      <c r="B260" s="3473" t="s">
        <v>3109</v>
      </c>
      <c r="C260" s="3474">
        <v>0.109</v>
      </c>
      <c r="D260" s="3474">
        <v>0.111</v>
      </c>
      <c r="E260" s="3474">
        <v>0.13100000000000001</v>
      </c>
      <c r="F260" s="3474">
        <v>0.126</v>
      </c>
      <c r="G260" s="3475">
        <v>0.11899999999999999</v>
      </c>
    </row>
    <row r="261" spans="1:7">
      <c r="A261" s="3484" t="s">
        <v>1155</v>
      </c>
      <c r="B261" s="3473" t="s">
        <v>3110</v>
      </c>
      <c r="C261" s="3474">
        <v>0.1</v>
      </c>
      <c r="D261" s="3474">
        <v>0.1</v>
      </c>
      <c r="E261" s="3474">
        <v>0.11799999999999999</v>
      </c>
      <c r="F261" s="3474">
        <v>0.108</v>
      </c>
      <c r="G261" s="3475">
        <v>0.107</v>
      </c>
    </row>
    <row r="262" spans="1:7">
      <c r="A262" s="3484" t="s">
        <v>1155</v>
      </c>
      <c r="B262" s="3473" t="s">
        <v>3111</v>
      </c>
      <c r="C262" s="3474">
        <v>0.1</v>
      </c>
      <c r="D262" s="3474">
        <v>0.1</v>
      </c>
      <c r="E262" s="3474">
        <v>0.1</v>
      </c>
      <c r="F262" s="3474">
        <v>0.14099999999999999</v>
      </c>
      <c r="G262" s="3475">
        <v>0.1</v>
      </c>
    </row>
    <row r="263" spans="1:7">
      <c r="A263" s="3484" t="s">
        <v>1155</v>
      </c>
      <c r="B263" s="3473" t="s">
        <v>3112</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3113</v>
      </c>
      <c r="C265" s="3485"/>
      <c r="D265" s="3485"/>
      <c r="E265" s="3485"/>
      <c r="F265" s="3474">
        <v>0.05</v>
      </c>
      <c r="G265" s="3491"/>
    </row>
    <row r="266" spans="1:7">
      <c r="A266" s="3484" t="s">
        <v>1155</v>
      </c>
      <c r="B266" s="3473" t="s">
        <v>3114</v>
      </c>
      <c r="C266" s="3485"/>
      <c r="D266" s="3485"/>
      <c r="E266" s="3485"/>
      <c r="F266" s="3474">
        <v>0.05</v>
      </c>
      <c r="G266" s="3491"/>
    </row>
    <row r="267" spans="1:7">
      <c r="A267" s="3484" t="s">
        <v>1155</v>
      </c>
      <c r="B267" s="3473" t="s">
        <v>3115</v>
      </c>
      <c r="C267" s="3485"/>
      <c r="D267" s="3485"/>
      <c r="E267" s="3485"/>
      <c r="F267" s="3474">
        <v>0.05</v>
      </c>
      <c r="G267" s="3491"/>
    </row>
    <row r="268" spans="1:7">
      <c r="A268" s="3484" t="s">
        <v>1155</v>
      </c>
      <c r="B268" s="3473" t="s">
        <v>3116</v>
      </c>
      <c r="C268" s="3485"/>
      <c r="D268" s="3485"/>
      <c r="E268" s="3485"/>
      <c r="F268" s="3474">
        <v>0.05</v>
      </c>
      <c r="G268" s="3491"/>
    </row>
    <row r="269" spans="1:7">
      <c r="A269" s="3484" t="s">
        <v>1155</v>
      </c>
      <c r="B269" s="3473" t="s">
        <v>3117</v>
      </c>
      <c r="C269" s="3485"/>
      <c r="D269" s="3485"/>
      <c r="E269" s="3485"/>
      <c r="F269" s="3474">
        <v>0.05</v>
      </c>
      <c r="G269" s="3491"/>
    </row>
    <row r="270" spans="1:7">
      <c r="A270" s="3484" t="s">
        <v>1155</v>
      </c>
      <c r="B270" s="3473" t="s">
        <v>3118</v>
      </c>
      <c r="C270" s="3485"/>
      <c r="D270" s="3485"/>
      <c r="E270" s="3485"/>
      <c r="F270" s="3474">
        <v>0.05</v>
      </c>
      <c r="G270" s="3491"/>
    </row>
    <row r="271" spans="1:7">
      <c r="A271" s="3484" t="s">
        <v>1155</v>
      </c>
      <c r="B271" s="3473" t="s">
        <v>3119</v>
      </c>
      <c r="C271" s="3485"/>
      <c r="D271" s="3485"/>
      <c r="E271" s="3485"/>
      <c r="F271" s="3474">
        <v>0.05</v>
      </c>
      <c r="G271" s="3491"/>
    </row>
    <row r="272" spans="1:7">
      <c r="A272" s="3484" t="s">
        <v>1155</v>
      </c>
      <c r="B272" s="3473" t="s">
        <v>3120</v>
      </c>
      <c r="C272" s="3485"/>
      <c r="D272" s="3485"/>
      <c r="E272" s="3485"/>
      <c r="F272" s="3474">
        <v>0.05</v>
      </c>
      <c r="G272" s="3491"/>
    </row>
    <row r="273" spans="1:7">
      <c r="A273" s="3484" t="s">
        <v>1155</v>
      </c>
      <c r="B273" s="3473" t="s">
        <v>3121</v>
      </c>
      <c r="C273" s="3485"/>
      <c r="D273" s="3485"/>
      <c r="E273" s="3485"/>
      <c r="F273" s="3474">
        <v>0.05</v>
      </c>
      <c r="G273" s="3491"/>
    </row>
    <row r="274" spans="1:7">
      <c r="A274" s="3484" t="s">
        <v>1155</v>
      </c>
      <c r="B274" s="3473" t="s">
        <v>3122</v>
      </c>
      <c r="C274" s="3485"/>
      <c r="D274" s="3485"/>
      <c r="E274" s="3485"/>
      <c r="F274" s="3474">
        <v>0.05</v>
      </c>
      <c r="G274" s="3491"/>
    </row>
    <row r="275" spans="1:7">
      <c r="A275" s="3484" t="s">
        <v>1155</v>
      </c>
      <c r="B275" s="3473" t="s">
        <v>3123</v>
      </c>
      <c r="C275" s="3485"/>
      <c r="D275" s="3485"/>
      <c r="E275" s="3485"/>
      <c r="F275" s="3474">
        <v>0.05</v>
      </c>
      <c r="G275" s="3491"/>
    </row>
    <row r="276" spans="1:7" ht="14.25" thickBot="1">
      <c r="A276" s="3487" t="s">
        <v>1155</v>
      </c>
      <c r="B276" s="3477" t="s">
        <v>3124</v>
      </c>
      <c r="C276" s="3479"/>
      <c r="D276" s="3479"/>
      <c r="E276" s="3479"/>
      <c r="F276" s="3478">
        <v>0.05</v>
      </c>
      <c r="G276" s="3492"/>
    </row>
    <row r="277" spans="1:7">
      <c r="A277" s="3483" t="s">
        <v>1156</v>
      </c>
      <c r="B277" s="3469" t="s">
        <v>3125</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3126</v>
      </c>
      <c r="C279" s="3474">
        <v>0.15</v>
      </c>
      <c r="D279" s="3474">
        <v>0.15</v>
      </c>
      <c r="E279" s="3474">
        <v>0.15</v>
      </c>
      <c r="F279" s="3474">
        <v>0.15</v>
      </c>
      <c r="G279" s="3475">
        <v>0.15</v>
      </c>
    </row>
    <row r="280" spans="1:7">
      <c r="A280" s="3484" t="s">
        <v>1156</v>
      </c>
      <c r="B280" s="3473" t="s">
        <v>3127</v>
      </c>
      <c r="C280" s="3474">
        <v>0.15</v>
      </c>
      <c r="D280" s="3474">
        <v>0.15</v>
      </c>
      <c r="E280" s="3474">
        <v>0.15</v>
      </c>
      <c r="F280" s="3474">
        <v>0.15</v>
      </c>
      <c r="G280" s="3475">
        <v>0.15</v>
      </c>
    </row>
    <row r="281" spans="1:7">
      <c r="A281" s="3484" t="s">
        <v>1156</v>
      </c>
      <c r="B281" s="3473" t="s">
        <v>3128</v>
      </c>
      <c r="C281" s="3474">
        <v>0.15</v>
      </c>
      <c r="D281" s="3474">
        <v>0.15</v>
      </c>
      <c r="E281" s="3474">
        <v>0.15</v>
      </c>
      <c r="F281" s="3474">
        <v>0.15</v>
      </c>
      <c r="G281" s="3475">
        <v>0.15</v>
      </c>
    </row>
    <row r="282" spans="1:7">
      <c r="A282" s="3484" t="s">
        <v>1156</v>
      </c>
      <c r="B282" s="3473" t="s">
        <v>3129</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3130</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3131</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2954</v>
      </c>
      <c r="C293" s="3474">
        <v>0.15</v>
      </c>
      <c r="D293" s="3474">
        <v>0.15</v>
      </c>
      <c r="E293" s="3474">
        <v>0.15</v>
      </c>
      <c r="F293" s="3474">
        <v>0.14499999999999999</v>
      </c>
      <c r="G293" s="3475">
        <v>0.15</v>
      </c>
    </row>
    <row r="294" spans="1:7">
      <c r="A294" s="3484" t="s">
        <v>1156</v>
      </c>
      <c r="B294" s="3473" t="s">
        <v>3132</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2956</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3133</v>
      </c>
      <c r="C302" s="3474">
        <v>0.15</v>
      </c>
      <c r="D302" s="3474">
        <v>0.15</v>
      </c>
      <c r="E302" s="3474">
        <v>0.15</v>
      </c>
      <c r="F302" s="3474">
        <v>0.14699999999999999</v>
      </c>
      <c r="G302" s="3475">
        <v>0.15</v>
      </c>
    </row>
    <row r="303" spans="1:7">
      <c r="A303" s="3484" t="s">
        <v>1156</v>
      </c>
      <c r="B303" s="3473" t="s">
        <v>2958</v>
      </c>
      <c r="C303" s="3474">
        <v>0.15</v>
      </c>
      <c r="D303" s="3474">
        <v>0.15</v>
      </c>
      <c r="E303" s="3474">
        <v>0.15</v>
      </c>
      <c r="F303" s="3474">
        <v>0.14199999999999999</v>
      </c>
      <c r="G303" s="3475">
        <v>0.15</v>
      </c>
    </row>
    <row r="304" spans="1:7">
      <c r="A304" s="3484" t="s">
        <v>1156</v>
      </c>
      <c r="B304" s="3473" t="s">
        <v>2959</v>
      </c>
      <c r="C304" s="3474">
        <v>0.15</v>
      </c>
      <c r="D304" s="3474">
        <v>0.15</v>
      </c>
      <c r="E304" s="3474">
        <v>0.15</v>
      </c>
      <c r="F304" s="3474">
        <v>0.14499999999999999</v>
      </c>
      <c r="G304" s="3475">
        <v>0.15</v>
      </c>
    </row>
    <row r="305" spans="1:7">
      <c r="A305" s="3484" t="s">
        <v>1156</v>
      </c>
      <c r="B305" s="3473" t="s">
        <v>2960</v>
      </c>
      <c r="C305" s="3474">
        <v>0.15</v>
      </c>
      <c r="D305" s="3474">
        <v>0.15</v>
      </c>
      <c r="E305" s="3474">
        <v>0.15</v>
      </c>
      <c r="F305" s="3474">
        <v>0.111</v>
      </c>
      <c r="G305" s="3475">
        <v>0.15</v>
      </c>
    </row>
    <row r="306" spans="1:7">
      <c r="A306" s="3484" t="s">
        <v>1156</v>
      </c>
      <c r="B306" s="3473" t="s">
        <v>3134</v>
      </c>
      <c r="C306" s="3474">
        <v>0.15</v>
      </c>
      <c r="D306" s="3474">
        <v>0.15</v>
      </c>
      <c r="E306" s="3474">
        <v>0.15</v>
      </c>
      <c r="F306" s="3474">
        <v>0.126</v>
      </c>
      <c r="G306" s="3475">
        <v>0.15</v>
      </c>
    </row>
    <row r="307" spans="1:7">
      <c r="A307" s="3484" t="s">
        <v>1156</v>
      </c>
      <c r="B307" s="3473" t="s">
        <v>2962</v>
      </c>
      <c r="C307" s="3474">
        <v>0.15</v>
      </c>
      <c r="D307" s="3474">
        <v>0.15</v>
      </c>
      <c r="E307" s="3474">
        <v>0.15</v>
      </c>
      <c r="F307" s="3474">
        <v>0.12</v>
      </c>
      <c r="G307" s="3475">
        <v>0.15</v>
      </c>
    </row>
    <row r="308" spans="1:7">
      <c r="A308" s="3484" t="s">
        <v>1156</v>
      </c>
      <c r="B308" s="3473" t="s">
        <v>3135</v>
      </c>
      <c r="C308" s="3474">
        <v>0.15</v>
      </c>
      <c r="D308" s="3474">
        <v>0.15</v>
      </c>
      <c r="E308" s="3474">
        <v>0.15</v>
      </c>
      <c r="F308" s="3474">
        <v>0.13</v>
      </c>
      <c r="G308" s="3475">
        <v>0.15</v>
      </c>
    </row>
    <row r="309" spans="1:7">
      <c r="A309" s="3484" t="s">
        <v>1156</v>
      </c>
      <c r="B309" s="3473" t="s">
        <v>3136</v>
      </c>
      <c r="C309" s="3474">
        <v>0.15</v>
      </c>
      <c r="D309" s="3474">
        <v>0.15</v>
      </c>
      <c r="E309" s="3474">
        <v>0.15</v>
      </c>
      <c r="F309" s="3474">
        <v>0.14099999999999999</v>
      </c>
      <c r="G309" s="3475">
        <v>0.15</v>
      </c>
    </row>
    <row r="310" spans="1:7">
      <c r="A310" s="3484" t="s">
        <v>1156</v>
      </c>
      <c r="B310" s="3473" t="s">
        <v>2965</v>
      </c>
      <c r="C310" s="3474">
        <v>0.15</v>
      </c>
      <c r="D310" s="3474">
        <v>0.15</v>
      </c>
      <c r="E310" s="3474">
        <v>0.15</v>
      </c>
      <c r="F310" s="3474">
        <v>0.15</v>
      </c>
      <c r="G310" s="3475">
        <v>0.15</v>
      </c>
    </row>
    <row r="311" spans="1:7">
      <c r="A311" s="3484" t="s">
        <v>1156</v>
      </c>
      <c r="B311" s="3473" t="s">
        <v>3137</v>
      </c>
      <c r="C311" s="3474">
        <v>0.13200000000000001</v>
      </c>
      <c r="D311" s="3474">
        <v>0.13300000000000001</v>
      </c>
      <c r="E311" s="3474">
        <v>0.14499999999999999</v>
      </c>
      <c r="F311" s="3474">
        <v>0.14199999999999999</v>
      </c>
      <c r="G311" s="3475">
        <v>0.14000000000000001</v>
      </c>
    </row>
    <row r="312" spans="1:7">
      <c r="A312" s="3484" t="s">
        <v>1156</v>
      </c>
      <c r="B312" s="3473" t="s">
        <v>2967</v>
      </c>
      <c r="C312" s="3474">
        <v>0.13800000000000001</v>
      </c>
      <c r="D312" s="3474">
        <v>0.14000000000000001</v>
      </c>
      <c r="E312" s="3474">
        <v>0.14599999999999999</v>
      </c>
      <c r="F312" s="3474">
        <v>0.14899999999999999</v>
      </c>
      <c r="G312" s="3475">
        <v>0.14199999999999999</v>
      </c>
    </row>
    <row r="313" spans="1:7">
      <c r="A313" s="3484" t="s">
        <v>1156</v>
      </c>
      <c r="B313" s="3473" t="s">
        <v>2968</v>
      </c>
      <c r="C313" s="3474">
        <v>0.125</v>
      </c>
      <c r="D313" s="3474">
        <v>0.127</v>
      </c>
      <c r="E313" s="3474">
        <v>0.14399999999999999</v>
      </c>
      <c r="F313" s="3474">
        <v>0.115</v>
      </c>
      <c r="G313" s="3475">
        <v>0.13600000000000001</v>
      </c>
    </row>
    <row r="314" spans="1:7">
      <c r="A314" s="3484" t="s">
        <v>1156</v>
      </c>
      <c r="B314" s="3473" t="s">
        <v>3138</v>
      </c>
      <c r="C314" s="3490"/>
      <c r="D314" s="3490"/>
      <c r="E314" s="3490"/>
      <c r="F314" s="3474">
        <v>0.05</v>
      </c>
      <c r="G314" s="3491"/>
    </row>
    <row r="315" spans="1:7">
      <c r="A315" s="3484" t="s">
        <v>1156</v>
      </c>
      <c r="B315" s="3473" t="s">
        <v>3139</v>
      </c>
      <c r="C315" s="3490"/>
      <c r="D315" s="3490"/>
      <c r="E315" s="3490"/>
      <c r="F315" s="3474">
        <v>0.05</v>
      </c>
      <c r="G315" s="3491"/>
    </row>
    <row r="316" spans="1:7">
      <c r="A316" s="3484" t="s">
        <v>1156</v>
      </c>
      <c r="B316" s="3473" t="s">
        <v>3140</v>
      </c>
      <c r="C316" s="3485"/>
      <c r="D316" s="3485"/>
      <c r="E316" s="3485"/>
      <c r="F316" s="3474">
        <v>0.05</v>
      </c>
      <c r="G316" s="3491"/>
    </row>
    <row r="317" spans="1:7">
      <c r="A317" s="3484" t="s">
        <v>1156</v>
      </c>
      <c r="B317" s="3473" t="s">
        <v>3141</v>
      </c>
      <c r="C317" s="3485"/>
      <c r="D317" s="3485"/>
      <c r="E317" s="3485"/>
      <c r="F317" s="3474">
        <v>0.05</v>
      </c>
      <c r="G317" s="3491"/>
    </row>
    <row r="318" spans="1:7">
      <c r="A318" s="3484" t="s">
        <v>1156</v>
      </c>
      <c r="B318" s="3473" t="s">
        <v>3142</v>
      </c>
      <c r="C318" s="3485"/>
      <c r="D318" s="3485"/>
      <c r="E318" s="3485"/>
      <c r="F318" s="3474">
        <v>0.05</v>
      </c>
      <c r="G318" s="3491"/>
    </row>
    <row r="319" spans="1:7">
      <c r="A319" s="3484" t="s">
        <v>1156</v>
      </c>
      <c r="B319" s="3473" t="s">
        <v>3143</v>
      </c>
      <c r="C319" s="3485"/>
      <c r="D319" s="3485"/>
      <c r="E319" s="3485"/>
      <c r="F319" s="3474">
        <v>0.05</v>
      </c>
      <c r="G319" s="3491"/>
    </row>
    <row r="320" spans="1:7">
      <c r="A320" s="3484" t="s">
        <v>1156</v>
      </c>
      <c r="B320" s="3473" t="s">
        <v>3144</v>
      </c>
      <c r="C320" s="3485"/>
      <c r="D320" s="3485"/>
      <c r="E320" s="3485"/>
      <c r="F320" s="3474">
        <v>0.05</v>
      </c>
      <c r="G320" s="3491"/>
    </row>
    <row r="321" spans="1:7">
      <c r="A321" s="3484" t="s">
        <v>1156</v>
      </c>
      <c r="B321" s="3473" t="s">
        <v>3145</v>
      </c>
      <c r="C321" s="3485"/>
      <c r="D321" s="3485"/>
      <c r="E321" s="3485"/>
      <c r="F321" s="3474">
        <v>0.05</v>
      </c>
      <c r="G321" s="3491"/>
    </row>
    <row r="322" spans="1:7">
      <c r="A322" s="3484" t="s">
        <v>1156</v>
      </c>
      <c r="B322" s="3473" t="s">
        <v>3146</v>
      </c>
      <c r="C322" s="3485"/>
      <c r="D322" s="3485"/>
      <c r="E322" s="3485"/>
      <c r="F322" s="3474">
        <v>0.05</v>
      </c>
      <c r="G322" s="3491"/>
    </row>
    <row r="323" spans="1:7">
      <c r="A323" s="3484" t="s">
        <v>1156</v>
      </c>
      <c r="B323" s="3473" t="s">
        <v>3147</v>
      </c>
      <c r="C323" s="3485"/>
      <c r="D323" s="3485"/>
      <c r="E323" s="3485"/>
      <c r="F323" s="3474">
        <v>0.05</v>
      </c>
      <c r="G323" s="3491"/>
    </row>
    <row r="324" spans="1:7">
      <c r="A324" s="3484" t="s">
        <v>1156</v>
      </c>
      <c r="B324" s="3473" t="s">
        <v>3148</v>
      </c>
      <c r="C324" s="3485"/>
      <c r="D324" s="3485"/>
      <c r="E324" s="3485"/>
      <c r="F324" s="3474">
        <v>0.05</v>
      </c>
      <c r="G324" s="3491"/>
    </row>
    <row r="325" spans="1:7">
      <c r="A325" s="3484" t="s">
        <v>1156</v>
      </c>
      <c r="B325" s="3473" t="s">
        <v>3149</v>
      </c>
      <c r="C325" s="3485"/>
      <c r="D325" s="3485"/>
      <c r="E325" s="3485"/>
      <c r="F325" s="3474">
        <v>0.05</v>
      </c>
      <c r="G325" s="3491"/>
    </row>
    <row r="326" spans="1:7" ht="14.25" thickBot="1">
      <c r="A326" s="3487" t="s">
        <v>1156</v>
      </c>
      <c r="B326" s="3477" t="s">
        <v>3150</v>
      </c>
      <c r="C326" s="3479"/>
      <c r="D326" s="3479"/>
      <c r="E326" s="3479"/>
      <c r="F326" s="3478">
        <v>0.05</v>
      </c>
      <c r="G326" s="3492"/>
    </row>
    <row r="327" spans="1:7">
      <c r="A327" s="3483" t="s">
        <v>1157</v>
      </c>
      <c r="B327" s="3469" t="s">
        <v>3151</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3152</v>
      </c>
      <c r="C329" s="3474">
        <v>0.15</v>
      </c>
      <c r="D329" s="3474">
        <v>0.15</v>
      </c>
      <c r="E329" s="3474">
        <v>0.15</v>
      </c>
      <c r="F329" s="3474">
        <v>0.15</v>
      </c>
      <c r="G329" s="3475">
        <v>0.15</v>
      </c>
    </row>
    <row r="330" spans="1:7">
      <c r="A330" s="3484" t="s">
        <v>1157</v>
      </c>
      <c r="B330" s="3473" t="s">
        <v>3153</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2985</v>
      </c>
      <c r="C332" s="3474">
        <v>0.15</v>
      </c>
      <c r="D332" s="3474">
        <v>0.15</v>
      </c>
      <c r="E332" s="3474">
        <v>0.15</v>
      </c>
      <c r="F332" s="3474">
        <v>0.15</v>
      </c>
      <c r="G332" s="3475">
        <v>0.15</v>
      </c>
    </row>
    <row r="333" spans="1:7">
      <c r="A333" s="3484" t="s">
        <v>1157</v>
      </c>
      <c r="B333" s="3473" t="s">
        <v>3154</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2987</v>
      </c>
      <c r="C336" s="3474">
        <v>0.15</v>
      </c>
      <c r="D336" s="3474">
        <v>0.15</v>
      </c>
      <c r="E336" s="3474">
        <v>0.15</v>
      </c>
      <c r="F336" s="3474">
        <v>0.14199999999999999</v>
      </c>
      <c r="G336" s="3475">
        <v>0.15</v>
      </c>
    </row>
    <row r="337" spans="1:7">
      <c r="A337" s="3484" t="s">
        <v>1157</v>
      </c>
      <c r="B337" s="3473" t="s">
        <v>3155</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3156</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3157</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2991</v>
      </c>
      <c r="C345" s="3474">
        <v>0.15</v>
      </c>
      <c r="D345" s="3474">
        <v>0.15</v>
      </c>
      <c r="E345" s="3474">
        <v>0.15</v>
      </c>
      <c r="F345" s="3474">
        <v>0.13800000000000001</v>
      </c>
      <c r="G345" s="3475">
        <v>0.15</v>
      </c>
    </row>
    <row r="346" spans="1:7">
      <c r="A346" s="3484" t="s">
        <v>1157</v>
      </c>
      <c r="B346" s="3473" t="s">
        <v>3158</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2993</v>
      </c>
      <c r="C348" s="3474">
        <v>0.15</v>
      </c>
      <c r="D348" s="3474">
        <v>0.15</v>
      </c>
      <c r="E348" s="3474">
        <v>0.15</v>
      </c>
      <c r="F348" s="3474">
        <v>0.14399999999999999</v>
      </c>
      <c r="G348" s="3475">
        <v>0.15</v>
      </c>
    </row>
    <row r="349" spans="1:7">
      <c r="A349" s="3484" t="s">
        <v>1157</v>
      </c>
      <c r="B349" s="3473" t="s">
        <v>2994</v>
      </c>
      <c r="C349" s="3474">
        <v>0.15</v>
      </c>
      <c r="D349" s="3474">
        <v>0.15</v>
      </c>
      <c r="E349" s="3474">
        <v>0.15</v>
      </c>
      <c r="F349" s="3474">
        <v>0.15</v>
      </c>
      <c r="G349" s="3475">
        <v>0.15</v>
      </c>
    </row>
    <row r="350" spans="1:7">
      <c r="A350" s="3484" t="s">
        <v>1157</v>
      </c>
      <c r="B350" s="3473" t="s">
        <v>3159</v>
      </c>
      <c r="C350" s="3474">
        <v>0.15</v>
      </c>
      <c r="D350" s="3474">
        <v>0.15</v>
      </c>
      <c r="E350" s="3474">
        <v>0.15</v>
      </c>
      <c r="F350" s="3474">
        <v>0.14699999999999999</v>
      </c>
      <c r="G350" s="3475">
        <v>0.15</v>
      </c>
    </row>
    <row r="351" spans="1:7">
      <c r="A351" s="3484" t="s">
        <v>1157</v>
      </c>
      <c r="B351" s="3473" t="s">
        <v>2996</v>
      </c>
      <c r="C351" s="3474">
        <v>0.15</v>
      </c>
      <c r="D351" s="3474">
        <v>0.15</v>
      </c>
      <c r="E351" s="3474">
        <v>0.15</v>
      </c>
      <c r="F351" s="3474">
        <v>0.13</v>
      </c>
      <c r="G351" s="3475">
        <v>0.15</v>
      </c>
    </row>
    <row r="352" spans="1:7">
      <c r="A352" s="3484" t="s">
        <v>1157</v>
      </c>
      <c r="B352" s="3473" t="s">
        <v>2997</v>
      </c>
      <c r="C352" s="3474">
        <v>0.15</v>
      </c>
      <c r="D352" s="3474">
        <v>0.15</v>
      </c>
      <c r="E352" s="3474">
        <v>0.15</v>
      </c>
      <c r="F352" s="3474">
        <v>0.14599999999999999</v>
      </c>
      <c r="G352" s="3475">
        <v>0.15</v>
      </c>
    </row>
    <row r="353" spans="1:7">
      <c r="A353" s="3484" t="s">
        <v>1157</v>
      </c>
      <c r="B353" s="3473" t="s">
        <v>3160</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2999</v>
      </c>
      <c r="C355" s="3474">
        <v>0.15</v>
      </c>
      <c r="D355" s="3474">
        <v>0.15</v>
      </c>
      <c r="E355" s="3474">
        <v>0.15</v>
      </c>
      <c r="F355" s="3474">
        <v>0.15</v>
      </c>
      <c r="G355" s="3475">
        <v>0.15</v>
      </c>
    </row>
    <row r="356" spans="1:7">
      <c r="A356" s="3484" t="s">
        <v>1157</v>
      </c>
      <c r="B356" s="3473" t="s">
        <v>3000</v>
      </c>
      <c r="C356" s="3474">
        <v>0.15</v>
      </c>
      <c r="D356" s="3474">
        <v>0.15</v>
      </c>
      <c r="E356" s="3474">
        <v>0.15</v>
      </c>
      <c r="F356" s="3474">
        <v>0.15</v>
      </c>
      <c r="G356" s="3475">
        <v>0.15</v>
      </c>
    </row>
    <row r="357" spans="1:7" ht="14.25" thickBot="1">
      <c r="A357" s="3487" t="s">
        <v>1157</v>
      </c>
      <c r="B357" s="3477" t="s">
        <v>3161</v>
      </c>
      <c r="C357" s="3478">
        <v>0.126</v>
      </c>
      <c r="D357" s="3478">
        <v>0.127</v>
      </c>
      <c r="E357" s="3478">
        <v>0.14299999999999999</v>
      </c>
      <c r="F357" s="3478">
        <v>0.125</v>
      </c>
      <c r="G357" s="3480">
        <v>0.129</v>
      </c>
    </row>
    <row r="358" spans="1:7">
      <c r="A358" s="3483" t="s">
        <v>3162</v>
      </c>
      <c r="B358" s="3469" t="s">
        <v>3163</v>
      </c>
      <c r="C358" s="3470">
        <v>0.15</v>
      </c>
      <c r="D358" s="3470">
        <v>0.15</v>
      </c>
      <c r="E358" s="3470">
        <v>0.15</v>
      </c>
      <c r="F358" s="3470">
        <v>0.15</v>
      </c>
      <c r="G358" s="3471">
        <v>0.15</v>
      </c>
    </row>
    <row r="359" spans="1:7">
      <c r="A359" s="3484" t="s">
        <v>3162</v>
      </c>
      <c r="B359" s="3473" t="s">
        <v>3164</v>
      </c>
      <c r="C359" s="3474">
        <v>0.1</v>
      </c>
      <c r="D359" s="3474">
        <v>0.1</v>
      </c>
      <c r="E359" s="3474">
        <v>0.1</v>
      </c>
      <c r="F359" s="3474">
        <v>0.1</v>
      </c>
      <c r="G359" s="3475">
        <v>0.1</v>
      </c>
    </row>
    <row r="360" spans="1:7">
      <c r="A360" s="3484" t="s">
        <v>3162</v>
      </c>
      <c r="B360" s="3473" t="s">
        <v>3165</v>
      </c>
      <c r="C360" s="3474">
        <v>0.15</v>
      </c>
      <c r="D360" s="3474">
        <v>0.15</v>
      </c>
      <c r="E360" s="3474">
        <v>0.15</v>
      </c>
      <c r="F360" s="3474">
        <v>0.14899999999999999</v>
      </c>
      <c r="G360" s="3475">
        <v>0.15</v>
      </c>
    </row>
    <row r="361" spans="1:7">
      <c r="A361" s="3484" t="s">
        <v>3162</v>
      </c>
      <c r="B361" s="3473" t="s">
        <v>999</v>
      </c>
      <c r="C361" s="3474">
        <v>0.15</v>
      </c>
      <c r="D361" s="3474">
        <v>0.15</v>
      </c>
      <c r="E361" s="3474">
        <v>0.15</v>
      </c>
      <c r="F361" s="3474">
        <v>0.115</v>
      </c>
      <c r="G361" s="3475">
        <v>0.15</v>
      </c>
    </row>
    <row r="362" spans="1:7">
      <c r="A362" s="3484" t="s">
        <v>3162</v>
      </c>
      <c r="B362" s="3473" t="s">
        <v>3166</v>
      </c>
      <c r="C362" s="3474">
        <v>0.15</v>
      </c>
      <c r="D362" s="3474">
        <v>0.15</v>
      </c>
      <c r="E362" s="3474">
        <v>0.15</v>
      </c>
      <c r="F362" s="3474">
        <v>0.106</v>
      </c>
      <c r="G362" s="3475">
        <v>0.15</v>
      </c>
    </row>
    <row r="363" spans="1:7">
      <c r="A363" s="3484" t="s">
        <v>3162</v>
      </c>
      <c r="B363" s="3473" t="s">
        <v>3006</v>
      </c>
      <c r="C363" s="3474">
        <v>0.15</v>
      </c>
      <c r="D363" s="3474">
        <v>0.15</v>
      </c>
      <c r="E363" s="3474">
        <v>0.15</v>
      </c>
      <c r="F363" s="3474">
        <v>0.14699999999999999</v>
      </c>
      <c r="G363" s="3475">
        <v>0.15</v>
      </c>
    </row>
    <row r="364" spans="1:7">
      <c r="A364" s="3484" t="s">
        <v>3162</v>
      </c>
      <c r="B364" s="3473" t="s">
        <v>3167</v>
      </c>
      <c r="C364" s="3474">
        <v>0.15</v>
      </c>
      <c r="D364" s="3474">
        <v>0.15</v>
      </c>
      <c r="E364" s="3474">
        <v>0.15</v>
      </c>
      <c r="F364" s="3474">
        <v>0.14799999999999999</v>
      </c>
      <c r="G364" s="3475">
        <v>0.15</v>
      </c>
    </row>
    <row r="365" spans="1:7">
      <c r="A365" s="3484" t="s">
        <v>3162</v>
      </c>
      <c r="B365" s="3473" t="s">
        <v>1047</v>
      </c>
      <c r="C365" s="3474">
        <v>0.15</v>
      </c>
      <c r="D365" s="3474">
        <v>0.15</v>
      </c>
      <c r="E365" s="3474">
        <v>0.15</v>
      </c>
      <c r="F365" s="3474">
        <v>0.15</v>
      </c>
      <c r="G365" s="3475">
        <v>0.15</v>
      </c>
    </row>
    <row r="366" spans="1:7">
      <c r="A366" s="3484" t="s">
        <v>3162</v>
      </c>
      <c r="B366" s="3473" t="s">
        <v>3008</v>
      </c>
      <c r="C366" s="3474">
        <v>0.15</v>
      </c>
      <c r="D366" s="3474">
        <v>0.15</v>
      </c>
      <c r="E366" s="3474">
        <v>0.15</v>
      </c>
      <c r="F366" s="3474">
        <v>0.15</v>
      </c>
      <c r="G366" s="3475">
        <v>0.15</v>
      </c>
    </row>
    <row r="367" spans="1:7">
      <c r="A367" s="3484" t="s">
        <v>3162</v>
      </c>
      <c r="B367" s="3473" t="s">
        <v>3168</v>
      </c>
      <c r="C367" s="3474">
        <v>0.15</v>
      </c>
      <c r="D367" s="3474">
        <v>0.15</v>
      </c>
      <c r="E367" s="3474">
        <v>0.15</v>
      </c>
      <c r="F367" s="3474">
        <v>0.14699999999999999</v>
      </c>
      <c r="G367" s="3475">
        <v>0.15</v>
      </c>
    </row>
    <row r="368" spans="1:7">
      <c r="A368" s="3484" t="s">
        <v>3162</v>
      </c>
      <c r="B368" s="3473" t="s">
        <v>3169</v>
      </c>
      <c r="C368" s="3474">
        <v>0.15</v>
      </c>
      <c r="D368" s="3474">
        <v>0.15</v>
      </c>
      <c r="E368" s="3474">
        <v>0.15</v>
      </c>
      <c r="F368" s="3474">
        <v>0.13600000000000001</v>
      </c>
      <c r="G368" s="3475">
        <v>0.15</v>
      </c>
    </row>
    <row r="369" spans="1:7">
      <c r="A369" s="3484" t="s">
        <v>3162</v>
      </c>
      <c r="B369" s="3473" t="s">
        <v>1061</v>
      </c>
      <c r="C369" s="3474">
        <v>0.15</v>
      </c>
      <c r="D369" s="3474">
        <v>0.15</v>
      </c>
      <c r="E369" s="3474">
        <v>0.15</v>
      </c>
      <c r="F369" s="3474">
        <v>0.14399999999999999</v>
      </c>
      <c r="G369" s="3475">
        <v>0.15</v>
      </c>
    </row>
    <row r="370" spans="1:7">
      <c r="A370" s="3484" t="s">
        <v>3162</v>
      </c>
      <c r="B370" s="3473" t="s">
        <v>1069</v>
      </c>
      <c r="C370" s="3474">
        <v>0.15</v>
      </c>
      <c r="D370" s="3474">
        <v>0.15</v>
      </c>
      <c r="E370" s="3474">
        <v>0.15</v>
      </c>
      <c r="F370" s="3474">
        <v>0.14599999999999999</v>
      </c>
      <c r="G370" s="3475">
        <v>0.15</v>
      </c>
    </row>
    <row r="371" spans="1:7">
      <c r="A371" s="3484" t="s">
        <v>3162</v>
      </c>
      <c r="B371" s="3473" t="s">
        <v>1077</v>
      </c>
      <c r="C371" s="3474">
        <v>0.15</v>
      </c>
      <c r="D371" s="3474">
        <v>0.15</v>
      </c>
      <c r="E371" s="3474">
        <v>0.15</v>
      </c>
      <c r="F371" s="3474">
        <v>0.12</v>
      </c>
      <c r="G371" s="3475">
        <v>0.15</v>
      </c>
    </row>
    <row r="372" spans="1:7">
      <c r="A372" s="3484" t="s">
        <v>3162</v>
      </c>
      <c r="B372" s="3473" t="s">
        <v>3170</v>
      </c>
      <c r="C372" s="3474">
        <v>0.15</v>
      </c>
      <c r="D372" s="3474">
        <v>0.15</v>
      </c>
      <c r="E372" s="3474">
        <v>0.15</v>
      </c>
      <c r="F372" s="3474">
        <v>0.14299999999999999</v>
      </c>
      <c r="G372" s="3475">
        <v>0.15</v>
      </c>
    </row>
    <row r="373" spans="1:7">
      <c r="A373" s="3484" t="s">
        <v>3162</v>
      </c>
      <c r="B373" s="3473" t="s">
        <v>1106</v>
      </c>
      <c r="C373" s="3474">
        <v>0.15</v>
      </c>
      <c r="D373" s="3474">
        <v>0.15</v>
      </c>
      <c r="E373" s="3474">
        <v>0.15</v>
      </c>
      <c r="F373" s="3474">
        <v>0.14599999999999999</v>
      </c>
      <c r="G373" s="3475">
        <v>0.15</v>
      </c>
    </row>
    <row r="374" spans="1:7">
      <c r="A374" s="3484" t="s">
        <v>3162</v>
      </c>
      <c r="B374" s="3473" t="s">
        <v>1114</v>
      </c>
      <c r="C374" s="3474">
        <v>0.15</v>
      </c>
      <c r="D374" s="3474">
        <v>0.15</v>
      </c>
      <c r="E374" s="3474">
        <v>0.15</v>
      </c>
      <c r="F374" s="3474">
        <v>0.14399999999999999</v>
      </c>
      <c r="G374" s="3475">
        <v>0.15</v>
      </c>
    </row>
    <row r="375" spans="1:7">
      <c r="A375" s="3484" t="s">
        <v>3162</v>
      </c>
      <c r="B375" s="3473" t="s">
        <v>3171</v>
      </c>
      <c r="C375" s="3474">
        <v>0.15</v>
      </c>
      <c r="D375" s="3474">
        <v>0.15</v>
      </c>
      <c r="E375" s="3474">
        <v>0.15</v>
      </c>
      <c r="F375" s="3474">
        <v>0.13</v>
      </c>
      <c r="G375" s="3475">
        <v>0.15</v>
      </c>
    </row>
    <row r="376" spans="1:7">
      <c r="A376" s="3484" t="s">
        <v>3162</v>
      </c>
      <c r="B376" s="3473" t="s">
        <v>1126</v>
      </c>
      <c r="C376" s="3474">
        <v>0.15</v>
      </c>
      <c r="D376" s="3474">
        <v>0.15</v>
      </c>
      <c r="E376" s="3474">
        <v>0.15</v>
      </c>
      <c r="F376" s="3474">
        <v>0.14199999999999999</v>
      </c>
      <c r="G376" s="3475">
        <v>0.15</v>
      </c>
    </row>
    <row r="377" spans="1:7" ht="14.25" thickBot="1">
      <c r="A377" s="3487" t="s">
        <v>3162</v>
      </c>
      <c r="B377" s="3477" t="s">
        <v>3013</v>
      </c>
      <c r="C377" s="3478">
        <v>0.15</v>
      </c>
      <c r="D377" s="3478">
        <v>0.15</v>
      </c>
      <c r="E377" s="3478">
        <v>0.15</v>
      </c>
      <c r="F377" s="3478">
        <v>0.14000000000000001</v>
      </c>
      <c r="G377" s="3480">
        <v>0.15</v>
      </c>
    </row>
    <row r="378" spans="1:7">
      <c r="A378" s="3483" t="s">
        <v>3172</v>
      </c>
      <c r="B378" s="3469" t="s">
        <v>3173</v>
      </c>
      <c r="C378" s="3470">
        <v>0.15</v>
      </c>
      <c r="D378" s="3470">
        <v>0.15</v>
      </c>
      <c r="E378" s="3470">
        <v>0.15</v>
      </c>
      <c r="F378" s="3470">
        <v>0.107</v>
      </c>
      <c r="G378" s="3471">
        <v>0.15</v>
      </c>
    </row>
    <row r="379" spans="1:7">
      <c r="A379" s="3484" t="s">
        <v>3172</v>
      </c>
      <c r="B379" s="3473" t="s">
        <v>3174</v>
      </c>
      <c r="C379" s="3474">
        <v>0.15</v>
      </c>
      <c r="D379" s="3474">
        <v>0.15</v>
      </c>
      <c r="E379" s="3474">
        <v>0.15</v>
      </c>
      <c r="F379" s="3474">
        <v>0.115</v>
      </c>
      <c r="G379" s="3475">
        <v>0.14899999999999999</v>
      </c>
    </row>
    <row r="380" spans="1:7">
      <c r="A380" s="3484" t="s">
        <v>3175</v>
      </c>
      <c r="B380" s="3473" t="s">
        <v>3176</v>
      </c>
      <c r="C380" s="3474">
        <v>0.15</v>
      </c>
      <c r="D380" s="3474">
        <v>0.15</v>
      </c>
      <c r="E380" s="3474">
        <v>0.15</v>
      </c>
      <c r="F380" s="3474">
        <v>0.1</v>
      </c>
      <c r="G380" s="3475">
        <v>0.14799999999999999</v>
      </c>
    </row>
    <row r="381" spans="1:7">
      <c r="A381" s="3484" t="s">
        <v>3175</v>
      </c>
      <c r="B381" s="3473" t="s">
        <v>3177</v>
      </c>
      <c r="C381" s="3474">
        <v>0.15</v>
      </c>
      <c r="D381" s="3474">
        <v>0.15</v>
      </c>
      <c r="E381" s="3474">
        <v>0.15</v>
      </c>
      <c r="F381" s="3474">
        <v>0.126</v>
      </c>
      <c r="G381" s="3475">
        <v>0.15</v>
      </c>
    </row>
    <row r="382" spans="1:7">
      <c r="A382" s="3484" t="s">
        <v>3175</v>
      </c>
      <c r="B382" s="3473" t="s">
        <v>3178</v>
      </c>
      <c r="C382" s="3474">
        <v>0.15</v>
      </c>
      <c r="D382" s="3474">
        <v>0.15</v>
      </c>
      <c r="E382" s="3474">
        <v>0.15</v>
      </c>
      <c r="F382" s="3474">
        <v>0.15</v>
      </c>
      <c r="G382" s="3475">
        <v>0.15</v>
      </c>
    </row>
    <row r="383" spans="1:7">
      <c r="A383" s="3484" t="s">
        <v>3175</v>
      </c>
      <c r="B383" s="3473" t="s">
        <v>3179</v>
      </c>
      <c r="C383" s="3474">
        <v>0.15</v>
      </c>
      <c r="D383" s="3474">
        <v>0.15</v>
      </c>
      <c r="E383" s="3474">
        <v>0.15</v>
      </c>
      <c r="F383" s="3474">
        <v>0.14699999999999999</v>
      </c>
      <c r="G383" s="3475">
        <v>0.15</v>
      </c>
    </row>
    <row r="384" spans="1:7" ht="14.25" thickBot="1">
      <c r="A384" s="3494" t="s">
        <v>3175</v>
      </c>
      <c r="B384" s="3495" t="s">
        <v>3180</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39" t="s">
        <v>1858</v>
      </c>
      <c r="C1" s="3939"/>
      <c r="D1" s="3939"/>
      <c r="E1" s="3939"/>
      <c r="F1" s="3939"/>
      <c r="G1" s="3938" t="s">
        <v>1859</v>
      </c>
      <c r="H1" s="3938"/>
      <c r="I1" s="3938"/>
      <c r="J1" s="3938"/>
      <c r="K1" s="3938"/>
      <c r="L1" s="3938"/>
      <c r="N1" s="3938" t="s">
        <v>1860</v>
      </c>
      <c r="O1" s="3938"/>
      <c r="P1" s="3938"/>
      <c r="Q1" s="3938"/>
      <c r="S1" s="3938" t="s">
        <v>1861</v>
      </c>
      <c r="T1" s="3938"/>
      <c r="U1" s="3938"/>
      <c r="V1" s="3938"/>
      <c r="X1" s="3937" t="s">
        <v>1921</v>
      </c>
      <c r="Y1" s="3938"/>
      <c r="Z1" s="3938"/>
      <c r="AA1" s="3938"/>
      <c r="AB1" s="3938"/>
      <c r="AD1" s="3937" t="s">
        <v>1925</v>
      </c>
      <c r="AE1" s="3938"/>
      <c r="AF1" s="3938"/>
      <c r="AG1" s="3938"/>
      <c r="AH1" s="3938"/>
    </row>
    <row r="2" spans="1:34" s="2617" customFormat="1" ht="14.25" thickBot="1">
      <c r="B2" s="2618" t="s">
        <v>1862</v>
      </c>
      <c r="C2" s="2618" t="s">
        <v>1923</v>
      </c>
      <c r="D2" s="2619" t="s">
        <v>1179</v>
      </c>
      <c r="E2" s="2619" t="s">
        <v>1469</v>
      </c>
      <c r="F2" s="2618" t="s">
        <v>1924</v>
      </c>
      <c r="G2" s="2620"/>
      <c r="I2" s="2618" t="s">
        <v>2208</v>
      </c>
      <c r="J2" s="2619" t="s">
        <v>2210</v>
      </c>
      <c r="K2" s="2619" t="s">
        <v>2211</v>
      </c>
      <c r="L2" s="2618" t="s">
        <v>2212</v>
      </c>
      <c r="N2" s="2618" t="s">
        <v>1862</v>
      </c>
      <c r="O2" s="2619" t="s">
        <v>2209</v>
      </c>
      <c r="P2" s="2619" t="s">
        <v>1469</v>
      </c>
      <c r="Q2" s="2618" t="s">
        <v>1924</v>
      </c>
      <c r="S2" s="2618" t="s">
        <v>1862</v>
      </c>
      <c r="T2" s="2619" t="s">
        <v>2209</v>
      </c>
      <c r="U2" s="2619" t="s">
        <v>1469</v>
      </c>
      <c r="V2" s="2618" t="s">
        <v>1924</v>
      </c>
      <c r="X2" s="2618" t="s">
        <v>1862</v>
      </c>
      <c r="Y2" s="2618" t="s">
        <v>1923</v>
      </c>
      <c r="Z2" s="2619" t="s">
        <v>1179</v>
      </c>
      <c r="AA2" s="2619" t="s">
        <v>1469</v>
      </c>
      <c r="AB2" s="2618" t="s">
        <v>1924</v>
      </c>
      <c r="AD2" s="2618" t="s">
        <v>1862</v>
      </c>
      <c r="AE2" s="2618" t="s">
        <v>1923</v>
      </c>
      <c r="AF2" s="2619" t="s">
        <v>1179</v>
      </c>
      <c r="AG2" s="2619" t="s">
        <v>1469</v>
      </c>
      <c r="AH2" s="2618" t="s">
        <v>1924</v>
      </c>
    </row>
    <row r="3" spans="1:34" s="2627" customFormat="1" ht="14.25">
      <c r="A3" s="2621" t="s">
        <v>2219</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2441</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1.6585000000000001</v>
      </c>
      <c r="Y5" s="2638">
        <f>ROUND(IF(项目基本情况!B8="出让",SUMPRODUCT(PRODUCT(1+O5:O$41)),SUMPRODUCT(PRODUCT(1+O5:O$40))),4)</f>
        <v>1.3676999999999999</v>
      </c>
      <c r="Z5" s="2638">
        <f t="shared" ref="Z5:Z40" si="9">Y5</f>
        <v>1.3676999999999999</v>
      </c>
      <c r="AA5" s="2638">
        <f>ROUND(IF(项目基本情况!B8="出让",SUMPRODUCT(PRODUCT(1+P5:P$41)),SUMPRODUCT(PRODUCT(1+P5:P$40))),4)</f>
        <v>1.7434000000000001</v>
      </c>
      <c r="AB5" s="2638">
        <f>ROUND(IF(项目基本情况!B8="出让",SUMPRODUCT(PRODUCT(1+Q5:Q$41)),SUMPRODUCT(PRODUCT(1+Q5:Q$40))),4)</f>
        <v>1.4609000000000001</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2440</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1.6585000000000001</v>
      </c>
      <c r="Y6" s="2638">
        <f>ROUND(IF(项目基本情况!B8="出让",SUMPRODUCT(PRODUCT(1+O6:O$41)),SUMPRODUCT(PRODUCT(1+O6:O$40))),4)</f>
        <v>1.3676999999999999</v>
      </c>
      <c r="Z6" s="2638">
        <f t="shared" si="9"/>
        <v>1.3676999999999999</v>
      </c>
      <c r="AA6" s="2638">
        <f>ROUND(IF(项目基本情况!B8="出让",SUMPRODUCT(PRODUCT(1+P6:P$41)),SUMPRODUCT(PRODUCT(1+P6:P$40))),4)</f>
        <v>1.7434000000000001</v>
      </c>
      <c r="AB6" s="2638">
        <f>ROUND(IF(项目基本情况!B8="出让",SUMPRODUCT(PRODUCT(1+Q6:Q$41)),SUMPRODUCT(PRODUCT(1+Q6:Q$40))),4)</f>
        <v>1.4609000000000001</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2439</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1.6585000000000001</v>
      </c>
      <c r="Y7" s="2638">
        <f>ROUND(IF(项目基本情况!B8="出让",SUMPRODUCT(PRODUCT(1+O7:O$41)),SUMPRODUCT(PRODUCT(1+O7:O$40))),4)</f>
        <v>1.3676999999999999</v>
      </c>
      <c r="Z7" s="2638">
        <f t="shared" si="9"/>
        <v>1.3676999999999999</v>
      </c>
      <c r="AA7" s="2638">
        <f>ROUND(IF(项目基本情况!B8="出让",SUMPRODUCT(PRODUCT(1+P7:P$41)),SUMPRODUCT(PRODUCT(1+P7:P$40))),4)</f>
        <v>1.7434000000000001</v>
      </c>
      <c r="AB7" s="2638">
        <f>ROUND(IF(项目基本情况!B8="出让",SUMPRODUCT(PRODUCT(1+Q7:Q$41)),SUMPRODUCT(PRODUCT(1+Q7:Q$40))),4)</f>
        <v>1.4609000000000001</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2438</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1.6585000000000001</v>
      </c>
      <c r="Y8" s="2638">
        <f>ROUND(IF(项目基本情况!B8="出让",SUMPRODUCT(PRODUCT(1+O8:O$41)),SUMPRODUCT(PRODUCT(1+O8:O$40))),4)</f>
        <v>1.3676999999999999</v>
      </c>
      <c r="Z8" s="2638">
        <f t="shared" si="9"/>
        <v>1.3676999999999999</v>
      </c>
      <c r="AA8" s="2638">
        <f>ROUND(IF(项目基本情况!B8="出让",SUMPRODUCT(PRODUCT(1+P8:P$41)),SUMPRODUCT(PRODUCT(1+P8:P$40))),4)</f>
        <v>1.7434000000000001</v>
      </c>
      <c r="AB8" s="2638">
        <f>ROUND(IF(项目基本情况!B8="出让",SUMPRODUCT(PRODUCT(1+Q8:Q$41)),SUMPRODUCT(PRODUCT(1+Q8:Q$40))),4)</f>
        <v>1.4609000000000001</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2437</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2286</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2285</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2284</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2283</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2280</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2279</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2244</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1.5652999999999999</v>
      </c>
      <c r="Y16" s="2638">
        <f>ROUND(IF(项目基本情况!B8="出让",SUMPRODUCT(PRODUCT(1+O16:O$41)),SUMPRODUCT(PRODUCT(1+O16:O$40))),4)</f>
        <v>1.3472</v>
      </c>
      <c r="Z16" s="2638">
        <f t="shared" si="9"/>
        <v>1.3472</v>
      </c>
      <c r="AA16" s="2638">
        <f>ROUND(IF(项目基本情况!B8="出让",SUMPRODUCT(PRODUCT(1+P16:P$41)),SUMPRODUCT(PRODUCT(1+P16:P$40))),4)</f>
        <v>1.6335999999999999</v>
      </c>
      <c r="AB16" s="2638">
        <f>ROUND(IF(项目基本情况!B8="出让",SUMPRODUCT(PRODUCT(1+Q16:Q$41)),SUMPRODUCT(PRODUCT(1+Q16:Q$40))),4)</f>
        <v>1.3880999999999999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2242</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1.5605</v>
      </c>
      <c r="Y17" s="2638">
        <f>ROUND(IF(项目基本情况!B8="出让",SUMPRODUCT(PRODUCT(1+O17:O$41)),SUMPRODUCT(PRODUCT(1+O17:O$40))),4)</f>
        <v>1.3577999999999999</v>
      </c>
      <c r="Z17" s="2638">
        <f t="shared" si="9"/>
        <v>1.3577999999999999</v>
      </c>
      <c r="AA17" s="2638">
        <f>ROUND(IF(项目基本情况!B8="出让",SUMPRODUCT(PRODUCT(1+P17:P$41)),SUMPRODUCT(PRODUCT(1+P17:P$40))),4)</f>
        <v>1.6254999999999999</v>
      </c>
      <c r="AB17" s="2638">
        <f>ROUND(IF(项目基本情况!B8="出让",SUMPRODUCT(PRODUCT(1+Q17:Q$41)),SUMPRODUCT(PRODUCT(1+Q17:Q$40))),4)</f>
        <v>1.3815999999999999</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2240</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1.5586</v>
      </c>
      <c r="Y18" s="2638">
        <f>ROUND(IF(项目基本情况!B8="出让",SUMPRODUCT(PRODUCT(1+O18:O$41)),SUMPRODUCT(PRODUCT(1+O18:O$40))),4)</f>
        <v>1.3633</v>
      </c>
      <c r="Z18" s="2638">
        <f t="shared" si="9"/>
        <v>1.3633</v>
      </c>
      <c r="AA18" s="2638">
        <f>ROUND(IF(项目基本情况!B8="出让",SUMPRODUCT(PRODUCT(1+P18:P$41)),SUMPRODUCT(PRODUCT(1+P18:P$40))),4)</f>
        <v>1.6221000000000001</v>
      </c>
      <c r="AB18" s="2638">
        <f>ROUND(IF(项目基本情况!B8="出让",SUMPRODUCT(PRODUCT(1+Q18:Q$41)),SUMPRODUCT(PRODUCT(1+Q18:Q$40))),4)</f>
        <v>1.3777999999999999</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2239</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1.5516000000000001</v>
      </c>
      <c r="Y19" s="2638">
        <f>ROUND(IF(项目基本情况!B8="出让",SUMPRODUCT(PRODUCT(1+O19:O$41)),SUMPRODUCT(PRODUCT(1+O19:O$40))),4)</f>
        <v>1.3649</v>
      </c>
      <c r="Z19" s="2638">
        <f t="shared" si="9"/>
        <v>1.3649</v>
      </c>
      <c r="AA19" s="2638">
        <f>ROUND(IF(项目基本情况!B8="出让",SUMPRODUCT(PRODUCT(1+P19:P$41)),SUMPRODUCT(PRODUCT(1+P19:P$40))),4)</f>
        <v>1.6133999999999999</v>
      </c>
      <c r="AB19" s="2638">
        <f>ROUND(IF(项目基本情况!B8="出让",SUMPRODUCT(PRODUCT(1+Q19:Q$41)),SUMPRODUCT(PRODUCT(1+Q19:Q$40))),4)</f>
        <v>1.3713</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2237</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1.5422</v>
      </c>
      <c r="Y20" s="2638">
        <f>ROUND(IF(项目基本情况!B8="出让",SUMPRODUCT(PRODUCT(1+O20:O$41)),SUMPRODUCT(PRODUCT(1+O20:O$40))),4)</f>
        <v>1.3557999999999999</v>
      </c>
      <c r="Z20" s="2638">
        <f t="shared" si="9"/>
        <v>1.3557999999999999</v>
      </c>
      <c r="AA20" s="2638">
        <f>ROUND(IF(项目基本情况!B8="出让",SUMPRODUCT(PRODUCT(1+P20:P$41)),SUMPRODUCT(PRODUCT(1+P20:P$40))),4)</f>
        <v>1.6036999999999999</v>
      </c>
      <c r="AB20" s="2638">
        <f>ROUND(IF(项目基本情况!B8="出让",SUMPRODUCT(PRODUCT(1+Q20:Q$41)),SUMPRODUCT(PRODUCT(1+Q20:Q$40))),4)</f>
        <v>1.3573</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2236</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1.5189999999999999</v>
      </c>
      <c r="Y21" s="2638">
        <f>ROUND(IF(项目基本情况!B8="出让",SUMPRODUCT(PRODUCT(1+O21:O$41)),SUMPRODUCT(PRODUCT(1+O21:O$40))),4)</f>
        <v>1.3423</v>
      </c>
      <c r="Z21" s="2638">
        <f t="shared" si="9"/>
        <v>1.3423</v>
      </c>
      <c r="AA21" s="2638">
        <f>ROUND(IF(项目基本情况!B8="出让",SUMPRODUCT(PRODUCT(1+P21:P$41)),SUMPRODUCT(PRODUCT(1+P21:P$40))),4)</f>
        <v>1.5782</v>
      </c>
      <c r="AB21" s="2638">
        <f>ROUND(IF(项目基本情况!B8="出让",SUMPRODUCT(PRODUCT(1+Q21:Q$41)),SUMPRODUCT(PRODUCT(1+Q21:Q$40))),4)</f>
        <v>1.3405</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2235</v>
      </c>
      <c r="B22" s="2651">
        <f t="shared" si="11"/>
        <v>464.37293017158942</v>
      </c>
      <c r="C22" s="2651">
        <f t="shared" si="12"/>
        <v>344.73679941385956</v>
      </c>
      <c r="D22" s="2651">
        <f t="shared" si="2"/>
        <v>344.73679941385956</v>
      </c>
      <c r="E22" s="2651">
        <f t="shared" si="3"/>
        <v>663.2377795103107</v>
      </c>
      <c r="F22" s="2652">
        <f t="shared" si="4"/>
        <v>304.75936311478398</v>
      </c>
      <c r="G22" s="3933">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2228</v>
      </c>
      <c r="B23" s="2641">
        <f t="shared" si="11"/>
        <v>459.95733971036987</v>
      </c>
      <c r="C23" s="2641">
        <f t="shared" si="12"/>
        <v>341.22221064422405</v>
      </c>
      <c r="D23" s="2641">
        <f t="shared" si="2"/>
        <v>341.22221064422405</v>
      </c>
      <c r="E23" s="2641">
        <f t="shared" si="3"/>
        <v>657.19161663724799</v>
      </c>
      <c r="F23" s="2641">
        <f t="shared" si="4"/>
        <v>300.87803644464805</v>
      </c>
      <c r="G23" s="3933"/>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2229</v>
      </c>
      <c r="B24" s="2641">
        <f t="shared" si="11"/>
        <v>453.11529869999993</v>
      </c>
      <c r="C24" s="2641">
        <f t="shared" si="12"/>
        <v>336.47787264000004</v>
      </c>
      <c r="D24" s="2641">
        <f t="shared" si="2"/>
        <v>336.47787264000004</v>
      </c>
      <c r="E24" s="2641">
        <f t="shared" si="3"/>
        <v>647.35186823999993</v>
      </c>
      <c r="F24" s="2641">
        <f t="shared" si="4"/>
        <v>295.73229452000004</v>
      </c>
      <c r="G24" s="3933"/>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2225</v>
      </c>
      <c r="B25" s="2641">
        <f t="shared" si="11"/>
        <v>446.46299999999997</v>
      </c>
      <c r="C25" s="2641">
        <f t="shared" si="12"/>
        <v>333.27840000000003</v>
      </c>
      <c r="D25" s="2641">
        <f t="shared" ref="D25:D30" si="13">C25</f>
        <v>333.27840000000003</v>
      </c>
      <c r="E25" s="2641">
        <f t="shared" si="3"/>
        <v>637.28279999999995</v>
      </c>
      <c r="F25" s="2641">
        <f t="shared" si="4"/>
        <v>288.68830000000003</v>
      </c>
      <c r="G25" s="3934"/>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2218</v>
      </c>
      <c r="B26" s="2657">
        <v>439</v>
      </c>
      <c r="C26" s="2657">
        <v>327</v>
      </c>
      <c r="D26" s="2657">
        <f t="shared" si="13"/>
        <v>327</v>
      </c>
      <c r="E26" s="2657">
        <v>627</v>
      </c>
      <c r="F26" s="2658">
        <v>283</v>
      </c>
      <c r="G26" s="3932">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2220</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33"/>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1863</v>
      </c>
      <c r="B28" s="2641">
        <f t="shared" si="16"/>
        <v>419.31181600000002</v>
      </c>
      <c r="C28" s="2641">
        <f t="shared" si="16"/>
        <v>313.95436800000004</v>
      </c>
      <c r="D28" s="2641">
        <f t="shared" si="13"/>
        <v>313.95436800000004</v>
      </c>
      <c r="E28" s="2641">
        <f t="shared" si="17"/>
        <v>596.63028431999999</v>
      </c>
      <c r="F28" s="2641">
        <f t="shared" si="17"/>
        <v>274.74220703999998</v>
      </c>
      <c r="G28" s="3933"/>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1864</v>
      </c>
      <c r="B29" s="2641">
        <f t="shared" si="16"/>
        <v>405.524</v>
      </c>
      <c r="C29" s="2641">
        <f t="shared" si="16"/>
        <v>307.79840000000002</v>
      </c>
      <c r="D29" s="2641">
        <f t="shared" si="13"/>
        <v>307.79840000000002</v>
      </c>
      <c r="E29" s="2641">
        <f t="shared" si="17"/>
        <v>574.67759999999998</v>
      </c>
      <c r="F29" s="2641">
        <f t="shared" si="17"/>
        <v>270.20280000000002</v>
      </c>
      <c r="G29" s="3934"/>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32">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33"/>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33"/>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36"/>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892</v>
      </c>
      <c r="B34" s="2662">
        <v>333</v>
      </c>
      <c r="C34" s="2662">
        <v>277</v>
      </c>
      <c r="D34" s="2662">
        <f t="shared" si="20"/>
        <v>277</v>
      </c>
      <c r="E34" s="2662">
        <v>459</v>
      </c>
      <c r="F34" s="2663">
        <v>249</v>
      </c>
      <c r="G34" s="3935">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33"/>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33"/>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36"/>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888</v>
      </c>
      <c r="B38" s="2669">
        <v>318</v>
      </c>
      <c r="C38" s="2669">
        <v>268</v>
      </c>
      <c r="D38" s="2669">
        <f t="shared" si="20"/>
        <v>268</v>
      </c>
      <c r="E38" s="2669">
        <v>437</v>
      </c>
      <c r="F38" s="2670">
        <v>237</v>
      </c>
      <c r="G38" s="3935">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33"/>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33"/>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36"/>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1922</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1865</v>
      </c>
      <c r="B42" s="2662">
        <v>299</v>
      </c>
      <c r="C42" s="2662">
        <v>252</v>
      </c>
      <c r="D42" s="2662">
        <f t="shared" si="20"/>
        <v>252</v>
      </c>
      <c r="E42" s="2662">
        <v>409</v>
      </c>
      <c r="F42" s="2663">
        <v>227</v>
      </c>
      <c r="G42" s="3940">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1866</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41"/>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1867</v>
      </c>
      <c r="B44" s="2641">
        <f t="shared" si="27"/>
        <v>288.2649053828776</v>
      </c>
      <c r="C44" s="2641">
        <f t="shared" si="27"/>
        <v>243.64564425013293</v>
      </c>
      <c r="D44" s="2641">
        <f t="shared" si="20"/>
        <v>243.64564425013293</v>
      </c>
      <c r="E44" s="2641">
        <f t="shared" si="28"/>
        <v>393.31080825986544</v>
      </c>
      <c r="F44" s="2641">
        <f t="shared" si="28"/>
        <v>223.07903790551154</v>
      </c>
      <c r="G44" s="3941"/>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1868</v>
      </c>
      <c r="B45" s="2641">
        <f t="shared" si="27"/>
        <v>282.50186729015837</v>
      </c>
      <c r="C45" s="2641">
        <f t="shared" si="27"/>
        <v>238.09796174155468</v>
      </c>
      <c r="D45" s="2641">
        <f t="shared" si="20"/>
        <v>238.09796174155468</v>
      </c>
      <c r="E45" s="2641">
        <f t="shared" si="28"/>
        <v>385.33438646014054</v>
      </c>
      <c r="F45" s="2641">
        <f t="shared" si="28"/>
        <v>221.55034055567739</v>
      </c>
      <c r="G45" s="3942"/>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1869</v>
      </c>
      <c r="B46" s="2690">
        <v>278</v>
      </c>
      <c r="C46" s="2690">
        <v>234</v>
      </c>
      <c r="D46" s="2690">
        <f t="shared" si="20"/>
        <v>234</v>
      </c>
      <c r="E46" s="2690">
        <v>379</v>
      </c>
      <c r="F46" s="2691">
        <v>220</v>
      </c>
      <c r="G46" s="3935">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1870</v>
      </c>
      <c r="B47" s="2641">
        <f>B46/(1+N46)</f>
        <v>275.49301357645425</v>
      </c>
      <c r="C47" s="2641">
        <f>C46/(1+O46)</f>
        <v>232.41954707985698</v>
      </c>
      <c r="D47" s="2641">
        <f t="shared" si="20"/>
        <v>232.41954707985698</v>
      </c>
      <c r="E47" s="2641">
        <f t="shared" ref="E47:F49" si="29">E46/(1+P46)</f>
        <v>375.32184591008121</v>
      </c>
      <c r="F47" s="2641">
        <f t="shared" si="29"/>
        <v>218.03766105054513</v>
      </c>
      <c r="G47" s="3933"/>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1871</v>
      </c>
      <c r="B48" s="2641">
        <f>B47/(1+N47)</f>
        <v>275.24529281292263</v>
      </c>
      <c r="C48" s="2641">
        <f>C47/(1+O47)</f>
        <v>231.74747938962707</v>
      </c>
      <c r="D48" s="2641">
        <f t="shared" si="20"/>
        <v>231.74747938962707</v>
      </c>
      <c r="E48" s="2641">
        <f t="shared" si="29"/>
        <v>375.35938184826603</v>
      </c>
      <c r="F48" s="2641">
        <f t="shared" si="29"/>
        <v>216.78033510692495</v>
      </c>
      <c r="G48" s="3933"/>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1872</v>
      </c>
      <c r="B49" s="2641">
        <f>B48/(1+N48)</f>
        <v>275.19025476197027</v>
      </c>
      <c r="C49" s="2692">
        <v>232</v>
      </c>
      <c r="D49" s="2692">
        <f t="shared" si="20"/>
        <v>232</v>
      </c>
      <c r="E49" s="2641">
        <f t="shared" si="29"/>
        <v>375.65990977608692</v>
      </c>
      <c r="F49" s="2641">
        <f t="shared" si="29"/>
        <v>214.12518283971252</v>
      </c>
      <c r="G49" s="3936"/>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1873</v>
      </c>
      <c r="B50" s="2662">
        <v>275</v>
      </c>
      <c r="C50" s="2662">
        <v>232</v>
      </c>
      <c r="D50" s="2662">
        <f t="shared" si="20"/>
        <v>232</v>
      </c>
      <c r="E50" s="2662">
        <v>376</v>
      </c>
      <c r="F50" s="2663">
        <v>213</v>
      </c>
      <c r="G50" s="3935">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1874</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33">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1875</v>
      </c>
      <c r="B52" s="2641">
        <f t="shared" si="30"/>
        <v>275.19335084830601</v>
      </c>
      <c r="C52" s="2641">
        <f t="shared" si="30"/>
        <v>230.18088050139744</v>
      </c>
      <c r="D52" s="2641">
        <f t="shared" si="20"/>
        <v>230.18088050139744</v>
      </c>
      <c r="E52" s="2641">
        <f t="shared" si="31"/>
        <v>377.58482925212331</v>
      </c>
      <c r="F52" s="2641">
        <f t="shared" si="31"/>
        <v>210.90687997847917</v>
      </c>
      <c r="G52" s="3933">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1876</v>
      </c>
      <c r="B53" s="2641">
        <f t="shared" si="30"/>
        <v>276.29854502841971</v>
      </c>
      <c r="C53" s="2641">
        <f t="shared" si="30"/>
        <v>229.79023709833027</v>
      </c>
      <c r="D53" s="2641">
        <f t="shared" si="20"/>
        <v>229.79023709833027</v>
      </c>
      <c r="E53" s="2641">
        <f t="shared" si="31"/>
        <v>379.78759731655936</v>
      </c>
      <c r="F53" s="2641">
        <f t="shared" si="31"/>
        <v>211.32953905659235</v>
      </c>
      <c r="G53" s="3936">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1877</v>
      </c>
      <c r="B54" s="2662">
        <v>269</v>
      </c>
      <c r="C54" s="2662">
        <v>221</v>
      </c>
      <c r="D54" s="2662">
        <f t="shared" si="20"/>
        <v>221</v>
      </c>
      <c r="E54" s="2662">
        <v>373</v>
      </c>
      <c r="F54" s="2663">
        <v>196</v>
      </c>
      <c r="G54" s="3935">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1878</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33">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1879</v>
      </c>
      <c r="B56" s="2641">
        <f t="shared" si="32"/>
        <v>242.95398227588385</v>
      </c>
      <c r="C56" s="2641">
        <f t="shared" si="32"/>
        <v>199.59137053614126</v>
      </c>
      <c r="D56" s="2641">
        <f t="shared" si="20"/>
        <v>199.59137053614126</v>
      </c>
      <c r="E56" s="2641">
        <f t="shared" si="33"/>
        <v>335.92189522342125</v>
      </c>
      <c r="F56" s="2641">
        <f t="shared" si="33"/>
        <v>183.10139991109489</v>
      </c>
      <c r="G56" s="3933">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1880</v>
      </c>
      <c r="B57" s="2641">
        <f t="shared" si="32"/>
        <v>232.06990378821649</v>
      </c>
      <c r="C57" s="2641">
        <f t="shared" si="32"/>
        <v>192.74878854286936</v>
      </c>
      <c r="D57" s="2641">
        <f t="shared" si="20"/>
        <v>192.74878854286936</v>
      </c>
      <c r="E57" s="2641">
        <f t="shared" si="33"/>
        <v>319.71247284992984</v>
      </c>
      <c r="F57" s="2641">
        <f t="shared" si="33"/>
        <v>175.67053622862409</v>
      </c>
      <c r="G57" s="3936">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1881</v>
      </c>
      <c r="B58" s="2662">
        <v>220</v>
      </c>
      <c r="C58" s="2662">
        <v>187</v>
      </c>
      <c r="D58" s="2662">
        <f t="shared" si="20"/>
        <v>187</v>
      </c>
      <c r="E58" s="2662">
        <v>301</v>
      </c>
      <c r="F58" s="2663">
        <v>168</v>
      </c>
      <c r="G58" s="3935">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1882</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33">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1883</v>
      </c>
      <c r="B60" s="2641">
        <f t="shared" si="34"/>
        <v>210.630522469011</v>
      </c>
      <c r="C60" s="2641">
        <f t="shared" si="34"/>
        <v>181.69567812247232</v>
      </c>
      <c r="D60" s="2641">
        <f t="shared" si="20"/>
        <v>181.69567812247232</v>
      </c>
      <c r="E60" s="2641">
        <f t="shared" si="35"/>
        <v>286.13517466736738</v>
      </c>
      <c r="F60" s="2641">
        <f t="shared" si="35"/>
        <v>165.47535084591149</v>
      </c>
      <c r="G60" s="3933">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1884</v>
      </c>
      <c r="B61" s="2641">
        <f t="shared" si="34"/>
        <v>208.83454537875372</v>
      </c>
      <c r="C61" s="2641">
        <f t="shared" si="34"/>
        <v>183.77230517090351</v>
      </c>
      <c r="D61" s="2641">
        <f t="shared" si="20"/>
        <v>183.77230517090351</v>
      </c>
      <c r="E61" s="2641">
        <f t="shared" si="35"/>
        <v>281.10342338870947</v>
      </c>
      <c r="F61" s="2641">
        <f t="shared" si="35"/>
        <v>168.97309388942256</v>
      </c>
      <c r="G61" s="3936">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1885</v>
      </c>
      <c r="B62" s="2690">
        <v>214</v>
      </c>
      <c r="C62" s="2690">
        <v>188</v>
      </c>
      <c r="D62" s="2690">
        <f t="shared" si="20"/>
        <v>188</v>
      </c>
      <c r="E62" s="2690">
        <v>289</v>
      </c>
      <c r="F62" s="2691">
        <v>166</v>
      </c>
      <c r="G62" s="3935">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1886</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33">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1887</v>
      </c>
      <c r="B64" s="2641">
        <f t="shared" si="36"/>
        <v>206.31694671589116</v>
      </c>
      <c r="C64" s="2641">
        <f t="shared" si="36"/>
        <v>183.61041121036101</v>
      </c>
      <c r="D64" s="2641">
        <f t="shared" si="20"/>
        <v>183.61041121036101</v>
      </c>
      <c r="E64" s="2641">
        <f t="shared" si="37"/>
        <v>276.66850301795557</v>
      </c>
      <c r="F64" s="2641">
        <f t="shared" si="37"/>
        <v>165.1360938278614</v>
      </c>
      <c r="G64" s="3933">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1888</v>
      </c>
      <c r="B65" s="2693">
        <f t="shared" si="36"/>
        <v>196.62341248059772</v>
      </c>
      <c r="C65" s="2693">
        <f t="shared" si="36"/>
        <v>170.99125648199012</v>
      </c>
      <c r="D65" s="2693">
        <f t="shared" si="20"/>
        <v>170.99125648199012</v>
      </c>
      <c r="E65" s="2693">
        <f t="shared" si="37"/>
        <v>266.07857570490052</v>
      </c>
      <c r="F65" s="2693">
        <f t="shared" si="37"/>
        <v>154.53499328828505</v>
      </c>
      <c r="G65" s="3936">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1889</v>
      </c>
      <c r="B66" s="2662">
        <v>188</v>
      </c>
      <c r="C66" s="2662">
        <v>165</v>
      </c>
      <c r="D66" s="2662">
        <f t="shared" si="20"/>
        <v>165</v>
      </c>
      <c r="E66" s="2662">
        <v>254</v>
      </c>
      <c r="F66" s="2663">
        <v>148</v>
      </c>
      <c r="G66" s="3935">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1890</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33">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1891</v>
      </c>
      <c r="B68" s="2641">
        <f t="shared" si="40"/>
        <v>168.82017748715555</v>
      </c>
      <c r="C68" s="2641">
        <f t="shared" si="40"/>
        <v>148.06267029972753</v>
      </c>
      <c r="D68" s="2641">
        <f t="shared" si="20"/>
        <v>148.06267029972753</v>
      </c>
      <c r="E68" s="2641">
        <f t="shared" si="41"/>
        <v>216.46288379323747</v>
      </c>
      <c r="F68" s="2641">
        <f t="shared" si="41"/>
        <v>134.23529411764704</v>
      </c>
      <c r="G68" s="3933">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1892</v>
      </c>
      <c r="B69" s="2641">
        <f t="shared" si="40"/>
        <v>163.84913591779542</v>
      </c>
      <c r="C69" s="2641">
        <f t="shared" si="40"/>
        <v>145.0283378746594</v>
      </c>
      <c r="D69" s="2641">
        <f t="shared" si="20"/>
        <v>145.0283378746594</v>
      </c>
      <c r="E69" s="2641">
        <f t="shared" si="41"/>
        <v>204.95180722891567</v>
      </c>
      <c r="F69" s="2641">
        <f t="shared" si="41"/>
        <v>125.95920303605313</v>
      </c>
      <c r="G69" s="3936">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1893</v>
      </c>
      <c r="B70" s="2669">
        <v>159</v>
      </c>
      <c r="C70" s="2669">
        <v>141</v>
      </c>
      <c r="D70" s="2669">
        <f t="shared" si="20"/>
        <v>141</v>
      </c>
      <c r="E70" s="2669">
        <v>195</v>
      </c>
      <c r="F70" s="2670">
        <v>122</v>
      </c>
      <c r="G70" s="3935">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1894</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33">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1895</v>
      </c>
      <c r="B72" s="2641">
        <f t="shared" si="44"/>
        <v>146.57412060301507</v>
      </c>
      <c r="C72" s="2641">
        <f t="shared" si="44"/>
        <v>136.46831955922866</v>
      </c>
      <c r="D72" s="2641">
        <f t="shared" si="20"/>
        <v>136.46831955922866</v>
      </c>
      <c r="E72" s="2641">
        <f t="shared" si="45"/>
        <v>166.73864894795128</v>
      </c>
      <c r="F72" s="2641">
        <f t="shared" si="45"/>
        <v>115.05882352941177</v>
      </c>
      <c r="G72" s="3933">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1896</v>
      </c>
      <c r="B73" s="2641">
        <f t="shared" si="44"/>
        <v>144.04145728643215</v>
      </c>
      <c r="C73" s="2641">
        <f t="shared" si="44"/>
        <v>136.12396694214877</v>
      </c>
      <c r="D73" s="2641">
        <f t="shared" si="20"/>
        <v>136.12396694214877</v>
      </c>
      <c r="E73" s="2641">
        <f t="shared" si="45"/>
        <v>158.32225913621264</v>
      </c>
      <c r="F73" s="2641">
        <f t="shared" si="45"/>
        <v>114.04278074866311</v>
      </c>
      <c r="G73" s="3936">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1897</v>
      </c>
      <c r="B74" s="2669">
        <v>138</v>
      </c>
      <c r="C74" s="2669">
        <v>131</v>
      </c>
      <c r="D74" s="2669">
        <f t="shared" si="20"/>
        <v>131</v>
      </c>
      <c r="E74" s="2669">
        <v>155</v>
      </c>
      <c r="F74" s="2670">
        <v>114</v>
      </c>
      <c r="G74" s="3935">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1898</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33">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1899</v>
      </c>
      <c r="B76" s="2641">
        <f t="shared" si="48"/>
        <v>124.29032258064517</v>
      </c>
      <c r="C76" s="2641">
        <f t="shared" si="48"/>
        <v>123.8968609865471</v>
      </c>
      <c r="D76" s="2641">
        <f t="shared" si="20"/>
        <v>123.8968609865471</v>
      </c>
      <c r="E76" s="2641">
        <f t="shared" si="49"/>
        <v>138.00507614213197</v>
      </c>
      <c r="F76" s="2641">
        <f t="shared" si="49"/>
        <v>107.96106557377048</v>
      </c>
      <c r="G76" s="3933">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1900</v>
      </c>
      <c r="B77" s="2641">
        <f t="shared" si="48"/>
        <v>122.57204301075269</v>
      </c>
      <c r="C77" s="2641">
        <f t="shared" si="48"/>
        <v>123.4932735426009</v>
      </c>
      <c r="D77" s="2641">
        <f t="shared" si="20"/>
        <v>123.4932735426009</v>
      </c>
      <c r="E77" s="2641">
        <f t="shared" si="49"/>
        <v>129.82233502538071</v>
      </c>
      <c r="F77" s="2641">
        <f t="shared" si="49"/>
        <v>107.39446721311475</v>
      </c>
      <c r="G77" s="3936">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1901</v>
      </c>
      <c r="B78" s="2690">
        <v>121</v>
      </c>
      <c r="C78" s="2690">
        <v>122</v>
      </c>
      <c r="D78" s="2690">
        <f t="shared" si="20"/>
        <v>122</v>
      </c>
      <c r="E78" s="2690">
        <v>124</v>
      </c>
      <c r="F78" s="2691">
        <v>107</v>
      </c>
      <c r="G78" s="3935">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1902</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33">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1903</v>
      </c>
      <c r="B80" s="2641">
        <f t="shared" si="52"/>
        <v>116.99099099099099</v>
      </c>
      <c r="C80" s="2641">
        <f t="shared" si="52"/>
        <v>118.84848484848486</v>
      </c>
      <c r="D80" s="2641">
        <f t="shared" si="20"/>
        <v>118.84848484848486</v>
      </c>
      <c r="E80" s="2641">
        <f t="shared" si="53"/>
        <v>117.60960960960961</v>
      </c>
      <c r="F80" s="2641">
        <f t="shared" si="53"/>
        <v>104</v>
      </c>
      <c r="G80" s="3933">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1904</v>
      </c>
      <c r="B81" s="2693">
        <f t="shared" si="52"/>
        <v>112.48648648648648</v>
      </c>
      <c r="C81" s="2693">
        <f t="shared" si="52"/>
        <v>115.21212121212122</v>
      </c>
      <c r="D81" s="2693">
        <f t="shared" si="20"/>
        <v>115.21212121212122</v>
      </c>
      <c r="E81" s="2693">
        <f t="shared" si="53"/>
        <v>110.4024024024024</v>
      </c>
      <c r="F81" s="2693">
        <f t="shared" si="53"/>
        <v>104</v>
      </c>
      <c r="G81" s="3936">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1905</v>
      </c>
      <c r="B82" s="2710">
        <v>111</v>
      </c>
      <c r="C82" s="2710">
        <v>114</v>
      </c>
      <c r="D82" s="2710">
        <f t="shared" si="20"/>
        <v>114</v>
      </c>
      <c r="E82" s="2710">
        <v>108</v>
      </c>
      <c r="F82" s="2711">
        <v>104</v>
      </c>
      <c r="G82" s="3935">
        <v>2003</v>
      </c>
      <c r="H82" s="2700">
        <v>4</v>
      </c>
      <c r="I82" s="2712"/>
      <c r="J82" s="2712"/>
      <c r="K82" s="2712"/>
      <c r="L82" s="2712"/>
      <c r="N82" s="2713"/>
      <c r="O82" s="2712"/>
      <c r="P82" s="2712"/>
      <c r="Q82" s="2712"/>
      <c r="S82" s="2713"/>
      <c r="T82" s="2712"/>
      <c r="U82" s="2712"/>
      <c r="V82" s="2712"/>
      <c r="X82" s="2704"/>
      <c r="Y82" s="2704"/>
      <c r="Z82" s="2704"/>
    </row>
    <row r="83" spans="1:26">
      <c r="A83" s="2640" t="s">
        <v>1906</v>
      </c>
      <c r="B83" s="2714">
        <f t="shared" ref="B83:C85" si="54">B84+(B$82-B$86)/4</f>
        <v>109.75</v>
      </c>
      <c r="C83" s="2714">
        <f t="shared" si="54"/>
        <v>112.25</v>
      </c>
      <c r="D83" s="2714">
        <f t="shared" si="20"/>
        <v>112.25</v>
      </c>
      <c r="E83" s="2714">
        <f t="shared" ref="E83:F85" si="55">E84+(E$82-E$86)/4</f>
        <v>107.25</v>
      </c>
      <c r="F83" s="2714">
        <f t="shared" si="55"/>
        <v>103.5</v>
      </c>
      <c r="G83" s="3933">
        <v>2003</v>
      </c>
      <c r="H83" s="2667">
        <v>3</v>
      </c>
      <c r="I83" s="2712"/>
      <c r="J83" s="2712"/>
      <c r="K83" s="2712"/>
      <c r="L83" s="2712"/>
      <c r="X83" s="2704"/>
      <c r="Y83" s="2704"/>
      <c r="Z83" s="2704"/>
    </row>
    <row r="84" spans="1:26">
      <c r="A84" s="2640" t="s">
        <v>1907</v>
      </c>
      <c r="B84" s="2714">
        <f t="shared" si="54"/>
        <v>108.5</v>
      </c>
      <c r="C84" s="2714">
        <f t="shared" si="54"/>
        <v>110.5</v>
      </c>
      <c r="D84" s="2714">
        <f t="shared" si="20"/>
        <v>110.5</v>
      </c>
      <c r="E84" s="2714">
        <f t="shared" si="55"/>
        <v>106.5</v>
      </c>
      <c r="F84" s="2714">
        <f t="shared" si="55"/>
        <v>103</v>
      </c>
      <c r="G84" s="3933">
        <v>2003</v>
      </c>
      <c r="H84" s="2655">
        <v>2</v>
      </c>
      <c r="I84" s="2712"/>
      <c r="J84" s="2712"/>
      <c r="K84" s="2712"/>
      <c r="L84" s="2712"/>
      <c r="X84" s="2704"/>
      <c r="Y84" s="2704"/>
      <c r="Z84" s="2704"/>
    </row>
    <row r="85" spans="1:26" ht="13.5" thickBot="1">
      <c r="A85" s="2640" t="s">
        <v>1908</v>
      </c>
      <c r="B85" s="2714">
        <f t="shared" si="54"/>
        <v>107.25</v>
      </c>
      <c r="C85" s="2714">
        <f t="shared" si="54"/>
        <v>108.75</v>
      </c>
      <c r="D85" s="2714">
        <f t="shared" si="20"/>
        <v>108.75</v>
      </c>
      <c r="E85" s="2714">
        <f t="shared" si="55"/>
        <v>105.75</v>
      </c>
      <c r="F85" s="2714">
        <f t="shared" si="55"/>
        <v>102.5</v>
      </c>
      <c r="G85" s="3936">
        <v>2003</v>
      </c>
      <c r="H85" s="2715">
        <v>1</v>
      </c>
      <c r="I85" s="2712"/>
      <c r="J85" s="2712"/>
      <c r="K85" s="2712"/>
      <c r="L85" s="2712"/>
      <c r="S85" s="2643"/>
      <c r="T85" s="2639"/>
      <c r="U85" s="2639"/>
      <c r="X85" s="2704"/>
      <c r="Y85" s="2704"/>
      <c r="Z85" s="2704"/>
    </row>
    <row r="86" spans="1:26" ht="13.5" thickBot="1">
      <c r="A86" s="2640" t="s">
        <v>1909</v>
      </c>
      <c r="B86" s="2716">
        <v>106</v>
      </c>
      <c r="C86" s="2716">
        <v>107</v>
      </c>
      <c r="D86" s="2716">
        <f t="shared" si="20"/>
        <v>107</v>
      </c>
      <c r="E86" s="2716">
        <v>105</v>
      </c>
      <c r="F86" s="2717">
        <v>102</v>
      </c>
      <c r="G86" s="3935">
        <v>2002</v>
      </c>
      <c r="H86" s="2664">
        <v>4</v>
      </c>
      <c r="I86" s="2712"/>
      <c r="J86" s="2712"/>
      <c r="K86" s="2712"/>
      <c r="L86" s="2712"/>
      <c r="N86" s="2713"/>
      <c r="O86" s="2712"/>
      <c r="P86" s="2712"/>
      <c r="Q86" s="2712"/>
      <c r="S86" s="2713"/>
      <c r="T86" s="2712"/>
      <c r="U86" s="2712"/>
      <c r="V86" s="2712"/>
      <c r="X86" s="2704"/>
      <c r="Y86" s="2704"/>
      <c r="Z86" s="2704"/>
    </row>
    <row r="87" spans="1:26">
      <c r="A87" s="2640" t="s">
        <v>1910</v>
      </c>
      <c r="B87" s="2714">
        <f t="shared" ref="B87:C89" si="56">B88+(B$86-B$90)/4</f>
        <v>105</v>
      </c>
      <c r="C87" s="2714">
        <f t="shared" si="56"/>
        <v>106</v>
      </c>
      <c r="D87" s="2714">
        <f t="shared" si="20"/>
        <v>106</v>
      </c>
      <c r="E87" s="2714">
        <f t="shared" ref="E87:F89" si="57">E88+(E$86-E$90)/4</f>
        <v>104.5</v>
      </c>
      <c r="F87" s="2714">
        <f t="shared" si="57"/>
        <v>101.5</v>
      </c>
      <c r="G87" s="3933">
        <v>2002</v>
      </c>
      <c r="H87" s="2667">
        <v>3</v>
      </c>
      <c r="I87" s="2712"/>
      <c r="J87" s="2712"/>
      <c r="K87" s="2712"/>
      <c r="L87" s="2712"/>
      <c r="X87" s="2704"/>
      <c r="Y87" s="2704"/>
      <c r="Z87" s="2704"/>
    </row>
    <row r="88" spans="1:26">
      <c r="A88" s="2640" t="s">
        <v>1911</v>
      </c>
      <c r="B88" s="2714">
        <f t="shared" si="56"/>
        <v>104</v>
      </c>
      <c r="C88" s="2714">
        <f t="shared" si="56"/>
        <v>105</v>
      </c>
      <c r="D88" s="2714">
        <f t="shared" si="20"/>
        <v>105</v>
      </c>
      <c r="E88" s="2714">
        <f t="shared" si="57"/>
        <v>104</v>
      </c>
      <c r="F88" s="2714">
        <f t="shared" si="57"/>
        <v>101</v>
      </c>
      <c r="G88" s="3933">
        <v>2002</v>
      </c>
      <c r="H88" s="2655">
        <v>2</v>
      </c>
      <c r="I88" s="2712"/>
      <c r="J88" s="2712"/>
      <c r="K88" s="2712"/>
      <c r="L88" s="2712"/>
      <c r="X88" s="2704"/>
      <c r="Y88" s="2704"/>
      <c r="Z88" s="2704"/>
    </row>
    <row r="89" spans="1:26" s="2677" customFormat="1" ht="13.5" thickBot="1">
      <c r="A89" s="2673" t="s">
        <v>1912</v>
      </c>
      <c r="B89" s="2680">
        <f t="shared" si="56"/>
        <v>103</v>
      </c>
      <c r="C89" s="2680">
        <f t="shared" si="56"/>
        <v>104</v>
      </c>
      <c r="D89" s="2680">
        <f t="shared" si="20"/>
        <v>104</v>
      </c>
      <c r="E89" s="2680">
        <f t="shared" si="57"/>
        <v>103.5</v>
      </c>
      <c r="F89" s="2680">
        <f t="shared" si="57"/>
        <v>100.5</v>
      </c>
      <c r="G89" s="3936">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1913</v>
      </c>
      <c r="G92" s="2727"/>
      <c r="N92" s="2727"/>
      <c r="S92" s="2727"/>
    </row>
    <row r="93" spans="1:26" s="2726" customFormat="1">
      <c r="A93" s="2726" t="s">
        <v>1914</v>
      </c>
      <c r="G93" s="2727"/>
      <c r="N93" s="2727"/>
      <c r="S93" s="2727"/>
    </row>
    <row r="94" spans="1:26" s="2726" customFormat="1">
      <c r="A94" s="2726" t="s">
        <v>1915</v>
      </c>
      <c r="G94" s="2727"/>
      <c r="I94" s="2728"/>
      <c r="J94" s="2728"/>
      <c r="K94" s="2728"/>
      <c r="L94" s="2728"/>
      <c r="N94" s="2729"/>
      <c r="O94" s="2728"/>
      <c r="P94" s="2728"/>
      <c r="Q94" s="2728"/>
      <c r="S94" s="2729"/>
      <c r="T94" s="2728"/>
      <c r="U94" s="2728"/>
      <c r="V94" s="2728"/>
    </row>
    <row r="95" spans="1:26" s="2726" customFormat="1">
      <c r="A95" s="2726" t="s">
        <v>1916</v>
      </c>
      <c r="G95" s="2727"/>
      <c r="N95" s="2727"/>
      <c r="S95" s="2727"/>
    </row>
    <row r="102" spans="7:22" ht="13.5" thickBot="1"/>
    <row r="103" spans="7:22">
      <c r="G103" s="2638"/>
      <c r="S103" s="2730" t="s">
        <v>1917</v>
      </c>
      <c r="T103" s="2731" t="s">
        <v>1918</v>
      </c>
      <c r="U103" s="2731" t="s">
        <v>1919</v>
      </c>
      <c r="V103" s="2731" t="s">
        <v>1920</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G28" sqref="G28"/>
    </sheetView>
  </sheetViews>
  <sheetFormatPr defaultRowHeight="13.5"/>
  <cols>
    <col min="1" max="1" width="12.375" customWidth="1"/>
    <col min="11" max="17" width="0" hidden="1" customWidth="1"/>
    <col min="24" max="30" width="0" hidden="1" customWidth="1"/>
  </cols>
  <sheetData>
    <row r="1" spans="1:30">
      <c r="A1" s="3399">
        <f>基准地价!G23</f>
        <v>45175</v>
      </c>
      <c r="B1" s="3347" t="s">
        <v>2784</v>
      </c>
      <c r="C1" s="3348"/>
      <c r="D1" s="3348"/>
      <c r="E1" s="3348"/>
      <c r="F1" s="3348"/>
      <c r="G1" s="3348"/>
      <c r="H1" s="3348"/>
      <c r="I1" s="3348"/>
      <c r="J1" s="3349"/>
      <c r="K1" s="3348" t="s">
        <v>2785</v>
      </c>
      <c r="L1" s="3348"/>
      <c r="M1" s="3348"/>
      <c r="N1" s="3348"/>
      <c r="O1" s="3348"/>
      <c r="P1" s="3348"/>
      <c r="Q1" s="3349"/>
      <c r="R1" s="3943" t="s">
        <v>2794</v>
      </c>
      <c r="S1" s="3944"/>
      <c r="T1" s="3944"/>
      <c r="U1" s="3944"/>
      <c r="V1" s="3944"/>
      <c r="W1" s="3944"/>
      <c r="X1" s="3349"/>
      <c r="Y1" s="3943" t="s">
        <v>2805</v>
      </c>
      <c r="Z1" s="3944"/>
      <c r="AA1" s="3944"/>
      <c r="AB1" s="3944"/>
      <c r="AC1" s="3944"/>
      <c r="AD1" s="3944"/>
    </row>
    <row r="2" spans="1:30" ht="14.25" thickBot="1">
      <c r="A2" s="3340"/>
      <c r="B2" s="3350"/>
      <c r="C2" s="3351"/>
      <c r="D2" s="3352" t="s">
        <v>2787</v>
      </c>
      <c r="E2" s="3353" t="s">
        <v>2788</v>
      </c>
      <c r="F2" s="3353" t="s">
        <v>2789</v>
      </c>
      <c r="G2" s="3353" t="s">
        <v>2790</v>
      </c>
      <c r="H2" s="3353" t="s">
        <v>2791</v>
      </c>
      <c r="I2" s="3353" t="s">
        <v>2732</v>
      </c>
      <c r="J2" s="3354"/>
      <c r="K2" s="3352" t="s">
        <v>2787</v>
      </c>
      <c r="L2" s="3353" t="s">
        <v>2788</v>
      </c>
      <c r="M2" s="3353" t="s">
        <v>2789</v>
      </c>
      <c r="N2" s="3353" t="s">
        <v>2790</v>
      </c>
      <c r="O2" s="3353" t="s">
        <v>2791</v>
      </c>
      <c r="P2" s="3353" t="s">
        <v>2732</v>
      </c>
      <c r="Q2" s="3354"/>
      <c r="R2" s="3352" t="s">
        <v>2795</v>
      </c>
      <c r="S2" s="3353" t="s">
        <v>2796</v>
      </c>
      <c r="T2" s="3353" t="s">
        <v>2797</v>
      </c>
      <c r="U2" s="3353" t="s">
        <v>2798</v>
      </c>
      <c r="V2" s="3353" t="s">
        <v>2799</v>
      </c>
      <c r="W2" s="3353" t="s">
        <v>2800</v>
      </c>
      <c r="X2" s="3354"/>
      <c r="Y2" s="3352" t="s">
        <v>2787</v>
      </c>
      <c r="Z2" s="3353" t="s">
        <v>1470</v>
      </c>
      <c r="AA2" s="3353" t="s">
        <v>2806</v>
      </c>
      <c r="AB2" s="3353" t="s">
        <v>1469</v>
      </c>
      <c r="AC2" s="3353" t="s">
        <v>2791</v>
      </c>
      <c r="AD2" s="3353" t="s">
        <v>2449</v>
      </c>
    </row>
    <row r="3" spans="1:30">
      <c r="A3" s="3341" t="s">
        <v>2775</v>
      </c>
      <c r="B3" s="3355"/>
      <c r="C3" s="3356"/>
      <c r="D3" s="3356">
        <f>ROUND(AVERAGEIF(D4:D16,"&lt;&gt;0"),2)</f>
        <v>0.83</v>
      </c>
      <c r="E3" s="3356">
        <f>ROUND(AVERAGEIF(E4:E16,"&lt;&gt;0"),2)</f>
        <v>0.4</v>
      </c>
      <c r="F3" s="3356">
        <f>ROUND(AVERAGEIF(F4:F16,"&lt;&gt;0"),2)</f>
        <v>0.22</v>
      </c>
      <c r="G3" s="3356">
        <f>ROUND(AVERAGEIF(G4:G16,"&lt;&gt;0"),2)</f>
        <v>0.9</v>
      </c>
      <c r="H3" s="3356">
        <f>ROUND(AVERAGEIF(H4:H16,"&lt;&gt;0"),2)</f>
        <v>0.65</v>
      </c>
      <c r="I3" s="3356">
        <f>F3</f>
        <v>0.22</v>
      </c>
      <c r="J3" s="3357"/>
      <c r="K3" s="3358">
        <f>ROUND(AVERAGEIF(K4:K16,"&lt;&gt;0"),4)</f>
        <v>8.3000000000000001E-3</v>
      </c>
      <c r="L3" s="3359">
        <f>ROUND(AVERAGEIF(L4:L16,"&lt;&gt;0"),4)</f>
        <v>4.0000000000000001E-3</v>
      </c>
      <c r="M3" s="3359">
        <f>ROUND(AVERAGEIF(M4:M16,"&lt;&gt;0"),4)</f>
        <v>2.2000000000000001E-3</v>
      </c>
      <c r="N3" s="3359">
        <f>ROUND(AVERAGEIF(N4:N16,"&lt;&gt;0"),4)</f>
        <v>8.9999999999999993E-3</v>
      </c>
      <c r="O3" s="3359">
        <f>ROUND(AVERAGEIF(O4:O16,"&lt;&gt;0"),4)</f>
        <v>6.4999999999999997E-3</v>
      </c>
      <c r="P3" s="3359">
        <f>M3</f>
        <v>2.2000000000000001E-3</v>
      </c>
      <c r="Q3" s="3357"/>
      <c r="R3" s="3374">
        <f>ROUND(SUMPRODUCT(PRODUCT(1+K4:K16)),4)</f>
        <v>1.0860000000000001</v>
      </c>
      <c r="S3" s="3375">
        <f>ROUND(SUMPRODUCT(PRODUCT(1+L4:L16)),4)</f>
        <v>1.0410999999999999</v>
      </c>
      <c r="T3" s="3375">
        <f>ROUND(SUMPRODUCT(PRODUCT(1+M4:M16)),4)</f>
        <v>1.0225</v>
      </c>
      <c r="U3" s="3375">
        <f>ROUND(SUMPRODUCT(PRODUCT(1+N4:N16)),4)</f>
        <v>1.0938000000000001</v>
      </c>
      <c r="V3" s="3375">
        <f>ROUND(SUMPRODUCT(PRODUCT(1+O4:O16)),4)</f>
        <v>1.0668</v>
      </c>
      <c r="W3" s="3374">
        <f>T3</f>
        <v>1.0225</v>
      </c>
      <c r="X3" s="3357"/>
      <c r="Y3" s="3382">
        <f>ROUND(AVERAGEIF(Y5:Y16,"&lt;&gt;0"),4)</f>
        <v>8.6E-3</v>
      </c>
      <c r="Z3" s="3383">
        <f>ROUND(AVERAGEIF(Z5:Z16,"&lt;&gt;0"),4)</f>
        <v>3.5999999999999999E-3</v>
      </c>
      <c r="AA3" s="3384">
        <f>ROUND(AVERAGEIF(AA5:AA16,"&lt;&gt;0"),4)</f>
        <v>1.1000000000000001E-3</v>
      </c>
      <c r="AB3" s="3382">
        <f>ROUND(AVERAGEIF(AB5:AB16,"&lt;&gt;0"),4)</f>
        <v>9.4000000000000004E-3</v>
      </c>
      <c r="AC3" s="3385">
        <f>ROUND(AVERAGEIF(AC5:AC16,"&lt;&gt;0"),4)</f>
        <v>6.1999999999999998E-3</v>
      </c>
      <c r="AD3" s="3382">
        <f>AA3</f>
        <v>1.1000000000000001E-3</v>
      </c>
    </row>
    <row r="4" spans="1:30">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30">
      <c r="A5" s="3343" t="s">
        <v>3245</v>
      </c>
      <c r="B5" s="3402">
        <v>2023</v>
      </c>
      <c r="C5" s="3403">
        <v>4</v>
      </c>
      <c r="D5" s="3403">
        <v>0</v>
      </c>
      <c r="E5" s="3403">
        <v>0</v>
      </c>
      <c r="F5" s="3403">
        <v>0</v>
      </c>
      <c r="G5" s="3403">
        <v>0</v>
      </c>
      <c r="H5" s="3403">
        <v>0</v>
      </c>
      <c r="I5" s="3404">
        <f t="shared" ref="I5:I16" si="0">F5</f>
        <v>0</v>
      </c>
      <c r="J5" s="3364"/>
      <c r="K5" s="3365">
        <f t="shared" ref="K5:O16" si="1">D5/100</f>
        <v>0</v>
      </c>
      <c r="L5" s="3366">
        <f t="shared" si="1"/>
        <v>0</v>
      </c>
      <c r="M5" s="3366">
        <f t="shared" si="1"/>
        <v>0</v>
      </c>
      <c r="N5" s="3366">
        <f t="shared" si="1"/>
        <v>0</v>
      </c>
      <c r="O5" s="3366">
        <f t="shared" si="1"/>
        <v>0</v>
      </c>
      <c r="P5" s="3366">
        <f>M5</f>
        <v>0</v>
      </c>
      <c r="Q5" s="3364"/>
      <c r="R5" s="3380">
        <f>ROUND(IF(项目基本情况!$B$8="出让",SUMPRODUCT(PRODUCT(1+K5:$K$16)),SUMPRODUCT(PRODUCT(1+K5:$K$15))),4)</f>
        <v>1.0755999999999999</v>
      </c>
      <c r="S5" s="3380">
        <f>ROUND(IF(项目基本情况!$B$8="出让",SUMPRODUCT(PRODUCT(1+L5:$L$16)),SUMPRODUCT(PRODUCT(1+L5:$L$15))),4)</f>
        <v>1.0395000000000001</v>
      </c>
      <c r="T5" s="3380">
        <f>ROUND(IF(项目基本情况!$B$8="出让",SUMPRODUCT(PRODUCT(1+M5:$M$16)),SUMPRODUCT(PRODUCT(1+M5:$M$15))),4)</f>
        <v>1.0250999999999999</v>
      </c>
      <c r="U5" s="3380">
        <f>ROUND(IF(项目基本情况!$B$8="出让",SUMPRODUCT(PRODUCT(1+N5:$N$16)),SUMPRODUCT(PRODUCT(1+N5:$N$15))),4)</f>
        <v>1.0818000000000001</v>
      </c>
      <c r="V5" s="3380">
        <f>ROUND(IF(项目基本情况!$B$8="出让",SUMPRODUCT(PRODUCT(1+O5:$O$16)),SUMPRODUCT(PRODUCT(1+O5:$O$15))),4)</f>
        <v>1.0629999999999999</v>
      </c>
      <c r="W5" s="3380">
        <f>T5</f>
        <v>1.0250999999999999</v>
      </c>
      <c r="X5" s="3364"/>
      <c r="Y5" s="3389">
        <f>IF(D5=0,0,ROUND(AVERAGE(D5:D16)/100,4))</f>
        <v>0</v>
      </c>
      <c r="Z5" s="3389">
        <f>IF(E5=0,0,ROUND(AVERAGE(E5:E16)/100,4))</f>
        <v>0</v>
      </c>
      <c r="AA5" s="3389">
        <f>IF(F5=0,0,ROUND(AVERAGE(F5:F16)/100,4))</f>
        <v>0</v>
      </c>
      <c r="AB5" s="3389">
        <f>IF(G5=0,0,ROUND(AVERAGE(G5:G16)/100,4))</f>
        <v>0</v>
      </c>
      <c r="AC5" s="3389">
        <f>IF(H5=0,0,ROUND(AVERAGE(H5:H16)/100,4))</f>
        <v>0</v>
      </c>
      <c r="AD5" s="3389">
        <f t="shared" ref="AD5:AD15" si="2">AA5</f>
        <v>0</v>
      </c>
    </row>
    <row r="6" spans="1:30">
      <c r="A6" s="3343" t="s">
        <v>3246</v>
      </c>
      <c r="B6" s="3402">
        <v>2023</v>
      </c>
      <c r="C6" s="3403">
        <v>3</v>
      </c>
      <c r="D6" s="3403">
        <v>0</v>
      </c>
      <c r="E6" s="3403">
        <v>0</v>
      </c>
      <c r="F6" s="3403">
        <v>0</v>
      </c>
      <c r="G6" s="3403">
        <v>0</v>
      </c>
      <c r="H6" s="3403">
        <v>0</v>
      </c>
      <c r="I6" s="3404">
        <f t="shared" si="0"/>
        <v>0</v>
      </c>
      <c r="J6" s="3364"/>
      <c r="K6" s="3365">
        <f t="shared" ref="K6:K8" si="3">D6/100</f>
        <v>0</v>
      </c>
      <c r="L6" s="3366">
        <f t="shared" ref="L6:L8" si="4">E6/100</f>
        <v>0</v>
      </c>
      <c r="M6" s="3366">
        <f t="shared" ref="M6:M8" si="5">F6/100</f>
        <v>0</v>
      </c>
      <c r="N6" s="3366">
        <f t="shared" ref="N6:N8" si="6">G6/100</f>
        <v>0</v>
      </c>
      <c r="O6" s="3366">
        <f t="shared" ref="O6:O8" si="7">H6/100</f>
        <v>0</v>
      </c>
      <c r="P6" s="3366">
        <f t="shared" ref="P6:P8" si="8">M6</f>
        <v>0</v>
      </c>
      <c r="Q6" s="3364"/>
      <c r="R6" s="3380">
        <f>ROUND(IF(项目基本情况!$B$8="出让",SUMPRODUCT(PRODUCT(1+K6:$K$16)),SUMPRODUCT(PRODUCT(1+K6:$K$15))),4)</f>
        <v>1.0755999999999999</v>
      </c>
      <c r="S6" s="3380">
        <f>ROUND(IF(项目基本情况!$B$8="出让",SUMPRODUCT(PRODUCT(1+L6:$L$16)),SUMPRODUCT(PRODUCT(1+L6:$L$15))),4)</f>
        <v>1.0395000000000001</v>
      </c>
      <c r="T6" s="3380">
        <f>ROUND(IF(项目基本情况!$B$8="出让",SUMPRODUCT(PRODUCT(1+M6:$M$16)),SUMPRODUCT(PRODUCT(1+M6:$M$15))),4)</f>
        <v>1.0250999999999999</v>
      </c>
      <c r="U6" s="3380">
        <f>ROUND(IF(项目基本情况!$B$8="出让",SUMPRODUCT(PRODUCT(1+N6:$N$16)),SUMPRODUCT(PRODUCT(1+N6:$N$15))),4)</f>
        <v>1.0818000000000001</v>
      </c>
      <c r="V6" s="3380">
        <f>ROUND(IF(项目基本情况!$B$8="出让",SUMPRODUCT(PRODUCT(1+O6:$O$16)),SUMPRODUCT(PRODUCT(1+O6:$O$15))),4)</f>
        <v>1.0629999999999999</v>
      </c>
      <c r="W6" s="3380">
        <f t="shared" ref="W6:W8" si="9">T6</f>
        <v>1.0250999999999999</v>
      </c>
      <c r="X6" s="3364"/>
      <c r="Y6" s="3389">
        <f t="shared" ref="Y6:AC6" si="10">IF(D6=0,0,ROUND(AVERAGE(D6:D17)/100,4))</f>
        <v>0</v>
      </c>
      <c r="Z6" s="3389">
        <f t="shared" si="10"/>
        <v>0</v>
      </c>
      <c r="AA6" s="3389">
        <f t="shared" si="10"/>
        <v>0</v>
      </c>
      <c r="AB6" s="3389">
        <f t="shared" si="10"/>
        <v>0</v>
      </c>
      <c r="AC6" s="3389">
        <f t="shared" si="10"/>
        <v>0</v>
      </c>
      <c r="AD6" s="3389">
        <f t="shared" ref="AD6:AD8" si="11">AA6</f>
        <v>0</v>
      </c>
    </row>
    <row r="7" spans="1:30">
      <c r="A7" s="3344" t="s">
        <v>3251</v>
      </c>
      <c r="B7" s="3405">
        <v>2023</v>
      </c>
      <c r="C7" s="3406">
        <v>2</v>
      </c>
      <c r="D7" s="3406">
        <v>0.91</v>
      </c>
      <c r="E7" s="3406">
        <v>0.66</v>
      </c>
      <c r="F7" s="3406">
        <v>0.47</v>
      </c>
      <c r="G7" s="3406">
        <v>0.96</v>
      </c>
      <c r="H7" s="3407">
        <v>0.71</v>
      </c>
      <c r="I7" s="3408">
        <f t="shared" si="0"/>
        <v>0.47</v>
      </c>
      <c r="J7" s="3367"/>
      <c r="K7" s="3368">
        <f t="shared" si="3"/>
        <v>9.1000000000000004E-3</v>
      </c>
      <c r="L7" s="3369">
        <f t="shared" si="4"/>
        <v>6.6E-3</v>
      </c>
      <c r="M7" s="3369">
        <f t="shared" si="5"/>
        <v>4.6999999999999993E-3</v>
      </c>
      <c r="N7" s="3369">
        <f t="shared" si="6"/>
        <v>9.5999999999999992E-3</v>
      </c>
      <c r="O7" s="3369">
        <f t="shared" si="7"/>
        <v>7.0999999999999995E-3</v>
      </c>
      <c r="P7" s="3369">
        <f t="shared" si="8"/>
        <v>4.6999999999999993E-3</v>
      </c>
      <c r="Q7" s="3367"/>
      <c r="R7" s="3367">
        <f>ROUND(IF(项目基本情况!$B$8="出让",SUMPRODUCT(PRODUCT(1+K7:$K$16)),SUMPRODUCT(PRODUCT(1+K7:$K$15))),4)</f>
        <v>1.0755999999999999</v>
      </c>
      <c r="S7" s="3367">
        <f>ROUND(IF(项目基本情况!$B$8="出让",SUMPRODUCT(PRODUCT(1+L7:$L$16)),SUMPRODUCT(PRODUCT(1+L7:$L$15))),4)</f>
        <v>1.0395000000000001</v>
      </c>
      <c r="T7" s="3367">
        <f>ROUND(IF(项目基本情况!$B$8="出让",SUMPRODUCT(PRODUCT(1+M7:$M$16)),SUMPRODUCT(PRODUCT(1+M7:$M$15))),4)</f>
        <v>1.0250999999999999</v>
      </c>
      <c r="U7" s="3367">
        <f>ROUND(IF(项目基本情况!$B$8="出让",SUMPRODUCT(PRODUCT(1+N7:$N$16)),SUMPRODUCT(PRODUCT(1+N7:$N$15))),4)</f>
        <v>1.0818000000000001</v>
      </c>
      <c r="V7" s="3367">
        <f>ROUND(IF(项目基本情况!$B$8="出让",SUMPRODUCT(PRODUCT(1+O7:$O$16)),SUMPRODUCT(PRODUCT(1+O7:$O$15))),4)</f>
        <v>1.0629999999999999</v>
      </c>
      <c r="W7" s="3367">
        <f t="shared" si="9"/>
        <v>1.0250999999999999</v>
      </c>
      <c r="X7" s="3367"/>
      <c r="Y7" s="3369">
        <f t="shared" ref="Y7:AC7" si="12">IF(D7=0,0,ROUND(AVERAGE(D7:D18)/100,4))</f>
        <v>8.3000000000000001E-3</v>
      </c>
      <c r="Z7" s="3369">
        <f t="shared" si="12"/>
        <v>4.0000000000000001E-3</v>
      </c>
      <c r="AA7" s="3369">
        <f t="shared" si="12"/>
        <v>2.2000000000000001E-3</v>
      </c>
      <c r="AB7" s="3369">
        <f t="shared" si="12"/>
        <v>8.9999999999999993E-3</v>
      </c>
      <c r="AC7" s="3369">
        <f t="shared" si="12"/>
        <v>6.4999999999999997E-3</v>
      </c>
      <c r="AD7" s="3369">
        <f t="shared" si="11"/>
        <v>2.2000000000000001E-3</v>
      </c>
    </row>
    <row r="8" spans="1:30">
      <c r="A8" s="3343" t="s">
        <v>3252</v>
      </c>
      <c r="B8" s="3402">
        <v>2023</v>
      </c>
      <c r="C8" s="3403">
        <v>1</v>
      </c>
      <c r="D8" s="3403">
        <v>0.89</v>
      </c>
      <c r="E8" s="3403">
        <v>0.74</v>
      </c>
      <c r="F8" s="3403">
        <v>0.56999999999999995</v>
      </c>
      <c r="G8" s="3403">
        <v>0.92</v>
      </c>
      <c r="H8" s="3409">
        <v>0.5</v>
      </c>
      <c r="I8" s="3404">
        <f t="shared" si="0"/>
        <v>0.56999999999999995</v>
      </c>
      <c r="J8" s="3364"/>
      <c r="K8" s="3365">
        <f t="shared" si="3"/>
        <v>8.8999999999999999E-3</v>
      </c>
      <c r="L8" s="3366">
        <f t="shared" si="4"/>
        <v>7.4000000000000003E-3</v>
      </c>
      <c r="M8" s="3366">
        <f t="shared" si="5"/>
        <v>5.6999999999999993E-3</v>
      </c>
      <c r="N8" s="3366">
        <f t="shared" si="6"/>
        <v>9.1999999999999998E-3</v>
      </c>
      <c r="O8" s="3366">
        <f t="shared" si="7"/>
        <v>5.0000000000000001E-3</v>
      </c>
      <c r="P8" s="3366">
        <f t="shared" si="8"/>
        <v>5.6999999999999993E-3</v>
      </c>
      <c r="Q8" s="3364"/>
      <c r="R8" s="3380">
        <f>ROUND(IF(项目基本情况!$B$8="出让",SUMPRODUCT(PRODUCT(1+K8:$K$16)),SUMPRODUCT(PRODUCT(1+K8:$K$15))),4)</f>
        <v>1.0659000000000001</v>
      </c>
      <c r="S8" s="3380">
        <f>ROUND(IF(项目基本情况!$B$8="出让",SUMPRODUCT(PRODUCT(1+L8:$L$16)),SUMPRODUCT(PRODUCT(1+L8:$L$15))),4)</f>
        <v>1.0326</v>
      </c>
      <c r="T8" s="3380">
        <f>ROUND(IF(项目基本情况!$B$8="出让",SUMPRODUCT(PRODUCT(1+M8:$M$16)),SUMPRODUCT(PRODUCT(1+M8:$M$15))),4)</f>
        <v>1.0203</v>
      </c>
      <c r="U8" s="3380">
        <f>ROUND(IF(项目基本情况!$B$8="出让",SUMPRODUCT(PRODUCT(1+N8:$N$16)),SUMPRODUCT(PRODUCT(1+N8:$N$15))),4)</f>
        <v>1.0714999999999999</v>
      </c>
      <c r="V8" s="3380">
        <f>ROUND(IF(项目基本情况!$B$8="出让",SUMPRODUCT(PRODUCT(1+O8:$O$16)),SUMPRODUCT(PRODUCT(1+O8:$O$15))),4)</f>
        <v>1.0555000000000001</v>
      </c>
      <c r="W8" s="3380">
        <f t="shared" si="9"/>
        <v>1.0203</v>
      </c>
      <c r="X8" s="3364"/>
      <c r="Y8" s="3389">
        <f t="shared" ref="Y8:AC8" si="13">IF(D8=0,0,ROUND(AVERAGE(D8:D19)/100,4))</f>
        <v>8.2000000000000007E-3</v>
      </c>
      <c r="Z8" s="3389">
        <f t="shared" si="13"/>
        <v>3.8E-3</v>
      </c>
      <c r="AA8" s="3389">
        <f t="shared" si="13"/>
        <v>2E-3</v>
      </c>
      <c r="AB8" s="3389">
        <f t="shared" si="13"/>
        <v>8.8999999999999999E-3</v>
      </c>
      <c r="AC8" s="3389">
        <f t="shared" si="13"/>
        <v>6.4000000000000003E-3</v>
      </c>
      <c r="AD8" s="3389">
        <f t="shared" si="11"/>
        <v>2E-3</v>
      </c>
    </row>
    <row r="9" spans="1:30">
      <c r="A9" s="3343" t="s">
        <v>3249</v>
      </c>
      <c r="B9" s="3402">
        <v>2022</v>
      </c>
      <c r="C9" s="3403">
        <v>4</v>
      </c>
      <c r="D9" s="3403">
        <v>0.62</v>
      </c>
      <c r="E9" s="3403">
        <v>0.2</v>
      </c>
      <c r="F9" s="3403">
        <v>0.11</v>
      </c>
      <c r="G9" s="3403">
        <v>0.69</v>
      </c>
      <c r="H9" s="3409">
        <v>0.53</v>
      </c>
      <c r="I9" s="3404">
        <f t="shared" si="0"/>
        <v>0.11</v>
      </c>
      <c r="J9" s="3364"/>
      <c r="K9" s="3365">
        <f t="shared" si="1"/>
        <v>6.1999999999999998E-3</v>
      </c>
      <c r="L9" s="3366">
        <f t="shared" si="1"/>
        <v>2E-3</v>
      </c>
      <c r="M9" s="3366">
        <f t="shared" si="1"/>
        <v>1.1000000000000001E-3</v>
      </c>
      <c r="N9" s="3366">
        <f t="shared" si="1"/>
        <v>6.8999999999999999E-3</v>
      </c>
      <c r="O9" s="3366">
        <f t="shared" si="1"/>
        <v>5.3E-3</v>
      </c>
      <c r="P9" s="3366">
        <f t="shared" ref="P9:P16" si="14">M9</f>
        <v>1.1000000000000001E-3</v>
      </c>
      <c r="Q9" s="3364"/>
      <c r="R9" s="3380">
        <f>ROUND(IF(项目基本情况!B8="出让",SUMPRODUCT(PRODUCT(1+K9:K16)),SUMPRODUCT(PRODUCT(1+K9:K15))),4)</f>
        <v>1.0565</v>
      </c>
      <c r="S9" s="3380">
        <f>ROUND(IF(项目基本情况!B8="出让",SUMPRODUCT(PRODUCT(1+L9:L16)),SUMPRODUCT(PRODUCT(1+L9:L15))),4)</f>
        <v>1.0250999999999999</v>
      </c>
      <c r="T9" s="3380">
        <f>ROUND(IF(项目基本情况!B8="出让",SUMPRODUCT(PRODUCT(1+M9:M16)),SUMPRODUCT(PRODUCT(1+M9:M15))),4)</f>
        <v>1.0145</v>
      </c>
      <c r="U9" s="3380">
        <f>ROUND(IF(项目基本情况!B8="出让",SUMPRODUCT(PRODUCT(1+N9:N16)),SUMPRODUCT(PRODUCT(1+N9:N15))),4)</f>
        <v>1.0618000000000001</v>
      </c>
      <c r="V9" s="3380">
        <f>ROUND(IF(项目基本情况!B8="出让",SUMPRODUCT(PRODUCT(1+O9:O16)),SUMPRODUCT(PRODUCT(1+O9:O15))),4)</f>
        <v>1.0502</v>
      </c>
      <c r="W9" s="3380">
        <f t="shared" ref="W9:W16" si="15">T9</f>
        <v>1.0145</v>
      </c>
      <c r="X9" s="3364"/>
      <c r="Y9" s="3389">
        <f>IF(D9=0,0,ROUND(AVERAGE(D9:D17)/100,4))</f>
        <v>8.0999999999999996E-3</v>
      </c>
      <c r="Z9" s="3389">
        <f>IF(E9=0,0,ROUND(AVERAGE(E9:E16)/100,4))</f>
        <v>3.3E-3</v>
      </c>
      <c r="AA9" s="3389">
        <f>IF(F9=0,0,ROUND(AVERAGE(F9:F16)/100,4))</f>
        <v>1.5E-3</v>
      </c>
      <c r="AB9" s="3389">
        <f>IF(G9=0,0,ROUND(AVERAGE(G9:G16)/100,4))</f>
        <v>8.8999999999999999E-3</v>
      </c>
      <c r="AC9" s="3389">
        <f>IF(H9=0,0,ROUND(AVERAGE(H9:H16)/100,4))</f>
        <v>6.6E-3</v>
      </c>
      <c r="AD9" s="3389">
        <f t="shared" si="2"/>
        <v>1.5E-3</v>
      </c>
    </row>
    <row r="10" spans="1:30">
      <c r="A10" s="3343" t="s">
        <v>3242</v>
      </c>
      <c r="B10" s="3402">
        <v>2022</v>
      </c>
      <c r="C10" s="3403">
        <v>3</v>
      </c>
      <c r="D10" s="3403">
        <v>0.66</v>
      </c>
      <c r="E10" s="3403">
        <v>0.32</v>
      </c>
      <c r="F10" s="3403">
        <v>0.23</v>
      </c>
      <c r="G10" s="3403">
        <v>0.72</v>
      </c>
      <c r="H10" s="3409">
        <v>0.63</v>
      </c>
      <c r="I10" s="3404">
        <f t="shared" si="0"/>
        <v>0.23</v>
      </c>
      <c r="J10" s="3364"/>
      <c r="K10" s="3365">
        <f t="shared" si="1"/>
        <v>6.6E-3</v>
      </c>
      <c r="L10" s="3366">
        <f t="shared" si="1"/>
        <v>3.2000000000000002E-3</v>
      </c>
      <c r="M10" s="3366">
        <f t="shared" si="1"/>
        <v>2.3E-3</v>
      </c>
      <c r="N10" s="3366">
        <f t="shared" si="1"/>
        <v>7.1999999999999998E-3</v>
      </c>
      <c r="O10" s="3366">
        <f t="shared" si="1"/>
        <v>6.3E-3</v>
      </c>
      <c r="P10" s="3366">
        <f t="shared" si="14"/>
        <v>2.3E-3</v>
      </c>
      <c r="Q10" s="3364"/>
      <c r="R10" s="3380">
        <f>ROUND(IF(项目基本情况!B8="出让",SUMPRODUCT(PRODUCT(1+K10:K16)),SUMPRODUCT(PRODUCT(1+K10:K15))),4)</f>
        <v>1.05</v>
      </c>
      <c r="S10" s="3380">
        <f>ROUND(IF(项目基本情况!B8="出让",SUMPRODUCT(PRODUCT(1+L10:L16)),SUMPRODUCT(PRODUCT(1+L10:L15))),4)</f>
        <v>1.0229999999999999</v>
      </c>
      <c r="T10" s="3380">
        <f>ROUND(IF(项目基本情况!B8="出让",SUMPRODUCT(PRODUCT(1+M10:M16)),SUMPRODUCT(PRODUCT(1+M10:M15))),4)</f>
        <v>1.0134000000000001</v>
      </c>
      <c r="U10" s="3380">
        <f>ROUND(IF(项目基本情况!B8="出让",SUMPRODUCT(PRODUCT(1+N10:N16)),SUMPRODUCT(PRODUCT(1+N10:N15))),4)</f>
        <v>1.0545</v>
      </c>
      <c r="V10" s="3380">
        <f>ROUND(IF(项目基本情况!B8="出让",SUMPRODUCT(PRODUCT(1+O10:O16)),SUMPRODUCT(PRODUCT(1+O10:O15))),4)</f>
        <v>1.0447</v>
      </c>
      <c r="W10" s="3380">
        <f t="shared" si="15"/>
        <v>1.0134000000000001</v>
      </c>
      <c r="X10" s="3364"/>
      <c r="Y10" s="3389">
        <f>IF(D10=0,0,ROUND(AVERAGE(D10:D16)/100,4))</f>
        <v>8.3999999999999995E-3</v>
      </c>
      <c r="Z10" s="3389">
        <f>IF(E10=0,0,ROUND(AVERAGE(E10:E16)/100,4))</f>
        <v>3.5000000000000001E-3</v>
      </c>
      <c r="AA10" s="3389">
        <f>IF(F10=0,0,ROUND(AVERAGE(F10:F16)/100,4))</f>
        <v>1.5E-3</v>
      </c>
      <c r="AB10" s="3389">
        <f>IF(G10=0,0,ROUND(AVERAGE(G10:G16)/100,4))</f>
        <v>9.1999999999999998E-3</v>
      </c>
      <c r="AC10" s="3389">
        <f>IF(H10=0,0,ROUND(AVERAGE(H10:H16)/100,4))</f>
        <v>6.7999999999999996E-3</v>
      </c>
      <c r="AD10" s="3389">
        <f t="shared" si="2"/>
        <v>1.5E-3</v>
      </c>
    </row>
    <row r="11" spans="1:30">
      <c r="A11" s="3343" t="s">
        <v>3243</v>
      </c>
      <c r="B11" s="3402">
        <v>2022</v>
      </c>
      <c r="C11" s="3403">
        <v>2</v>
      </c>
      <c r="D11" s="3403">
        <v>0.93</v>
      </c>
      <c r="E11" s="3403">
        <v>0.15</v>
      </c>
      <c r="F11" s="3403">
        <v>0.01</v>
      </c>
      <c r="G11" s="3403">
        <v>1.05</v>
      </c>
      <c r="H11" s="3409">
        <v>1.08</v>
      </c>
      <c r="I11" s="3404">
        <f t="shared" si="0"/>
        <v>0.01</v>
      </c>
      <c r="J11" s="3364"/>
      <c r="K11" s="3365">
        <f t="shared" si="1"/>
        <v>9.300000000000001E-3</v>
      </c>
      <c r="L11" s="3366">
        <f t="shared" si="1"/>
        <v>1.5E-3</v>
      </c>
      <c r="M11" s="3366">
        <f t="shared" si="1"/>
        <v>1E-4</v>
      </c>
      <c r="N11" s="3366">
        <f t="shared" si="1"/>
        <v>1.0500000000000001E-2</v>
      </c>
      <c r="O11" s="3366">
        <f t="shared" si="1"/>
        <v>1.0800000000000001E-2</v>
      </c>
      <c r="P11" s="3366">
        <f t="shared" si="14"/>
        <v>1E-4</v>
      </c>
      <c r="Q11" s="3364"/>
      <c r="R11" s="3380">
        <f>ROUND(IF(项目基本情况!B8="出让",SUMPRODUCT(PRODUCT(1+K11:K16)),SUMPRODUCT(PRODUCT(1+K11:K15))),4)</f>
        <v>1.0430999999999999</v>
      </c>
      <c r="S11" s="3380">
        <f>ROUND(IF(项目基本情况!B8="出让",SUMPRODUCT(PRODUCT(1+L11:L16)),SUMPRODUCT(PRODUCT(1+L11:L15))),4)</f>
        <v>1.0197000000000001</v>
      </c>
      <c r="T11" s="3380">
        <f>ROUND(IF(项目基本情况!B8="出让",SUMPRODUCT(PRODUCT(1+M11:M16)),SUMPRODUCT(PRODUCT(1+M11:M15))),4)</f>
        <v>1.0109999999999999</v>
      </c>
      <c r="U11" s="3380">
        <f>ROUND(IF(项目基本情况!B8="出让",SUMPRODUCT(PRODUCT(1+N11:N16)),SUMPRODUCT(PRODUCT(1+N11:N15))),4)</f>
        <v>1.0468999999999999</v>
      </c>
      <c r="V11" s="3380">
        <f>ROUND(IF(项目基本情况!B8="出让",SUMPRODUCT(PRODUCT(1+O11:O16)),SUMPRODUCT(PRODUCT(1+O11:O15))),4)</f>
        <v>1.0382</v>
      </c>
      <c r="W11" s="3380">
        <f t="shared" si="15"/>
        <v>1.0109999999999999</v>
      </c>
      <c r="X11" s="3364"/>
      <c r="Y11" s="3389">
        <f>IF(D11=0,0,ROUND(AVERAGE(D11:D16)/100,4))</f>
        <v>8.6999999999999994E-3</v>
      </c>
      <c r="Z11" s="3389">
        <f>IF(E11=0,0,ROUND(AVERAGE(E11:E16)/100,4))</f>
        <v>3.5000000000000001E-3</v>
      </c>
      <c r="AA11" s="3389">
        <f>IF(F11=0,0,ROUND(AVERAGE(F11:F16)/100,4))</f>
        <v>1.4E-3</v>
      </c>
      <c r="AB11" s="3389">
        <f>IF(G11=0,0,ROUND(AVERAGE(G11:G16)/100,4))</f>
        <v>9.4999999999999998E-3</v>
      </c>
      <c r="AC11" s="3389">
        <f>IF(H11=0,0,ROUND(AVERAGE(H11:H16)/100,4))</f>
        <v>6.8999999999999999E-3</v>
      </c>
      <c r="AD11" s="3389">
        <f t="shared" si="2"/>
        <v>1.4E-3</v>
      </c>
    </row>
    <row r="12" spans="1:30">
      <c r="A12" s="3343" t="s">
        <v>2776</v>
      </c>
      <c r="B12" s="3402">
        <v>2022</v>
      </c>
      <c r="C12" s="3403">
        <v>1</v>
      </c>
      <c r="D12" s="3403">
        <v>0.89</v>
      </c>
      <c r="E12" s="3403">
        <v>0.44</v>
      </c>
      <c r="F12" s="3403">
        <v>0.37</v>
      </c>
      <c r="G12" s="3403">
        <v>0.96</v>
      </c>
      <c r="H12" s="3409">
        <v>0.64</v>
      </c>
      <c r="I12" s="3404">
        <f t="shared" si="0"/>
        <v>0.37</v>
      </c>
      <c r="J12" s="3364"/>
      <c r="K12" s="3365">
        <f t="shared" si="1"/>
        <v>8.8999999999999999E-3</v>
      </c>
      <c r="L12" s="3366">
        <f t="shared" si="1"/>
        <v>4.4000000000000003E-3</v>
      </c>
      <c r="M12" s="3366">
        <f t="shared" si="1"/>
        <v>3.7000000000000002E-3</v>
      </c>
      <c r="N12" s="3366">
        <f t="shared" si="1"/>
        <v>9.5999999999999992E-3</v>
      </c>
      <c r="O12" s="3366">
        <f t="shared" si="1"/>
        <v>6.4000000000000003E-3</v>
      </c>
      <c r="P12" s="3366">
        <f t="shared" si="14"/>
        <v>3.7000000000000002E-3</v>
      </c>
      <c r="Q12" s="3364"/>
      <c r="R12" s="3380">
        <f>ROUND(IF(项目基本情况!B8="出让",SUMPRODUCT(PRODUCT(1+K12:K16)),SUMPRODUCT(PRODUCT(1+K12:K15))),4)</f>
        <v>1.0335000000000001</v>
      </c>
      <c r="S12" s="3380">
        <f>ROUND(IF(项目基本情况!B8="出让",SUMPRODUCT(PRODUCT(1+L12:L16)),SUMPRODUCT(PRODUCT(1+L12:L15))),4)</f>
        <v>1.0182</v>
      </c>
      <c r="T12" s="3380">
        <f>ROUND(IF(项目基本情况!B8="出让",SUMPRODUCT(PRODUCT(1+M12:M16)),SUMPRODUCT(PRODUCT(1+M12:M15))),4)</f>
        <v>1.0108999999999999</v>
      </c>
      <c r="U12" s="3380">
        <f>ROUND(IF(项目基本情况!B8="出让",SUMPRODUCT(PRODUCT(1+N12:N16)),SUMPRODUCT(PRODUCT(1+N12:N15))),4)</f>
        <v>1.0361</v>
      </c>
      <c r="V12" s="3380">
        <f>ROUND(IF(项目基本情况!B8="出让",SUMPRODUCT(PRODUCT(1+O12:O16)),SUMPRODUCT(PRODUCT(1+O12:O15))),4)</f>
        <v>1.0270999999999999</v>
      </c>
      <c r="W12" s="3380">
        <f t="shared" si="15"/>
        <v>1.0108999999999999</v>
      </c>
      <c r="X12" s="3364"/>
      <c r="Y12" s="3389">
        <f>IF(D12=0,0,ROUND(AVERAGE(D12:D16)/100,4))</f>
        <v>8.6E-3</v>
      </c>
      <c r="Z12" s="3389">
        <f>IF(E12=0,0,ROUND(AVERAGE(E12:E16)/100,4))</f>
        <v>3.8999999999999998E-3</v>
      </c>
      <c r="AA12" s="3389">
        <f>IF(F12=0,0,ROUND(AVERAGE(F12:F16)/100,4))</f>
        <v>1.6999999999999999E-3</v>
      </c>
      <c r="AB12" s="3389">
        <f>IF(G12=0,0,ROUND(AVERAGE(G12:G16)/100,4))</f>
        <v>9.2999999999999992E-3</v>
      </c>
      <c r="AC12" s="3389">
        <f>IF(H12=0,0,ROUND(AVERAGE(H12:H16)/100,4))</f>
        <v>6.1000000000000004E-3</v>
      </c>
      <c r="AD12" s="3389">
        <f t="shared" si="2"/>
        <v>1.6999999999999999E-3</v>
      </c>
    </row>
    <row r="13" spans="1:30">
      <c r="A13" s="3343" t="s">
        <v>2777</v>
      </c>
      <c r="B13" s="3402">
        <v>2021</v>
      </c>
      <c r="C13" s="3403">
        <v>4</v>
      </c>
      <c r="D13" s="3403">
        <v>1.03</v>
      </c>
      <c r="E13" s="3403">
        <v>0.24</v>
      </c>
      <c r="F13" s="3403">
        <v>7.0000000000000007E-2</v>
      </c>
      <c r="G13" s="3403">
        <v>1.17</v>
      </c>
      <c r="H13" s="3409">
        <v>0.55000000000000004</v>
      </c>
      <c r="I13" s="3404">
        <f t="shared" si="0"/>
        <v>7.0000000000000007E-2</v>
      </c>
      <c r="J13" s="3364"/>
      <c r="K13" s="3365">
        <f t="shared" si="1"/>
        <v>1.03E-2</v>
      </c>
      <c r="L13" s="3366">
        <f t="shared" si="1"/>
        <v>2.3999999999999998E-3</v>
      </c>
      <c r="M13" s="3366">
        <f t="shared" si="1"/>
        <v>7.000000000000001E-4</v>
      </c>
      <c r="N13" s="3366">
        <f t="shared" si="1"/>
        <v>1.1699999999999999E-2</v>
      </c>
      <c r="O13" s="3366">
        <f t="shared" si="1"/>
        <v>5.5000000000000005E-3</v>
      </c>
      <c r="P13" s="3366">
        <f t="shared" si="14"/>
        <v>7.000000000000001E-4</v>
      </c>
      <c r="Q13" s="3364"/>
      <c r="R13" s="3380">
        <f>ROUND(IF(项目基本情况!B8="出让",SUMPRODUCT(PRODUCT(1+K13:K16)),SUMPRODUCT(PRODUCT(1+K13:K15))),4)</f>
        <v>1.0244</v>
      </c>
      <c r="S13" s="3380">
        <f>ROUND(IF(项目基本情况!B8="出让",SUMPRODUCT(PRODUCT(1+L13:L16)),SUMPRODUCT(PRODUCT(1+L13:L15))),4)</f>
        <v>1.0138</v>
      </c>
      <c r="T13" s="3380">
        <f>ROUND(IF(项目基本情况!B8="出让",SUMPRODUCT(PRODUCT(1+M13:M16)),SUMPRODUCT(PRODUCT(1+M13:M15))),4)</f>
        <v>1.0072000000000001</v>
      </c>
      <c r="U13" s="3380">
        <f>ROUND(IF(项目基本情况!B8="出让",SUMPRODUCT(PRODUCT(1+N13:N16)),SUMPRODUCT(PRODUCT(1+N13:N15))),4)</f>
        <v>1.0262</v>
      </c>
      <c r="V13" s="3380">
        <f>ROUND(IF(项目基本情况!B8="出让",SUMPRODUCT(PRODUCT(1+O13:O16)),SUMPRODUCT(PRODUCT(1+O13:O15))),4)</f>
        <v>1.0205</v>
      </c>
      <c r="W13" s="3380">
        <f t="shared" si="15"/>
        <v>1.0072000000000001</v>
      </c>
      <c r="X13" s="3364"/>
      <c r="Y13" s="3389">
        <f>IF(D13=0,0,ROUND(AVERAGE(D13:D16)/100,4))</f>
        <v>8.5000000000000006E-3</v>
      </c>
      <c r="Z13" s="3389">
        <f>IF(E13=0,0,ROUND(AVERAGE(E13:E16)/100,4))</f>
        <v>3.8E-3</v>
      </c>
      <c r="AA13" s="3389">
        <f>IF(F13=0,0,ROUND(AVERAGE(F13:F16)/100,4))</f>
        <v>1.1999999999999999E-3</v>
      </c>
      <c r="AB13" s="3389">
        <f>IF(G13=0,0,ROUND(AVERAGE(G13:G16)/100,4))</f>
        <v>9.2999999999999992E-3</v>
      </c>
      <c r="AC13" s="3389">
        <f>IF(H13=0,0,ROUND(AVERAGE(H13:H16)/100,4))</f>
        <v>6.0000000000000001E-3</v>
      </c>
      <c r="AD13" s="3389">
        <f t="shared" si="2"/>
        <v>1.1999999999999999E-3</v>
      </c>
    </row>
    <row r="14" spans="1:30">
      <c r="A14" s="3343" t="s">
        <v>2778</v>
      </c>
      <c r="B14" s="3402">
        <v>2021</v>
      </c>
      <c r="C14" s="3403">
        <v>3</v>
      </c>
      <c r="D14" s="3403">
        <v>0.47</v>
      </c>
      <c r="E14" s="3403">
        <v>0.41</v>
      </c>
      <c r="F14" s="3403">
        <v>0.24</v>
      </c>
      <c r="G14" s="3403">
        <v>0.48</v>
      </c>
      <c r="H14" s="3409">
        <v>0.48</v>
      </c>
      <c r="I14" s="3404">
        <f t="shared" si="0"/>
        <v>0.24</v>
      </c>
      <c r="J14" s="3364"/>
      <c r="K14" s="3365">
        <f t="shared" si="1"/>
        <v>4.6999999999999993E-3</v>
      </c>
      <c r="L14" s="3366">
        <f t="shared" si="1"/>
        <v>4.0999999999999995E-3</v>
      </c>
      <c r="M14" s="3366">
        <f t="shared" si="1"/>
        <v>2.3999999999999998E-3</v>
      </c>
      <c r="N14" s="3366">
        <f t="shared" si="1"/>
        <v>4.7999999999999996E-3</v>
      </c>
      <c r="O14" s="3366">
        <f t="shared" si="1"/>
        <v>4.7999999999999996E-3</v>
      </c>
      <c r="P14" s="3366">
        <f t="shared" si="14"/>
        <v>2.3999999999999998E-3</v>
      </c>
      <c r="Q14" s="3364"/>
      <c r="R14" s="3380">
        <f>ROUND(IF(项目基本情况!B8="出让",SUMPRODUCT(PRODUCT(1+K14:K16)),SUMPRODUCT(PRODUCT(1+K14:K15))),4)</f>
        <v>1.0139</v>
      </c>
      <c r="S14" s="3380">
        <f>ROUND(IF(项目基本情况!B8="出让",SUMPRODUCT(PRODUCT(1+L14:L16)),SUMPRODUCT(PRODUCT(1+L14:L15))),4)</f>
        <v>1.0113000000000001</v>
      </c>
      <c r="T14" s="3380">
        <f>ROUND(IF(项目基本情况!B8="出让",SUMPRODUCT(PRODUCT(1+M14:M16)),SUMPRODUCT(PRODUCT(1+M14:M15))),4)</f>
        <v>1.0065</v>
      </c>
      <c r="U14" s="3380">
        <f>ROUND(IF(项目基本情况!B8="出让",SUMPRODUCT(PRODUCT(1+N14:N16)),SUMPRODUCT(PRODUCT(1+N14:N15))),4)</f>
        <v>1.0143</v>
      </c>
      <c r="V14" s="3380">
        <f>ROUND(IF(项目基本情况!B8="出让",SUMPRODUCT(PRODUCT(1+O14:O16)),SUMPRODUCT(PRODUCT(1+O14:O15))),4)</f>
        <v>1.0148999999999999</v>
      </c>
      <c r="W14" s="3380">
        <f t="shared" si="15"/>
        <v>1.0065</v>
      </c>
      <c r="X14" s="3364"/>
      <c r="Y14" s="3389">
        <f>IF(D14=0,0,ROUND(AVERAGE(D14:D16)/100,4))</f>
        <v>7.9000000000000008E-3</v>
      </c>
      <c r="Z14" s="3389">
        <f>IF(E14=0,0,ROUND(AVERAGE(E14:E16)/100,4))</f>
        <v>4.3E-3</v>
      </c>
      <c r="AA14" s="3389">
        <f>IF(F14=0,0,ROUND(AVERAGE(F14:F16)/100,4))</f>
        <v>1.2999999999999999E-3</v>
      </c>
      <c r="AB14" s="3389">
        <f>IF(G14=0,0,ROUND(AVERAGE(G14:G16)/100,4))</f>
        <v>8.5000000000000006E-3</v>
      </c>
      <c r="AC14" s="3389">
        <f>IF(H14=0,0,ROUND(AVERAGE(H14:H16)/100,4))</f>
        <v>6.1999999999999998E-3</v>
      </c>
      <c r="AD14" s="3389">
        <f t="shared" si="2"/>
        <v>1.2999999999999999E-3</v>
      </c>
    </row>
    <row r="15" spans="1:30">
      <c r="A15" s="3343" t="s">
        <v>2779</v>
      </c>
      <c r="B15" s="3402">
        <v>2021</v>
      </c>
      <c r="C15" s="3403">
        <v>2</v>
      </c>
      <c r="D15" s="3403">
        <v>0.92</v>
      </c>
      <c r="E15" s="3403">
        <v>0.72</v>
      </c>
      <c r="F15" s="3403">
        <v>0.41</v>
      </c>
      <c r="G15" s="3403">
        <v>0.95</v>
      </c>
      <c r="H15" s="3409">
        <v>1.01</v>
      </c>
      <c r="I15" s="3404">
        <f t="shared" si="0"/>
        <v>0.41</v>
      </c>
      <c r="J15" s="3364"/>
      <c r="K15" s="3365">
        <f t="shared" si="1"/>
        <v>9.1999999999999998E-3</v>
      </c>
      <c r="L15" s="3366">
        <f t="shared" si="1"/>
        <v>7.1999999999999998E-3</v>
      </c>
      <c r="M15" s="3366">
        <f t="shared" si="1"/>
        <v>4.0999999999999995E-3</v>
      </c>
      <c r="N15" s="3366">
        <f t="shared" si="1"/>
        <v>9.4999999999999998E-3</v>
      </c>
      <c r="O15" s="3366">
        <f t="shared" si="1"/>
        <v>1.01E-2</v>
      </c>
      <c r="P15" s="3366">
        <f t="shared" si="14"/>
        <v>4.0999999999999995E-3</v>
      </c>
      <c r="Q15" s="3364"/>
      <c r="R15" s="3380">
        <f>ROUND(IF(项目基本情况!B8="出让",SUMPRODUCT(PRODUCT(1+K15:K16)),SUMPRODUCT(PRODUCT(1+K15:K15))),4)</f>
        <v>1.0092000000000001</v>
      </c>
      <c r="S15" s="3380">
        <f>ROUND(IF(项目基本情况!B8="出让",SUMPRODUCT(PRODUCT(1+L15:L16)),SUMPRODUCT(PRODUCT(1+L15:L15))),4)</f>
        <v>1.0072000000000001</v>
      </c>
      <c r="T15" s="3380">
        <f>ROUND(IF(项目基本情况!B8="出让",SUMPRODUCT(PRODUCT(1+M15:M16)),SUMPRODUCT(PRODUCT(1+M15:M15))),4)</f>
        <v>1.0041</v>
      </c>
      <c r="U15" s="3380">
        <f>ROUND(IF(项目基本情况!B8="出让",SUMPRODUCT(PRODUCT(1+N15:N16)),SUMPRODUCT(PRODUCT(1+N15:N15))),4)</f>
        <v>1.0095000000000001</v>
      </c>
      <c r="V15" s="3380">
        <f>ROUND(IF(项目基本情况!B8="出让",SUMPRODUCT(PRODUCT(1+O15:O16)),SUMPRODUCT(PRODUCT(1+O15:O15))),4)</f>
        <v>1.0101</v>
      </c>
      <c r="W15" s="3380">
        <f t="shared" si="15"/>
        <v>1.0041</v>
      </c>
      <c r="X15" s="3364"/>
      <c r="Y15" s="3389">
        <f>IF(D15=0,0,ROUND(AVERAGE(D15:D16)/100,4))</f>
        <v>9.4999999999999998E-3</v>
      </c>
      <c r="Z15" s="3389">
        <f>IF(E15=0,0,ROUND(AVERAGE(E15:E16)/100,4))</f>
        <v>4.4000000000000003E-3</v>
      </c>
      <c r="AA15" s="3389">
        <f>IF(F15=0,0,ROUND(AVERAGE(F15:F16)/100,4))</f>
        <v>8.0000000000000004E-4</v>
      </c>
      <c r="AB15" s="3389">
        <f>IF(G15=0,0,ROUND(AVERAGE(G15:G16)/100,4))</f>
        <v>1.03E-2</v>
      </c>
      <c r="AC15" s="3389">
        <f>IF(H15=0,0,ROUND(AVERAGE(H15:H16)/100,4))</f>
        <v>6.8999999999999999E-3</v>
      </c>
      <c r="AD15" s="3389">
        <f t="shared" si="2"/>
        <v>8.0000000000000004E-4</v>
      </c>
    </row>
    <row r="16" spans="1:30" ht="14.25" thickBot="1">
      <c r="A16" s="3345" t="s">
        <v>2780</v>
      </c>
      <c r="B16" s="3410">
        <v>2021</v>
      </c>
      <c r="C16" s="3411">
        <v>1</v>
      </c>
      <c r="D16" s="3411">
        <v>0.97</v>
      </c>
      <c r="E16" s="3411">
        <v>0.16</v>
      </c>
      <c r="F16" s="3411">
        <v>-0.25</v>
      </c>
      <c r="G16" s="3411">
        <v>1.1100000000000001</v>
      </c>
      <c r="H16" s="3412">
        <v>0.36</v>
      </c>
      <c r="I16" s="3413">
        <f t="shared" si="0"/>
        <v>-0.25</v>
      </c>
      <c r="J16" s="3370"/>
      <c r="K16" s="3371">
        <f t="shared" si="1"/>
        <v>9.7000000000000003E-3</v>
      </c>
      <c r="L16" s="3372">
        <f t="shared" si="1"/>
        <v>1.6000000000000001E-3</v>
      </c>
      <c r="M16" s="3372">
        <f>F16/100</f>
        <v>-2.5000000000000001E-3</v>
      </c>
      <c r="N16" s="3372">
        <f t="shared" si="1"/>
        <v>1.11E-2</v>
      </c>
      <c r="O16" s="3372">
        <f t="shared" si="1"/>
        <v>3.5999999999999999E-3</v>
      </c>
      <c r="P16" s="3372">
        <f t="shared" si="14"/>
        <v>-2.5000000000000001E-3</v>
      </c>
      <c r="Q16" s="3370"/>
      <c r="R16" s="3381">
        <v>1</v>
      </c>
      <c r="S16" s="3381">
        <v>1</v>
      </c>
      <c r="T16" s="3381">
        <v>1</v>
      </c>
      <c r="U16" s="3381">
        <v>1</v>
      </c>
      <c r="V16" s="3381">
        <v>1</v>
      </c>
      <c r="W16" s="3381">
        <f t="shared" si="15"/>
        <v>1</v>
      </c>
      <c r="X16" s="3370"/>
      <c r="Y16" s="3372">
        <f>IF(D16=0,0,ROUND(AVERAGE(D16:D16)/100,4))</f>
        <v>9.7000000000000003E-3</v>
      </c>
      <c r="Z16" s="3372">
        <f>IF(E16=0,0,ROUND(AVERAGE(E16:E16)/100,4))</f>
        <v>1.6000000000000001E-3</v>
      </c>
      <c r="AA16" s="3372">
        <f>IF(F16=0,0,ROUND(AVERAGE(F16:F16)/100,4))</f>
        <v>-2.5000000000000001E-3</v>
      </c>
      <c r="AB16" s="3372">
        <f>IF(G16=0,0,ROUND(AVERAGE(G16:G16)/100,4))</f>
        <v>1.11E-2</v>
      </c>
      <c r="AC16" s="3372">
        <f>IF(H16=0,0,ROUND(AVERAGE(H16:H16)/100,4))</f>
        <v>3.5999999999999999E-3</v>
      </c>
      <c r="AD16" s="3372">
        <f>AA16</f>
        <v>-2.5000000000000001E-3</v>
      </c>
    </row>
    <row r="17" spans="1:30" ht="14.25" thickTop="1">
      <c r="A17" s="3280"/>
      <c r="B17" s="3280"/>
      <c r="C17" s="3280"/>
      <c r="D17" s="3280"/>
      <c r="E17" s="3280"/>
      <c r="F17" s="3280"/>
      <c r="G17" s="3280"/>
      <c r="H17" s="3280"/>
      <c r="I17" s="3280"/>
      <c r="J17" s="3280"/>
      <c r="K17" s="3280"/>
      <c r="L17" s="3280"/>
      <c r="M17" s="3280"/>
      <c r="N17" s="3280"/>
      <c r="O17" s="3280"/>
      <c r="P17" s="3280"/>
      <c r="Q17" s="3280"/>
      <c r="R17" s="3280"/>
      <c r="S17" s="3280"/>
      <c r="T17" s="3280"/>
      <c r="U17" s="3280"/>
      <c r="V17" s="3280"/>
      <c r="W17" s="3280"/>
      <c r="X17" s="3280"/>
      <c r="Y17" s="3280"/>
      <c r="Z17" s="3280"/>
      <c r="AA17" s="3280"/>
      <c r="AB17" s="3280"/>
      <c r="AC17" s="3280"/>
      <c r="AD17" s="3280"/>
    </row>
    <row r="18" spans="1:30">
      <c r="A18" s="3661" t="s">
        <v>3247</v>
      </c>
      <c r="B18" s="3280"/>
      <c r="C18" s="3280"/>
      <c r="D18" s="3280"/>
      <c r="E18" s="3280"/>
      <c r="F18" s="3280"/>
      <c r="G18" s="3280"/>
      <c r="H18" s="3280"/>
      <c r="I18" s="3280"/>
      <c r="J18" s="3280"/>
      <c r="K18" s="3280"/>
      <c r="L18" s="3280"/>
      <c r="M18" s="3280"/>
      <c r="N18" s="3280"/>
      <c r="O18" s="3280"/>
      <c r="P18" s="3280"/>
      <c r="Q18" s="3280"/>
      <c r="R18" s="3280"/>
      <c r="S18" s="3280"/>
      <c r="T18" s="3280"/>
      <c r="U18" s="3280"/>
      <c r="V18" s="3280"/>
      <c r="W18" s="3280"/>
      <c r="X18" s="3280"/>
      <c r="Y18" s="3280"/>
      <c r="Z18" s="3280"/>
      <c r="AA18" s="3280"/>
      <c r="AB18" s="3280"/>
      <c r="AC18" s="3280"/>
      <c r="AD18" s="3280"/>
    </row>
    <row r="19" spans="1:30">
      <c r="A19" s="3280"/>
      <c r="B19" s="3280"/>
      <c r="C19" s="3280"/>
      <c r="D19" s="3280"/>
      <c r="E19" s="3280"/>
      <c r="F19" s="3280"/>
      <c r="G19" s="3280"/>
      <c r="H19" s="3280"/>
      <c r="I19" s="3373" t="s">
        <v>2792</v>
      </c>
      <c r="J19" s="3280"/>
      <c r="K19" s="3280"/>
      <c r="L19" s="3280"/>
      <c r="M19" s="3280"/>
      <c r="N19" s="3280"/>
      <c r="O19" s="3280"/>
      <c r="P19" s="3280"/>
      <c r="Q19" s="3280"/>
      <c r="R19" s="3280"/>
      <c r="S19" s="3280"/>
      <c r="T19" s="3280"/>
      <c r="U19" s="3280"/>
      <c r="V19" s="3280"/>
      <c r="W19" s="3280"/>
      <c r="X19" s="3280"/>
      <c r="Y19" s="3280"/>
      <c r="Z19" s="3280"/>
      <c r="AA19" s="3280"/>
      <c r="AB19" s="3280"/>
      <c r="AC19" s="3280"/>
      <c r="AD19" s="3280"/>
    </row>
    <row r="20" spans="1:30">
      <c r="A20" s="3280"/>
      <c r="B20" s="3280"/>
      <c r="C20" s="3280"/>
      <c r="D20" s="3280"/>
      <c r="E20" s="3280"/>
      <c r="F20" s="3280"/>
      <c r="G20" s="3280"/>
      <c r="H20" s="3280"/>
      <c r="I20" s="3280"/>
      <c r="J20" s="3280"/>
      <c r="K20" s="3280"/>
      <c r="L20" s="3280"/>
      <c r="M20" s="3280"/>
      <c r="N20" s="3280"/>
      <c r="O20" s="3280"/>
      <c r="P20" s="3280"/>
      <c r="Q20" s="3280"/>
      <c r="R20" s="3280"/>
      <c r="S20" s="3280"/>
      <c r="T20" s="3280"/>
      <c r="U20" s="3280"/>
      <c r="V20" s="3280"/>
      <c r="W20" s="3280"/>
      <c r="X20" s="3280"/>
      <c r="Y20" s="3280"/>
      <c r="Z20" s="3280"/>
      <c r="AA20" s="3280"/>
      <c r="AB20" s="3280"/>
      <c r="AC20" s="3280"/>
      <c r="AD20" s="3280"/>
    </row>
    <row r="21" spans="1:30">
      <c r="A21" s="3346"/>
      <c r="B21" s="3347" t="s">
        <v>2793</v>
      </c>
      <c r="C21" s="3348"/>
      <c r="D21" s="3348"/>
      <c r="E21" s="3348"/>
      <c r="F21" s="3348"/>
      <c r="G21" s="3348"/>
      <c r="H21" s="3348"/>
      <c r="I21" s="3348"/>
      <c r="J21" s="3349"/>
      <c r="K21" s="3348" t="s">
        <v>2785</v>
      </c>
      <c r="L21" s="3348"/>
      <c r="M21" s="3348"/>
      <c r="N21" s="3348"/>
      <c r="O21" s="3348"/>
      <c r="P21" s="3348"/>
      <c r="Q21" s="3349"/>
      <c r="R21" s="3943" t="s">
        <v>2801</v>
      </c>
      <c r="S21" s="3944"/>
      <c r="T21" s="3944"/>
      <c r="U21" s="3944"/>
      <c r="V21" s="3944"/>
      <c r="W21" s="3944"/>
      <c r="X21" s="3349"/>
      <c r="Y21" s="3943" t="s">
        <v>1925</v>
      </c>
      <c r="Z21" s="3944"/>
      <c r="AA21" s="3944"/>
      <c r="AB21" s="3944"/>
      <c r="AC21" s="3944"/>
      <c r="AD21" s="3944"/>
    </row>
    <row r="22" spans="1:30" ht="14.25" thickBot="1">
      <c r="A22" s="3340"/>
      <c r="B22" s="3350"/>
      <c r="C22" s="3351"/>
      <c r="D22" s="3352" t="s">
        <v>2787</v>
      </c>
      <c r="E22" s="3353" t="s">
        <v>2788</v>
      </c>
      <c r="F22" s="3353" t="s">
        <v>2789</v>
      </c>
      <c r="G22" s="3353" t="s">
        <v>1469</v>
      </c>
      <c r="H22" s="3353"/>
      <c r="I22" s="3353" t="s">
        <v>2732</v>
      </c>
      <c r="J22" s="3354"/>
      <c r="K22" s="3352" t="s">
        <v>2787</v>
      </c>
      <c r="L22" s="3353" t="s">
        <v>2788</v>
      </c>
      <c r="M22" s="3353" t="s">
        <v>2789</v>
      </c>
      <c r="N22" s="3353" t="s">
        <v>2790</v>
      </c>
      <c r="O22" s="3353"/>
      <c r="P22" s="3353" t="s">
        <v>2732</v>
      </c>
      <c r="Q22" s="3354"/>
      <c r="R22" s="3352" t="s">
        <v>2802</v>
      </c>
      <c r="S22" s="3353" t="s">
        <v>2803</v>
      </c>
      <c r="T22" s="3353" t="s">
        <v>2789</v>
      </c>
      <c r="U22" s="3353" t="s">
        <v>1469</v>
      </c>
      <c r="V22" s="3353"/>
      <c r="W22" s="3353" t="s">
        <v>2804</v>
      </c>
      <c r="X22" s="3354"/>
      <c r="Y22" s="3352" t="s">
        <v>2786</v>
      </c>
      <c r="Z22" s="3353" t="s">
        <v>2788</v>
      </c>
      <c r="AA22" s="3353" t="s">
        <v>2789</v>
      </c>
      <c r="AB22" s="3353" t="s">
        <v>1469</v>
      </c>
      <c r="AC22" s="3353"/>
      <c r="AD22" s="3353" t="s">
        <v>2807</v>
      </c>
    </row>
    <row r="23" spans="1:30">
      <c r="A23" s="3341" t="s">
        <v>2781</v>
      </c>
      <c r="B23" s="3355"/>
      <c r="C23" s="3356"/>
      <c r="D23" s="3356"/>
      <c r="E23" s="3356">
        <f>ROUND(AVERAGEIF(E24:E36,"&lt;&gt;0"),2)</f>
        <v>0.42</v>
      </c>
      <c r="F23" s="3356">
        <f>ROUND(AVERAGEIF(F24:F36,"&lt;&gt;0"),2)</f>
        <v>0.32</v>
      </c>
      <c r="G23" s="3356">
        <f>ROUND(AVERAGEIF(G24:G36,"&lt;&gt;0"),2)</f>
        <v>0.75</v>
      </c>
      <c r="H23" s="3356"/>
      <c r="I23" s="3356">
        <f>F23</f>
        <v>0.32</v>
      </c>
      <c r="J23" s="3357"/>
      <c r="K23" s="3358"/>
      <c r="L23" s="3359">
        <f>ROUND(AVERAGEIF(L24:L36,"&lt;&gt;0"),4)</f>
        <v>4.1999999999999997E-3</v>
      </c>
      <c r="M23" s="3359">
        <f>ROUND(AVERAGEIF(M24:M36,"&lt;&gt;0"),4)</f>
        <v>3.2000000000000002E-3</v>
      </c>
      <c r="N23" s="3359">
        <f>ROUND(AVERAGEIF(N24:N36,"&lt;&gt;0"),4)</f>
        <v>7.4999999999999997E-3</v>
      </c>
      <c r="O23" s="3359"/>
      <c r="P23" s="3359">
        <f>M23</f>
        <v>3.2000000000000002E-3</v>
      </c>
      <c r="Q23" s="3357"/>
      <c r="R23" s="3374"/>
      <c r="S23" s="3375">
        <f>ROUND(SUMPRODUCT(PRODUCT(1+L24:L36)),4)</f>
        <v>1.0431999999999999</v>
      </c>
      <c r="T23" s="3375">
        <f>ROUND(SUMPRODUCT(PRODUCT(1+M24:M36)),4)</f>
        <v>1.0319</v>
      </c>
      <c r="U23" s="3375">
        <f>ROUND(SUMPRODUCT(PRODUCT(1+N24:N36)),4)</f>
        <v>1.0771999999999999</v>
      </c>
      <c r="V23" s="3375"/>
      <c r="W23" s="3374">
        <f>T23</f>
        <v>1.0319</v>
      </c>
      <c r="X23" s="3357"/>
      <c r="Y23" s="3382"/>
      <c r="Z23" s="3383">
        <f>ROUND(AVERAGEIF(Z24:Z36,"&lt;&gt;0"),4)</f>
        <v>4.3E-3</v>
      </c>
      <c r="AA23" s="3384">
        <f>ROUND(AVERAGEIF(AA24:AA36,"&lt;&gt;0"),4)</f>
        <v>3.5000000000000001E-3</v>
      </c>
      <c r="AB23" s="3382">
        <f>ROUND(AVERAGEIF(AB24:AB36,"&lt;&gt;0"),4)</f>
        <v>8.6E-3</v>
      </c>
      <c r="AC23" s="3385"/>
      <c r="AD23" s="3382">
        <f>AA23</f>
        <v>3.5000000000000001E-3</v>
      </c>
    </row>
    <row r="24" spans="1:30">
      <c r="A24" s="3342"/>
      <c r="B24" s="3360"/>
      <c r="C24" s="3361"/>
      <c r="D24" s="3361"/>
      <c r="E24" s="3361"/>
      <c r="F24" s="3361"/>
      <c r="G24" s="3361"/>
      <c r="H24" s="3361"/>
      <c r="I24" s="3361"/>
      <c r="J24" s="3349"/>
      <c r="K24" s="3362"/>
      <c r="L24" s="3363"/>
      <c r="M24" s="3363"/>
      <c r="N24" s="3363"/>
      <c r="O24" s="3363"/>
      <c r="P24" s="3363"/>
      <c r="Q24" s="3349"/>
      <c r="R24" s="3376"/>
      <c r="S24" s="3377"/>
      <c r="T24" s="3378"/>
      <c r="U24" s="3376"/>
      <c r="V24" s="3379"/>
      <c r="W24" s="3376"/>
      <c r="X24" s="3349"/>
      <c r="Y24" s="3366"/>
      <c r="Z24" s="3386"/>
      <c r="AA24" s="3387"/>
      <c r="AB24" s="3366"/>
      <c r="AC24" s="3388"/>
      <c r="AD24" s="3366"/>
    </row>
    <row r="25" spans="1:30">
      <c r="A25" s="3343" t="s">
        <v>3245</v>
      </c>
      <c r="B25" s="3402">
        <v>2023</v>
      </c>
      <c r="C25" s="3403">
        <v>4</v>
      </c>
      <c r="D25" s="3403"/>
      <c r="E25" s="3403">
        <v>0</v>
      </c>
      <c r="F25" s="3403">
        <v>0</v>
      </c>
      <c r="G25" s="3403">
        <v>0</v>
      </c>
      <c r="H25" s="3403"/>
      <c r="I25" s="3404">
        <f t="shared" ref="I25:I36" si="16">F25</f>
        <v>0</v>
      </c>
      <c r="J25" s="3364"/>
      <c r="K25" s="3365"/>
      <c r="L25" s="3366">
        <f t="shared" ref="L25:N36" si="17">E25/100</f>
        <v>0</v>
      </c>
      <c r="M25" s="3366">
        <f t="shared" si="17"/>
        <v>0</v>
      </c>
      <c r="N25" s="3366">
        <f t="shared" si="17"/>
        <v>0</v>
      </c>
      <c r="O25" s="3366"/>
      <c r="P25" s="3366">
        <f>M25</f>
        <v>0</v>
      </c>
      <c r="Q25" s="3364"/>
      <c r="R25" s="3380"/>
      <c r="S25" s="3380">
        <f>ROUND(IF(项目基本情况!$B$8="出让",SUMPRODUCT(PRODUCT(1+L25:L$36)),SUMPRODUCT(PRODUCT(1+L25:L$35))),4)</f>
        <v>1.0396000000000001</v>
      </c>
      <c r="T25" s="3380">
        <f>ROUND(IF(项目基本情况!$B$8="出让",SUMPRODUCT(PRODUCT(1+M25:M$36)),SUMPRODUCT(PRODUCT(1+M25:M$35))),4)</f>
        <v>1.0269999999999999</v>
      </c>
      <c r="U25" s="3380">
        <f>ROUND(IF(项目基本情况!$B$8="出让",SUMPRODUCT(PRODUCT(1+N25:N$36)),SUMPRODUCT(PRODUCT(1+N25:N$35))),4)</f>
        <v>1.0668</v>
      </c>
      <c r="V25" s="3380"/>
      <c r="W25" s="3380">
        <f>T25</f>
        <v>1.0269999999999999</v>
      </c>
      <c r="X25" s="3364"/>
      <c r="Y25" s="3389"/>
      <c r="Z25" s="3390">
        <f>IF(E25=0,0,ROUND(AVERAGE(E25:E36)/100,4))</f>
        <v>0</v>
      </c>
      <c r="AA25" s="3390">
        <f>IF(F25=0,0,ROUND(AVERAGE(F25:F36)/100,4))</f>
        <v>0</v>
      </c>
      <c r="AB25" s="3390">
        <f>IF(G25=0,0,ROUND(AVERAGE(G25:G36)/100,4))</f>
        <v>0</v>
      </c>
      <c r="AC25" s="3391"/>
      <c r="AD25" s="3389">
        <f>IF(I25=0,0,ROUND(AVERAGE(I25:I36)/100,4))</f>
        <v>0</v>
      </c>
    </row>
    <row r="26" spans="1:30">
      <c r="A26" s="3343" t="s">
        <v>3246</v>
      </c>
      <c r="B26" s="3402">
        <v>2023</v>
      </c>
      <c r="C26" s="3403">
        <v>3</v>
      </c>
      <c r="D26" s="3403"/>
      <c r="E26" s="3403">
        <v>0</v>
      </c>
      <c r="F26" s="3403">
        <v>0</v>
      </c>
      <c r="G26" s="3403">
        <v>0</v>
      </c>
      <c r="H26" s="3409"/>
      <c r="I26" s="3404">
        <f t="shared" si="16"/>
        <v>0</v>
      </c>
      <c r="J26" s="3364"/>
      <c r="K26" s="3365"/>
      <c r="L26" s="3366">
        <f t="shared" ref="L26:L28" si="18">E26/100</f>
        <v>0</v>
      </c>
      <c r="M26" s="3366">
        <f t="shared" ref="M26:M28" si="19">F26/100</f>
        <v>0</v>
      </c>
      <c r="N26" s="3366">
        <f t="shared" ref="N26:N28" si="20">G26/100</f>
        <v>0</v>
      </c>
      <c r="O26" s="3366"/>
      <c r="P26" s="3366">
        <f t="shared" ref="P26:P28" si="21">M26</f>
        <v>0</v>
      </c>
      <c r="Q26" s="3364"/>
      <c r="R26" s="3380"/>
      <c r="S26" s="3380">
        <f>ROUND(IF(项目基本情况!$B$8="出让",SUMPRODUCT(PRODUCT(1+L26:L$36)),SUMPRODUCT(PRODUCT(1+L26:L$35))),4)</f>
        <v>1.0396000000000001</v>
      </c>
      <c r="T26" s="3380">
        <f>ROUND(IF(项目基本情况!$B$8="出让",SUMPRODUCT(PRODUCT(1+M26:M$36)),SUMPRODUCT(PRODUCT(1+M26:M$35))),4)</f>
        <v>1.0269999999999999</v>
      </c>
      <c r="U26" s="3380">
        <f>ROUND(IF(项目基本情况!$B$8="出让",SUMPRODUCT(PRODUCT(1+N26:N$36)),SUMPRODUCT(PRODUCT(1+N26:N$35))),4)</f>
        <v>1.0668</v>
      </c>
      <c r="V26" s="3380"/>
      <c r="W26" s="3380">
        <f t="shared" ref="W26:W28" si="22">T26</f>
        <v>1.0269999999999999</v>
      </c>
      <c r="X26" s="3364"/>
      <c r="Y26" s="3389"/>
      <c r="Z26" s="3390">
        <f t="shared" ref="Z26:AB26" si="23">IF(E26=0,0,ROUND(AVERAGE(E26:E37)/100,4))</f>
        <v>0</v>
      </c>
      <c r="AA26" s="3390">
        <f t="shared" si="23"/>
        <v>0</v>
      </c>
      <c r="AB26" s="3390">
        <f t="shared" si="23"/>
        <v>0</v>
      </c>
      <c r="AC26" s="3391"/>
      <c r="AD26" s="3389">
        <f t="shared" ref="AD26:AD28" si="24">IF(I26=0,0,ROUND(AVERAGE(I26:I37)/100,4))</f>
        <v>0</v>
      </c>
    </row>
    <row r="27" spans="1:30">
      <c r="A27" s="3344" t="s">
        <v>3253</v>
      </c>
      <c r="B27" s="3405">
        <v>2023</v>
      </c>
      <c r="C27" s="3406">
        <v>2</v>
      </c>
      <c r="D27" s="3406"/>
      <c r="E27" s="3406">
        <v>0.5</v>
      </c>
      <c r="F27" s="3406">
        <v>0.45</v>
      </c>
      <c r="G27" s="3406">
        <v>0.89</v>
      </c>
      <c r="H27" s="3407"/>
      <c r="I27" s="3408">
        <f t="shared" si="16"/>
        <v>0.45</v>
      </c>
      <c r="J27" s="3367"/>
      <c r="K27" s="3368"/>
      <c r="L27" s="3369">
        <f t="shared" si="18"/>
        <v>5.0000000000000001E-3</v>
      </c>
      <c r="M27" s="3369">
        <f t="shared" si="19"/>
        <v>4.5000000000000005E-3</v>
      </c>
      <c r="N27" s="3369">
        <f t="shared" si="20"/>
        <v>8.8999999999999999E-3</v>
      </c>
      <c r="O27" s="3369"/>
      <c r="P27" s="3369">
        <f t="shared" si="21"/>
        <v>4.5000000000000005E-3</v>
      </c>
      <c r="Q27" s="3367"/>
      <c r="R27" s="3367"/>
      <c r="S27" s="3367">
        <f>ROUND(IF(项目基本情况!$B$8="出让",SUMPRODUCT(PRODUCT(1+L27:L$36)),SUMPRODUCT(PRODUCT(1+L27:L$35))),4)</f>
        <v>1.0396000000000001</v>
      </c>
      <c r="T27" s="3367">
        <f>ROUND(IF(项目基本情况!$B$8="出让",SUMPRODUCT(PRODUCT(1+M27:M$36)),SUMPRODUCT(PRODUCT(1+M27:M$35))),4)</f>
        <v>1.0269999999999999</v>
      </c>
      <c r="U27" s="3367">
        <f>ROUND(IF(项目基本情况!$B$8="出让",SUMPRODUCT(PRODUCT(1+N27:N$36)),SUMPRODUCT(PRODUCT(1+N27:N$35))),4)</f>
        <v>1.0668</v>
      </c>
      <c r="V27" s="3367"/>
      <c r="W27" s="3367">
        <f t="shared" si="22"/>
        <v>1.0269999999999999</v>
      </c>
      <c r="X27" s="3367"/>
      <c r="Y27" s="3369"/>
      <c r="Z27" s="3393">
        <f t="shared" ref="Z27:AB27" si="25">IF(E27=0,0,ROUND(AVERAGE(E27:E38)/100,4))</f>
        <v>4.1999999999999997E-3</v>
      </c>
      <c r="AA27" s="3394">
        <f t="shared" si="25"/>
        <v>3.2000000000000002E-3</v>
      </c>
      <c r="AB27" s="3369">
        <f t="shared" si="25"/>
        <v>7.4999999999999997E-3</v>
      </c>
      <c r="AC27" s="3395"/>
      <c r="AD27" s="3369">
        <f t="shared" si="24"/>
        <v>3.2000000000000002E-3</v>
      </c>
    </row>
    <row r="28" spans="1:30">
      <c r="A28" s="3343" t="s">
        <v>3254</v>
      </c>
      <c r="B28" s="3402">
        <v>2023</v>
      </c>
      <c r="C28" s="3403">
        <v>1</v>
      </c>
      <c r="D28" s="3403"/>
      <c r="E28" s="3403">
        <v>0.55000000000000004</v>
      </c>
      <c r="F28" s="3403">
        <v>0.59</v>
      </c>
      <c r="G28" s="3403">
        <v>0.64</v>
      </c>
      <c r="H28" s="3409"/>
      <c r="I28" s="3404">
        <f t="shared" si="16"/>
        <v>0.59</v>
      </c>
      <c r="J28" s="3364"/>
      <c r="K28" s="3365"/>
      <c r="L28" s="3366">
        <f t="shared" si="18"/>
        <v>5.5000000000000005E-3</v>
      </c>
      <c r="M28" s="3366">
        <f t="shared" si="19"/>
        <v>5.8999999999999999E-3</v>
      </c>
      <c r="N28" s="3366">
        <f t="shared" si="20"/>
        <v>6.4000000000000003E-3</v>
      </c>
      <c r="O28" s="3366"/>
      <c r="P28" s="3366">
        <f t="shared" si="21"/>
        <v>5.8999999999999999E-3</v>
      </c>
      <c r="Q28" s="3364"/>
      <c r="R28" s="3380"/>
      <c r="S28" s="3380">
        <f>ROUND(IF(项目基本情况!$B$8="出让",SUMPRODUCT(PRODUCT(1+L28:L$36)),SUMPRODUCT(PRODUCT(1+L28:L$35))),4)</f>
        <v>1.0344</v>
      </c>
      <c r="T28" s="3380">
        <f>ROUND(IF(项目基本情况!$B$8="出让",SUMPRODUCT(PRODUCT(1+M28:M$36)),SUMPRODUCT(PRODUCT(1+M28:M$35))),4)</f>
        <v>1.0224</v>
      </c>
      <c r="U28" s="3380">
        <f>ROUND(IF(项目基本情况!$B$8="出让",SUMPRODUCT(PRODUCT(1+N28:N$36)),SUMPRODUCT(PRODUCT(1+N28:N$35))),4)</f>
        <v>1.0573999999999999</v>
      </c>
      <c r="V28" s="3380"/>
      <c r="W28" s="3380">
        <f t="shared" si="22"/>
        <v>1.0224</v>
      </c>
      <c r="X28" s="3364"/>
      <c r="Y28" s="3389"/>
      <c r="Z28" s="3390">
        <f t="shared" ref="Z28:AB28" si="26">IF(E28=0,0,ROUND(AVERAGE(E28:E39)/100,4))</f>
        <v>4.1999999999999997E-3</v>
      </c>
      <c r="AA28" s="3392">
        <f t="shared" si="26"/>
        <v>3.0000000000000001E-3</v>
      </c>
      <c r="AB28" s="3389">
        <f t="shared" si="26"/>
        <v>7.3000000000000001E-3</v>
      </c>
      <c r="AC28" s="3391"/>
      <c r="AD28" s="3389">
        <f t="shared" si="24"/>
        <v>3.0000000000000001E-3</v>
      </c>
    </row>
    <row r="29" spans="1:30">
      <c r="A29" s="3343" t="s">
        <v>3250</v>
      </c>
      <c r="B29" s="3402">
        <v>2022</v>
      </c>
      <c r="C29" s="3403">
        <v>4</v>
      </c>
      <c r="D29" s="3403"/>
      <c r="E29" s="3403">
        <v>0.45</v>
      </c>
      <c r="F29" s="3403">
        <v>0.2</v>
      </c>
      <c r="G29" s="3403">
        <v>0.38</v>
      </c>
      <c r="H29" s="3409"/>
      <c r="I29" s="3404">
        <f t="shared" si="16"/>
        <v>0.2</v>
      </c>
      <c r="J29" s="3364"/>
      <c r="K29" s="3365"/>
      <c r="L29" s="3366">
        <f t="shared" si="17"/>
        <v>4.5000000000000005E-3</v>
      </c>
      <c r="M29" s="3366">
        <f t="shared" si="17"/>
        <v>2E-3</v>
      </c>
      <c r="N29" s="3366">
        <f t="shared" si="17"/>
        <v>3.8E-3</v>
      </c>
      <c r="O29" s="3366"/>
      <c r="P29" s="3366">
        <f t="shared" ref="P29:P36" si="27">M29</f>
        <v>2E-3</v>
      </c>
      <c r="Q29" s="3364"/>
      <c r="R29" s="3380"/>
      <c r="S29" s="3380">
        <f>ROUND(IF(项目基本情况!$B$8="出让",SUMPRODUCT(PRODUCT(1+L29:L$36)),SUMPRODUCT(PRODUCT(1+L29:L$35))),4)</f>
        <v>1.0286999999999999</v>
      </c>
      <c r="T29" s="3380">
        <f>ROUND(IF(项目基本情况!$B$8="出让",SUMPRODUCT(PRODUCT(1+M29:M$36)),SUMPRODUCT(PRODUCT(1+M29:M$35))),4)</f>
        <v>1.0164</v>
      </c>
      <c r="U29" s="3380">
        <f>ROUND(IF(项目基本情况!$B$8="出让",SUMPRODUCT(PRODUCT(1+N29:N$36)),SUMPRODUCT(PRODUCT(1+N29:N$35))),4)</f>
        <v>1.0506</v>
      </c>
      <c r="V29" s="3380"/>
      <c r="W29" s="3380">
        <f t="shared" ref="W29:W36" si="28">T29</f>
        <v>1.0164</v>
      </c>
      <c r="X29" s="3364"/>
      <c r="Y29" s="3389"/>
      <c r="Z29" s="3390">
        <f t="shared" ref="Z29:AD36" si="29">IF(E29=0,0,ROUND(AVERAGE(E29:E37)/100,4))</f>
        <v>4.0000000000000001E-3</v>
      </c>
      <c r="AA29" s="3392">
        <f t="shared" si="29"/>
        <v>2.5999999999999999E-3</v>
      </c>
      <c r="AB29" s="3389">
        <f t="shared" si="29"/>
        <v>7.4000000000000003E-3</v>
      </c>
      <c r="AC29" s="3391"/>
      <c r="AD29" s="3389">
        <f t="shared" si="29"/>
        <v>2.5999999999999999E-3</v>
      </c>
    </row>
    <row r="30" spans="1:30">
      <c r="A30" s="3343" t="s">
        <v>3244</v>
      </c>
      <c r="B30" s="3402">
        <v>2022</v>
      </c>
      <c r="C30" s="3403">
        <v>3</v>
      </c>
      <c r="D30" s="3403"/>
      <c r="E30" s="3403">
        <v>0.3</v>
      </c>
      <c r="F30" s="3403">
        <v>0.28999999999999998</v>
      </c>
      <c r="G30" s="3403">
        <v>0.83</v>
      </c>
      <c r="H30" s="3409"/>
      <c r="I30" s="3404">
        <f t="shared" si="16"/>
        <v>0.28999999999999998</v>
      </c>
      <c r="J30" s="3364"/>
      <c r="K30" s="3365"/>
      <c r="L30" s="3366">
        <f t="shared" si="17"/>
        <v>3.0000000000000001E-3</v>
      </c>
      <c r="M30" s="3366">
        <f t="shared" si="17"/>
        <v>2.8999999999999998E-3</v>
      </c>
      <c r="N30" s="3366">
        <f t="shared" si="17"/>
        <v>8.3000000000000001E-3</v>
      </c>
      <c r="O30" s="3366"/>
      <c r="P30" s="3366">
        <f t="shared" si="27"/>
        <v>2.8999999999999998E-3</v>
      </c>
      <c r="Q30" s="3364"/>
      <c r="R30" s="3380"/>
      <c r="S30" s="3380">
        <f>ROUND(IF(项目基本情况!$B$8="出让",SUMPRODUCT(PRODUCT(1+L30:L$36)),SUMPRODUCT(PRODUCT(1+L30:L$35))),4)</f>
        <v>1.0241</v>
      </c>
      <c r="T30" s="3380">
        <f>ROUND(IF(项目基本情况!$B$8="出让",SUMPRODUCT(PRODUCT(1+M30:M$36)),SUMPRODUCT(PRODUCT(1+M30:M$35))),4)</f>
        <v>1.0144</v>
      </c>
      <c r="U30" s="3380">
        <f>ROUND(IF(项目基本情况!$B$8="出让",SUMPRODUCT(PRODUCT(1+N30:N$36)),SUMPRODUCT(PRODUCT(1+N30:N$35))),4)</f>
        <v>1.0467</v>
      </c>
      <c r="V30" s="3380"/>
      <c r="W30" s="3380">
        <f t="shared" si="28"/>
        <v>1.0144</v>
      </c>
      <c r="X30" s="3364"/>
      <c r="Y30" s="3389"/>
      <c r="Z30" s="3390">
        <f t="shared" si="29"/>
        <v>3.8999999999999998E-3</v>
      </c>
      <c r="AA30" s="3392">
        <f t="shared" si="29"/>
        <v>2.7000000000000001E-3</v>
      </c>
      <c r="AB30" s="3389">
        <f t="shared" si="29"/>
        <v>7.9000000000000008E-3</v>
      </c>
      <c r="AC30" s="3391"/>
      <c r="AD30" s="3389">
        <f t="shared" si="29"/>
        <v>2.7000000000000001E-3</v>
      </c>
    </row>
    <row r="31" spans="1:30">
      <c r="A31" s="3343" t="s">
        <v>3243</v>
      </c>
      <c r="B31" s="3402">
        <v>2022</v>
      </c>
      <c r="C31" s="3403">
        <v>2</v>
      </c>
      <c r="D31" s="3403"/>
      <c r="E31" s="3403">
        <v>-0.11</v>
      </c>
      <c r="F31" s="3403">
        <v>-0.13</v>
      </c>
      <c r="G31" s="3403">
        <v>0.53</v>
      </c>
      <c r="H31" s="3409"/>
      <c r="I31" s="3404">
        <f t="shared" si="16"/>
        <v>-0.13</v>
      </c>
      <c r="J31" s="3364"/>
      <c r="K31" s="3365"/>
      <c r="L31" s="3366">
        <f t="shared" si="17"/>
        <v>-1.1000000000000001E-3</v>
      </c>
      <c r="M31" s="3366">
        <f t="shared" si="17"/>
        <v>-1.2999999999999999E-3</v>
      </c>
      <c r="N31" s="3366">
        <f t="shared" si="17"/>
        <v>5.3E-3</v>
      </c>
      <c r="O31" s="3366"/>
      <c r="P31" s="3366">
        <f t="shared" si="27"/>
        <v>-1.2999999999999999E-3</v>
      </c>
      <c r="Q31" s="3364"/>
      <c r="R31" s="3380"/>
      <c r="S31" s="3380">
        <f>ROUND(IF(项目基本情况!$B$8="出让",SUMPRODUCT(PRODUCT(1+L31:L$36)),SUMPRODUCT(PRODUCT(1+L31:L$35))),4)</f>
        <v>1.0210999999999999</v>
      </c>
      <c r="T31" s="3380">
        <f>ROUND(IF(项目基本情况!$B$8="出让",SUMPRODUCT(PRODUCT(1+M31:M$36)),SUMPRODUCT(PRODUCT(1+M31:M$35))),4)</f>
        <v>1.0114000000000001</v>
      </c>
      <c r="U31" s="3380">
        <f>ROUND(IF(项目基本情况!$B$8="出让",SUMPRODUCT(PRODUCT(1+N31:N$36)),SUMPRODUCT(PRODUCT(1+N31:N$35))),4)</f>
        <v>1.0381</v>
      </c>
      <c r="V31" s="3380"/>
      <c r="W31" s="3380">
        <f t="shared" si="28"/>
        <v>1.0114000000000001</v>
      </c>
      <c r="X31" s="3364"/>
      <c r="Y31" s="3389"/>
      <c r="Z31" s="3390">
        <f t="shared" si="29"/>
        <v>4.1000000000000003E-3</v>
      </c>
      <c r="AA31" s="3392">
        <f t="shared" si="29"/>
        <v>2.7000000000000001E-3</v>
      </c>
      <c r="AB31" s="3389">
        <f t="shared" si="29"/>
        <v>7.9000000000000008E-3</v>
      </c>
      <c r="AC31" s="3391"/>
      <c r="AD31" s="3389">
        <f t="shared" si="29"/>
        <v>2.7000000000000001E-3</v>
      </c>
    </row>
    <row r="32" spans="1:30">
      <c r="A32" s="3343" t="s">
        <v>2776</v>
      </c>
      <c r="B32" s="3402">
        <v>2022</v>
      </c>
      <c r="C32" s="3403">
        <v>1</v>
      </c>
      <c r="D32" s="3403"/>
      <c r="E32" s="3403">
        <v>0.6</v>
      </c>
      <c r="F32" s="3403">
        <v>0.45</v>
      </c>
      <c r="G32" s="3403">
        <v>0.53</v>
      </c>
      <c r="H32" s="3409"/>
      <c r="I32" s="3404">
        <f t="shared" si="16"/>
        <v>0.45</v>
      </c>
      <c r="J32" s="3364"/>
      <c r="K32" s="3365"/>
      <c r="L32" s="3366">
        <f t="shared" si="17"/>
        <v>6.0000000000000001E-3</v>
      </c>
      <c r="M32" s="3366">
        <f t="shared" si="17"/>
        <v>4.5000000000000005E-3</v>
      </c>
      <c r="N32" s="3366">
        <f t="shared" si="17"/>
        <v>5.3E-3</v>
      </c>
      <c r="O32" s="3366"/>
      <c r="P32" s="3366">
        <f t="shared" si="27"/>
        <v>4.5000000000000005E-3</v>
      </c>
      <c r="Q32" s="3364"/>
      <c r="R32" s="3380"/>
      <c r="S32" s="3380">
        <f>ROUND(IF(项目基本情况!$B$8="出让",SUMPRODUCT(PRODUCT(1+L32:L$36)),SUMPRODUCT(PRODUCT(1+L32:L$35))),4)</f>
        <v>1.0222</v>
      </c>
      <c r="T32" s="3380">
        <f>ROUND(IF(项目基本情况!$B$8="出让",SUMPRODUCT(PRODUCT(1+M32:M$36)),SUMPRODUCT(PRODUCT(1+M32:M$35))),4)</f>
        <v>1.0127999999999999</v>
      </c>
      <c r="U32" s="3380">
        <f>ROUND(IF(项目基本情况!$B$8="出让",SUMPRODUCT(PRODUCT(1+N32:N$36)),SUMPRODUCT(PRODUCT(1+N32:N$35))),4)</f>
        <v>1.0326</v>
      </c>
      <c r="V32" s="3380"/>
      <c r="W32" s="3380">
        <f t="shared" si="28"/>
        <v>1.0127999999999999</v>
      </c>
      <c r="X32" s="3364"/>
      <c r="Y32" s="3389"/>
      <c r="Z32" s="3390">
        <f t="shared" si="29"/>
        <v>5.1000000000000004E-3</v>
      </c>
      <c r="AA32" s="3392">
        <f t="shared" si="29"/>
        <v>3.5000000000000001E-3</v>
      </c>
      <c r="AB32" s="3389">
        <f t="shared" si="29"/>
        <v>8.3999999999999995E-3</v>
      </c>
      <c r="AC32" s="3391"/>
      <c r="AD32" s="3389">
        <f t="shared" si="29"/>
        <v>3.5000000000000001E-3</v>
      </c>
    </row>
    <row r="33" spans="1:30">
      <c r="A33" s="3343" t="s">
        <v>2777</v>
      </c>
      <c r="B33" s="3402">
        <v>2021</v>
      </c>
      <c r="C33" s="3403">
        <v>4</v>
      </c>
      <c r="D33" s="3403"/>
      <c r="E33" s="3403">
        <v>0.57999999999999996</v>
      </c>
      <c r="F33" s="3403">
        <v>0.08</v>
      </c>
      <c r="G33" s="3403">
        <v>0.68</v>
      </c>
      <c r="H33" s="3409"/>
      <c r="I33" s="3404">
        <f t="shared" si="16"/>
        <v>0.08</v>
      </c>
      <c r="J33" s="3364"/>
      <c r="K33" s="3365"/>
      <c r="L33" s="3366">
        <f t="shared" si="17"/>
        <v>5.7999999999999996E-3</v>
      </c>
      <c r="M33" s="3366">
        <f t="shared" si="17"/>
        <v>8.0000000000000004E-4</v>
      </c>
      <c r="N33" s="3366">
        <f t="shared" si="17"/>
        <v>6.8000000000000005E-3</v>
      </c>
      <c r="O33" s="3366"/>
      <c r="P33" s="3366">
        <f t="shared" si="27"/>
        <v>8.0000000000000004E-4</v>
      </c>
      <c r="Q33" s="3364"/>
      <c r="R33" s="3380"/>
      <c r="S33" s="3380">
        <f>ROUND(IF(项目基本情况!$B$8="出让",SUMPRODUCT(PRODUCT(1+L33:L$36)),SUMPRODUCT(PRODUCT(1+L33:L$35))),4)</f>
        <v>1.0161</v>
      </c>
      <c r="T33" s="3380">
        <f>ROUND(IF(项目基本情况!$B$8="出让",SUMPRODUCT(PRODUCT(1+M33:M$36)),SUMPRODUCT(PRODUCT(1+M33:M$35))),4)</f>
        <v>1.0082</v>
      </c>
      <c r="U33" s="3380">
        <f>ROUND(IF(项目基本情况!$B$8="出让",SUMPRODUCT(PRODUCT(1+N33:N$36)),SUMPRODUCT(PRODUCT(1+N33:N$35))),4)</f>
        <v>1.0270999999999999</v>
      </c>
      <c r="V33" s="3380"/>
      <c r="W33" s="3380">
        <f t="shared" si="28"/>
        <v>1.0082</v>
      </c>
      <c r="X33" s="3364"/>
      <c r="Y33" s="3389"/>
      <c r="Z33" s="3390">
        <f t="shared" si="29"/>
        <v>4.8999999999999998E-3</v>
      </c>
      <c r="AA33" s="3392">
        <f t="shared" si="29"/>
        <v>3.3E-3</v>
      </c>
      <c r="AB33" s="3389">
        <f t="shared" si="29"/>
        <v>9.1999999999999998E-3</v>
      </c>
      <c r="AC33" s="3391"/>
      <c r="AD33" s="3389">
        <f t="shared" si="29"/>
        <v>3.3E-3</v>
      </c>
    </row>
    <row r="34" spans="1:30">
      <c r="A34" s="3343" t="s">
        <v>2778</v>
      </c>
      <c r="B34" s="3402">
        <v>2021</v>
      </c>
      <c r="C34" s="3403">
        <v>3</v>
      </c>
      <c r="D34" s="3403"/>
      <c r="E34" s="3403">
        <v>0.47</v>
      </c>
      <c r="F34" s="3403">
        <v>0.28000000000000003</v>
      </c>
      <c r="G34" s="3403">
        <v>0.91</v>
      </c>
      <c r="H34" s="3409"/>
      <c r="I34" s="3404">
        <f t="shared" si="16"/>
        <v>0.28000000000000003</v>
      </c>
      <c r="J34" s="3364"/>
      <c r="K34" s="3365"/>
      <c r="L34" s="3366">
        <f t="shared" si="17"/>
        <v>4.6999999999999993E-3</v>
      </c>
      <c r="M34" s="3366">
        <f t="shared" si="17"/>
        <v>2.8000000000000004E-3</v>
      </c>
      <c r="N34" s="3366">
        <f t="shared" si="17"/>
        <v>9.1000000000000004E-3</v>
      </c>
      <c r="O34" s="3366"/>
      <c r="P34" s="3366">
        <f t="shared" si="27"/>
        <v>2.8000000000000004E-3</v>
      </c>
      <c r="Q34" s="3364"/>
      <c r="R34" s="3380"/>
      <c r="S34" s="3380">
        <f>ROUND(IF(项目基本情况!$B$8="出让",SUMPRODUCT(PRODUCT(1+L34:L$36)),SUMPRODUCT(PRODUCT(1+L34:L$35))),4)</f>
        <v>1.0102</v>
      </c>
      <c r="T34" s="3380">
        <f>ROUND(IF(项目基本情况!$B$8="出让",SUMPRODUCT(PRODUCT(1+M34:M$36)),SUMPRODUCT(PRODUCT(1+M34:M$35))),4)</f>
        <v>1.0074000000000001</v>
      </c>
      <c r="U34" s="3380">
        <f>ROUND(IF(项目基本情况!$B$8="出让",SUMPRODUCT(PRODUCT(1+N34:N$36)),SUMPRODUCT(PRODUCT(1+N34:N$35))),4)</f>
        <v>1.0202</v>
      </c>
      <c r="V34" s="3380"/>
      <c r="W34" s="3380">
        <f t="shared" si="28"/>
        <v>1.0074000000000001</v>
      </c>
      <c r="X34" s="3364"/>
      <c r="Y34" s="3389"/>
      <c r="Z34" s="3390">
        <f t="shared" si="29"/>
        <v>4.5999999999999999E-3</v>
      </c>
      <c r="AA34" s="3392">
        <f t="shared" si="29"/>
        <v>4.1000000000000003E-3</v>
      </c>
      <c r="AB34" s="3389">
        <f t="shared" si="29"/>
        <v>0.01</v>
      </c>
      <c r="AC34" s="3391"/>
      <c r="AD34" s="3389">
        <f t="shared" si="29"/>
        <v>4.1000000000000003E-3</v>
      </c>
    </row>
    <row r="35" spans="1:30">
      <c r="A35" s="3343" t="s">
        <v>2782</v>
      </c>
      <c r="B35" s="3402">
        <v>2021</v>
      </c>
      <c r="C35" s="3403">
        <v>2</v>
      </c>
      <c r="D35" s="3403"/>
      <c r="E35" s="3403">
        <v>0.55000000000000004</v>
      </c>
      <c r="F35" s="3403">
        <v>0.46</v>
      </c>
      <c r="G35" s="3403">
        <v>1.1000000000000001</v>
      </c>
      <c r="H35" s="3409"/>
      <c r="I35" s="3404">
        <f t="shared" si="16"/>
        <v>0.46</v>
      </c>
      <c r="J35" s="3364"/>
      <c r="K35" s="3365"/>
      <c r="L35" s="3366">
        <f t="shared" si="17"/>
        <v>5.5000000000000005E-3</v>
      </c>
      <c r="M35" s="3366">
        <f t="shared" si="17"/>
        <v>4.5999999999999999E-3</v>
      </c>
      <c r="N35" s="3366">
        <f t="shared" si="17"/>
        <v>1.1000000000000001E-2</v>
      </c>
      <c r="O35" s="3366"/>
      <c r="P35" s="3366">
        <f t="shared" si="27"/>
        <v>4.5999999999999999E-3</v>
      </c>
      <c r="Q35" s="3364"/>
      <c r="R35" s="3380"/>
      <c r="S35" s="3380">
        <f>ROUND(IF(项目基本情况!$B$8="出让",SUMPRODUCT(PRODUCT(1+L35:L$36)),SUMPRODUCT(PRODUCT(1+L35:L$35))),4)</f>
        <v>1.0055000000000001</v>
      </c>
      <c r="T35" s="3380">
        <f>ROUND(IF(项目基本情况!$B$8="出让",SUMPRODUCT(PRODUCT(1+M35:M$36)),SUMPRODUCT(PRODUCT(1+M35:M$35))),4)</f>
        <v>1.0045999999999999</v>
      </c>
      <c r="U35" s="3380">
        <f>ROUND(IF(项目基本情况!$B$8="出让",SUMPRODUCT(PRODUCT(1+N35:N$36)),SUMPRODUCT(PRODUCT(1+N35:N$35))),4)</f>
        <v>1.0109999999999999</v>
      </c>
      <c r="V35" s="3380"/>
      <c r="W35" s="3380">
        <f t="shared" si="28"/>
        <v>1.0045999999999999</v>
      </c>
      <c r="X35" s="3364"/>
      <c r="Y35" s="3389"/>
      <c r="Z35" s="3390">
        <f t="shared" si="29"/>
        <v>4.4999999999999997E-3</v>
      </c>
      <c r="AA35" s="3392">
        <f t="shared" si="29"/>
        <v>4.7000000000000002E-3</v>
      </c>
      <c r="AB35" s="3389">
        <f t="shared" si="29"/>
        <v>1.04E-2</v>
      </c>
      <c r="AC35" s="3391"/>
      <c r="AD35" s="3389">
        <f t="shared" si="29"/>
        <v>4.7000000000000002E-3</v>
      </c>
    </row>
    <row r="36" spans="1:30" ht="14.25" thickBot="1">
      <c r="A36" s="3345" t="s">
        <v>2783</v>
      </c>
      <c r="B36" s="3410">
        <v>2021</v>
      </c>
      <c r="C36" s="3411">
        <v>1</v>
      </c>
      <c r="D36" s="3411"/>
      <c r="E36" s="3411">
        <v>0.35</v>
      </c>
      <c r="F36" s="3411">
        <v>0.48</v>
      </c>
      <c r="G36" s="3411">
        <v>0.98</v>
      </c>
      <c r="H36" s="3412"/>
      <c r="I36" s="3413">
        <f t="shared" si="16"/>
        <v>0.48</v>
      </c>
      <c r="J36" s="3370"/>
      <c r="K36" s="3371"/>
      <c r="L36" s="3372">
        <f t="shared" si="17"/>
        <v>3.4999999999999996E-3</v>
      </c>
      <c r="M36" s="3372">
        <f>F36/100</f>
        <v>4.7999999999999996E-3</v>
      </c>
      <c r="N36" s="3372">
        <f t="shared" si="17"/>
        <v>9.7999999999999997E-3</v>
      </c>
      <c r="O36" s="3372"/>
      <c r="P36" s="3372">
        <f t="shared" si="27"/>
        <v>4.7999999999999996E-3</v>
      </c>
      <c r="Q36" s="3370"/>
      <c r="R36" s="3381"/>
      <c r="S36" s="3381">
        <v>1</v>
      </c>
      <c r="T36" s="3381">
        <v>1</v>
      </c>
      <c r="U36" s="3381">
        <v>1</v>
      </c>
      <c r="V36" s="3381"/>
      <c r="W36" s="3381">
        <f t="shared" si="28"/>
        <v>1</v>
      </c>
      <c r="X36" s="3370"/>
      <c r="Y36" s="3372"/>
      <c r="Z36" s="3396">
        <f t="shared" si="29"/>
        <v>3.5000000000000001E-3</v>
      </c>
      <c r="AA36" s="3397">
        <f t="shared" si="29"/>
        <v>4.7999999999999996E-3</v>
      </c>
      <c r="AB36" s="3372">
        <f t="shared" si="29"/>
        <v>9.7999999999999997E-3</v>
      </c>
      <c r="AC36" s="3398"/>
      <c r="AD36" s="3372">
        <f t="shared" si="29"/>
        <v>4.7999999999999996E-3</v>
      </c>
    </row>
    <row r="37" spans="1:30" ht="14.25" thickTop="1"/>
    <row r="38" spans="1:30">
      <c r="A38" s="3661" t="s">
        <v>3248</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18265.05平方米。根据《建设工程规划许可证》[]、《出让合同》[]，估价对象规划建筑面积为59771.28平方米。</v>
      </c>
    </row>
    <row r="7" spans="1:4" ht="56.25">
      <c r="A7" s="1582" t="s">
        <v>2029</v>
      </c>
    </row>
    <row r="8" spans="1:4" ht="18.75">
      <c r="A8" s="1581" t="s">
        <v>1430</v>
      </c>
    </row>
    <row r="9" spans="1:4" ht="75">
      <c r="A9" s="1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1544</v>
      </c>
    </row>
    <row r="11" spans="1:4" ht="18.75">
      <c r="A11" s="1567" t="str">
        <f>TEXT(项目基本情况!D3,"yyyy年m月d日;;")&amp;IF(项目基本情况!B3=项目基本情况!D3,"（评估专业人员勘察现场之日）","")</f>
        <v>2023年9月6日（评估专业人员勘察现场之日）</v>
      </c>
    </row>
    <row r="12" spans="1:4" ht="18.75">
      <c r="A12" s="1584" t="s">
        <v>1543</v>
      </c>
    </row>
    <row r="13" spans="1:4" ht="18.75">
      <c r="A13" s="1578" t="s">
        <v>2195</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8"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根据《国有土地使用证》[]，估价对象（分摊）出让国有建设用地使用权面积为18265.05平方米。根据《建设工程规划许可证》[]、《出让合同》[]，估价对象规划建筑面积为59771.28平方米。</v>
      </c>
    </row>
    <row r="21" spans="1:1" ht="18.75">
      <c r="A21" s="1578" t="s">
        <v>1592</v>
      </c>
    </row>
    <row r="22" spans="1:1" ht="93.7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8月2日车库2073年8月2日。截至估价期日，出让国有建设用地使用权剩余土地使用年限为69.95。</v>
      </c>
    </row>
    <row r="23" spans="1:1" ht="18.75">
      <c r="A23" s="1578" t="str">
        <f>IF(项目基本情况!A17="出让","本次评估设定估价对象剩余土地使用年限为"&amp;项目基本情况!D20&amp;"。","")</f>
        <v>本次评估设定估价对象剩余土地使用年限为69.95。</v>
      </c>
    </row>
    <row r="24" spans="1:1" ht="18.75">
      <c r="A24" s="1578" t="s">
        <v>1593</v>
      </c>
    </row>
    <row r="25" spans="1:1" ht="93.75">
      <c r="A25" s="1578" t="str">
        <f>定义!C53</f>
        <v>本次估价的“出让国有建设用地使用权价格”是指在估价对象土地所有权为国家所有，使用权性质为出让，在公开市场条件下、于估价期日2023年9月6日，在规划利用条件下、设定土地开发程度为红线外“七通”、宗地内场地，设定用途为，剩余土地使用年限为69.95的出让国有建设用地使用权价格。</v>
      </c>
    </row>
    <row r="26" spans="1:1" ht="3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9" customWidth="1"/>
    <col min="2" max="2" width="12.5" style="2989" customWidth="1"/>
    <col min="3" max="3" width="12.125" style="2989" customWidth="1"/>
    <col min="4" max="4" width="16.625" style="2989" customWidth="1"/>
    <col min="5" max="5" width="12.5" style="2989" customWidth="1"/>
    <col min="6" max="6" width="12.75" style="2989" customWidth="1"/>
    <col min="7" max="16384" width="8.875" style="2989"/>
  </cols>
  <sheetData>
    <row r="1" spans="1:14" ht="20.25">
      <c r="A1" s="2992" t="s">
        <v>2202</v>
      </c>
      <c r="B1" s="2987"/>
      <c r="C1" s="2987"/>
      <c r="D1" s="2987"/>
      <c r="E1" s="2987"/>
      <c r="F1" s="2987"/>
      <c r="G1" s="2988"/>
      <c r="H1" s="2988"/>
      <c r="I1" s="2988"/>
      <c r="J1" s="2988"/>
      <c r="K1" s="2988"/>
      <c r="L1" s="2988"/>
      <c r="M1" s="2988"/>
      <c r="N1" s="2988"/>
    </row>
    <row r="2" spans="1:14" ht="14.25">
      <c r="A2" s="2993" t="s">
        <v>2197</v>
      </c>
      <c r="B2" s="2998">
        <f ca="1">SUMIF(B7:B14,"&lt;&gt;#ref!",B7:B14)</f>
        <v>0</v>
      </c>
      <c r="C2" s="2993" t="s">
        <v>2198</v>
      </c>
      <c r="D2" s="2990"/>
      <c r="E2" s="2990"/>
      <c r="F2" s="2990"/>
      <c r="G2" s="2988"/>
      <c r="H2" s="2988"/>
      <c r="I2" s="2988"/>
      <c r="J2" s="2988"/>
      <c r="K2" s="2988"/>
      <c r="L2" s="2988"/>
      <c r="M2" s="2988"/>
      <c r="N2" s="2988"/>
    </row>
    <row r="3" spans="1:14" ht="14.25">
      <c r="A3" s="2993" t="s">
        <v>2226</v>
      </c>
      <c r="B3" s="2998" t="e">
        <f ca="1">ROUND(B2*10000/E3,0)</f>
        <v>#DIV/0!</v>
      </c>
      <c r="C3" s="2993" t="s">
        <v>1596</v>
      </c>
      <c r="D3" s="2993" t="s">
        <v>2199</v>
      </c>
      <c r="E3" s="2991">
        <f ca="1">SUMIF(E7:E14,"&lt;&gt;#ref!",E7:E14)</f>
        <v>0</v>
      </c>
      <c r="F3" s="2990"/>
      <c r="G3" s="2988"/>
      <c r="H3" s="2988"/>
      <c r="I3" s="2988"/>
      <c r="J3" s="2988"/>
      <c r="K3" s="2988"/>
      <c r="L3" s="2988"/>
      <c r="M3" s="2988"/>
      <c r="N3" s="2988"/>
    </row>
    <row r="4" spans="1:14" ht="14.25">
      <c r="A4" s="2993" t="s">
        <v>2205</v>
      </c>
      <c r="B4" s="2998" t="e">
        <f ca="1">ROUND(B2*10000/E4,0)</f>
        <v>#DIV/0!</v>
      </c>
      <c r="C4" s="2993" t="s">
        <v>1596</v>
      </c>
      <c r="D4" s="2993" t="s">
        <v>2206</v>
      </c>
      <c r="E4" s="2991">
        <f ca="1">SUMIF(F7:F14,"&lt;&gt;#ref!",F7:F14)</f>
        <v>0</v>
      </c>
      <c r="F4" s="2990"/>
      <c r="G4" s="2988"/>
      <c r="H4" s="2988"/>
      <c r="I4" s="2988"/>
      <c r="J4" s="2988"/>
      <c r="K4" s="2988"/>
      <c r="L4" s="2988"/>
      <c r="M4" s="2988"/>
      <c r="N4" s="2988"/>
    </row>
    <row r="5" spans="1:14" ht="14.25">
      <c r="A5" s="2994"/>
      <c r="B5" s="2990"/>
      <c r="C5" s="2990"/>
      <c r="D5" s="2990"/>
      <c r="E5" s="2990"/>
      <c r="F5" s="2990"/>
      <c r="G5" s="2988"/>
      <c r="H5" s="2988"/>
      <c r="I5" s="2988"/>
      <c r="J5" s="2988"/>
      <c r="K5" s="2988"/>
      <c r="L5" s="2988"/>
      <c r="M5" s="2988"/>
      <c r="N5" s="2988"/>
    </row>
    <row r="6" spans="1:14" ht="28.5">
      <c r="A6" s="2995" t="s">
        <v>2203</v>
      </c>
      <c r="B6" s="2993" t="s">
        <v>2200</v>
      </c>
      <c r="C6" s="2544"/>
      <c r="D6" s="2990"/>
      <c r="E6" s="2993" t="s">
        <v>2201</v>
      </c>
      <c r="F6" s="2993" t="s">
        <v>2204</v>
      </c>
      <c r="G6" s="2988"/>
      <c r="H6" s="2988"/>
      <c r="I6" s="2988"/>
      <c r="J6" s="2988"/>
      <c r="K6" s="2988"/>
      <c r="L6" s="2988"/>
      <c r="M6" s="2988"/>
      <c r="N6" s="2988"/>
    </row>
    <row r="7" spans="1:14" ht="14.25">
      <c r="A7" s="2996"/>
      <c r="B7" s="2998" t="e">
        <f ca="1">SUMIF(INDIRECT("'"&amp;A7&amp;"'"&amp;"!A:A"),"总价",INDIRECT("'"&amp;A7&amp;"'"&amp;"!B:B"))</f>
        <v>#REF!</v>
      </c>
      <c r="C7" s="2993" t="s">
        <v>2198</v>
      </c>
      <c r="D7" s="2990"/>
      <c r="E7" s="2991" t="e">
        <f ca="1">SUMIF(INDIRECT("'"&amp;A7&amp;"'"&amp;"!C:C"),"建筑面积",INDIRECT("'"&amp;A7&amp;"'"&amp;"!D:D"))</f>
        <v>#REF!</v>
      </c>
      <c r="F7" s="2991" t="e">
        <f ca="1">SUMIF(INDIRECT("'"&amp;A7&amp;"'"&amp;"!E:E"),"土地面积",INDIRECT("'"&amp;A7&amp;"'"&amp;"!F:F"))</f>
        <v>#REF!</v>
      </c>
      <c r="G7" s="2988"/>
      <c r="H7" s="2988"/>
      <c r="I7" s="2988"/>
      <c r="J7" s="2988"/>
      <c r="K7" s="2988"/>
      <c r="L7" s="2988"/>
      <c r="M7" s="2988"/>
      <c r="N7" s="2988"/>
    </row>
    <row r="8" spans="1:14" ht="14.25">
      <c r="A8" s="2996"/>
      <c r="B8" s="2998" t="e">
        <f t="shared" ref="B8:B14" ca="1" si="0">SUMIF(INDIRECT("'"&amp;A8&amp;"'"&amp;"!A:A"),"总价",INDIRECT("'"&amp;A8&amp;"'"&amp;"!B:B"))</f>
        <v>#REF!</v>
      </c>
      <c r="C8" s="2993" t="s">
        <v>2198</v>
      </c>
      <c r="D8" s="2990"/>
      <c r="E8" s="2991" t="e">
        <f t="shared" ref="E8:E14" ca="1" si="1">SUMIF(INDIRECT("'"&amp;A8&amp;"'"&amp;"!C:C"),"建筑面积",INDIRECT("'"&amp;A8&amp;"'"&amp;"!D:D"))</f>
        <v>#REF!</v>
      </c>
      <c r="F8" s="2991" t="e">
        <f t="shared" ref="F8:F14" ca="1" si="2">SUMIF(INDIRECT("'"&amp;A8&amp;"'"&amp;"!E:E"),"土地面积",INDIRECT("'"&amp;A8&amp;"'"&amp;"!F:F"))</f>
        <v>#REF!</v>
      </c>
      <c r="G8" s="2988"/>
      <c r="H8" s="2988"/>
      <c r="I8" s="2988"/>
      <c r="J8" s="2988"/>
      <c r="K8" s="2988"/>
      <c r="L8" s="2988"/>
      <c r="M8" s="2988"/>
      <c r="N8" s="2988"/>
    </row>
    <row r="9" spans="1:14" ht="14.25">
      <c r="A9" s="2996"/>
      <c r="B9" s="2998" t="e">
        <f t="shared" ca="1" si="0"/>
        <v>#REF!</v>
      </c>
      <c r="C9" s="2993" t="s">
        <v>2198</v>
      </c>
      <c r="D9" s="2990"/>
      <c r="E9" s="2991" t="e">
        <f t="shared" ca="1" si="1"/>
        <v>#REF!</v>
      </c>
      <c r="F9" s="2991" t="e">
        <f t="shared" ca="1" si="2"/>
        <v>#REF!</v>
      </c>
      <c r="G9" s="2988"/>
      <c r="H9" s="2988"/>
      <c r="I9" s="2988"/>
      <c r="J9" s="2988"/>
      <c r="K9" s="2988"/>
      <c r="L9" s="2988"/>
      <c r="M9" s="2988"/>
      <c r="N9" s="2988"/>
    </row>
    <row r="10" spans="1:14" ht="14.25">
      <c r="A10" s="2996"/>
      <c r="B10" s="2998" t="e">
        <f t="shared" ca="1" si="0"/>
        <v>#REF!</v>
      </c>
      <c r="C10" s="2993" t="s">
        <v>2198</v>
      </c>
      <c r="D10" s="2990"/>
      <c r="E10" s="2991" t="e">
        <f t="shared" ca="1" si="1"/>
        <v>#REF!</v>
      </c>
      <c r="F10" s="2991" t="e">
        <f t="shared" ca="1" si="2"/>
        <v>#REF!</v>
      </c>
      <c r="G10" s="2988"/>
      <c r="H10" s="2988"/>
      <c r="I10" s="2988"/>
      <c r="J10" s="2988"/>
      <c r="K10" s="2988"/>
      <c r="L10" s="2988"/>
      <c r="M10" s="2988"/>
      <c r="N10" s="2988"/>
    </row>
    <row r="11" spans="1:14" ht="14.25">
      <c r="A11" s="2996"/>
      <c r="B11" s="2998" t="e">
        <f t="shared" ca="1" si="0"/>
        <v>#REF!</v>
      </c>
      <c r="C11" s="2993" t="s">
        <v>2198</v>
      </c>
      <c r="D11" s="2990"/>
      <c r="E11" s="2991" t="e">
        <f t="shared" ca="1" si="1"/>
        <v>#REF!</v>
      </c>
      <c r="F11" s="2991" t="e">
        <f t="shared" ca="1" si="2"/>
        <v>#REF!</v>
      </c>
      <c r="G11" s="2988"/>
      <c r="H11" s="2988"/>
      <c r="I11" s="2988"/>
      <c r="J11" s="2988"/>
      <c r="K11" s="2988"/>
      <c r="L11" s="2988"/>
      <c r="M11" s="2988"/>
      <c r="N11" s="2988"/>
    </row>
    <row r="12" spans="1:14" ht="14.25">
      <c r="A12" s="2996"/>
      <c r="B12" s="2998" t="e">
        <f t="shared" ca="1" si="0"/>
        <v>#REF!</v>
      </c>
      <c r="C12" s="2993" t="s">
        <v>2198</v>
      </c>
      <c r="D12" s="2990"/>
      <c r="E12" s="2991" t="e">
        <f t="shared" ca="1" si="1"/>
        <v>#REF!</v>
      </c>
      <c r="F12" s="2991" t="e">
        <f t="shared" ca="1" si="2"/>
        <v>#REF!</v>
      </c>
      <c r="G12" s="2988"/>
      <c r="H12" s="2988"/>
      <c r="I12" s="2988"/>
      <c r="J12" s="2988"/>
      <c r="K12" s="2988"/>
      <c r="L12" s="2988"/>
      <c r="M12" s="2988"/>
      <c r="N12" s="2988"/>
    </row>
    <row r="13" spans="1:14" ht="14.25">
      <c r="A13" s="2996"/>
      <c r="B13" s="2998" t="e">
        <f t="shared" ca="1" si="0"/>
        <v>#REF!</v>
      </c>
      <c r="C13" s="2993" t="s">
        <v>2198</v>
      </c>
      <c r="D13" s="2990"/>
      <c r="E13" s="2991" t="e">
        <f t="shared" ca="1" si="1"/>
        <v>#REF!</v>
      </c>
      <c r="F13" s="2991" t="e">
        <f t="shared" ca="1" si="2"/>
        <v>#REF!</v>
      </c>
      <c r="G13" s="2988"/>
      <c r="H13" s="2988"/>
      <c r="I13" s="2988"/>
      <c r="J13" s="2988"/>
      <c r="K13" s="2988"/>
      <c r="L13" s="2988"/>
      <c r="M13" s="2988"/>
      <c r="N13" s="2988"/>
    </row>
    <row r="14" spans="1:14" ht="14.25">
      <c r="A14" s="2997"/>
      <c r="B14" s="2998" t="e">
        <f t="shared" ca="1" si="0"/>
        <v>#REF!</v>
      </c>
      <c r="C14" s="2993" t="s">
        <v>2198</v>
      </c>
      <c r="D14" s="2990"/>
      <c r="E14" s="2991" t="e">
        <f t="shared" ca="1" si="1"/>
        <v>#REF!</v>
      </c>
      <c r="F14" s="2991" t="e">
        <f t="shared" ca="1" si="2"/>
        <v>#REF!</v>
      </c>
      <c r="G14" s="2988"/>
      <c r="H14" s="2988"/>
      <c r="I14" s="2988"/>
      <c r="J14" s="2988"/>
      <c r="K14" s="2988"/>
      <c r="L14" s="2988"/>
      <c r="M14" s="2988"/>
      <c r="N14" s="2988"/>
    </row>
    <row r="15" spans="1:14">
      <c r="A15" s="2988"/>
      <c r="B15" s="2988"/>
      <c r="C15" s="2988"/>
      <c r="D15" s="2988"/>
      <c r="E15" s="2988"/>
      <c r="F15" s="2988"/>
      <c r="G15" s="2988"/>
      <c r="H15" s="2988"/>
      <c r="I15" s="2988"/>
      <c r="J15" s="2988"/>
      <c r="K15" s="2988"/>
      <c r="L15" s="2988"/>
      <c r="M15" s="2988"/>
      <c r="N15" s="2988"/>
    </row>
    <row r="16" spans="1:14">
      <c r="A16" s="2988"/>
      <c r="B16" s="2988"/>
      <c r="C16" s="2988"/>
      <c r="D16" s="2988"/>
      <c r="E16" s="2988"/>
      <c r="F16" s="2988"/>
      <c r="G16" s="2988"/>
      <c r="H16" s="2988"/>
      <c r="I16" s="2988"/>
      <c r="J16" s="2988"/>
      <c r="K16" s="2988"/>
      <c r="L16" s="2988"/>
      <c r="M16" s="2988"/>
      <c r="N16" s="2988"/>
    </row>
    <row r="17" spans="1:14">
      <c r="A17" s="2988"/>
      <c r="B17" s="2988"/>
      <c r="C17" s="2988"/>
      <c r="D17" s="2988"/>
      <c r="E17" s="2988"/>
      <c r="F17" s="2988"/>
      <c r="G17" s="2988"/>
      <c r="H17" s="2988"/>
      <c r="I17" s="2988"/>
      <c r="J17" s="2988"/>
      <c r="K17" s="2988"/>
      <c r="L17" s="2988"/>
      <c r="M17" s="2988"/>
      <c r="N17" s="2988"/>
    </row>
    <row r="18" spans="1:14">
      <c r="A18" s="2988"/>
      <c r="B18" s="2988"/>
      <c r="C18" s="2988"/>
      <c r="D18" s="2988"/>
      <c r="E18" s="2988"/>
      <c r="F18" s="2988"/>
      <c r="G18" s="2988"/>
      <c r="H18" s="2988"/>
      <c r="I18" s="2988"/>
      <c r="J18" s="2988"/>
      <c r="K18" s="2988"/>
      <c r="L18" s="2988"/>
      <c r="M18" s="2988"/>
      <c r="N18" s="2988"/>
    </row>
    <row r="19" spans="1:14">
      <c r="A19" s="2988"/>
      <c r="B19" s="2988"/>
      <c r="C19" s="2988"/>
      <c r="D19" s="2988"/>
      <c r="E19" s="2988"/>
      <c r="F19" s="2988"/>
      <c r="G19" s="2988"/>
      <c r="H19" s="2988"/>
      <c r="I19" s="2988"/>
      <c r="J19" s="2988"/>
      <c r="K19" s="2988"/>
      <c r="L19" s="2988"/>
      <c r="M19" s="2988"/>
      <c r="N19" s="2988"/>
    </row>
    <row r="20" spans="1:14">
      <c r="A20" s="2988"/>
      <c r="B20" s="2988"/>
      <c r="C20" s="2988"/>
      <c r="D20" s="2988"/>
      <c r="E20" s="2988"/>
      <c r="F20" s="2988"/>
      <c r="G20" s="2988"/>
      <c r="H20" s="2988"/>
      <c r="I20" s="2988"/>
      <c r="J20" s="2988"/>
      <c r="K20" s="2988"/>
      <c r="L20" s="2988"/>
      <c r="M20" s="2988"/>
      <c r="N20" s="2988"/>
    </row>
    <row r="21" spans="1:14">
      <c r="A21" s="2988"/>
      <c r="B21" s="2988"/>
      <c r="C21" s="2988"/>
      <c r="D21" s="2988"/>
      <c r="E21" s="2988"/>
      <c r="F21" s="2988"/>
      <c r="G21" s="2988"/>
      <c r="H21" s="2988"/>
      <c r="I21" s="2988"/>
      <c r="J21" s="2988"/>
      <c r="K21" s="2988"/>
      <c r="L21" s="2988"/>
      <c r="M21" s="2988"/>
      <c r="N21" s="2988"/>
    </row>
    <row r="22" spans="1:14">
      <c r="A22" s="2988"/>
      <c r="B22" s="2988"/>
      <c r="C22" s="2988"/>
      <c r="D22" s="2988"/>
      <c r="E22" s="2988"/>
      <c r="F22" s="2988"/>
      <c r="G22" s="2988"/>
      <c r="H22" s="2988"/>
      <c r="I22" s="2988"/>
      <c r="J22" s="2988"/>
      <c r="K22" s="2988"/>
      <c r="L22" s="2988"/>
      <c r="M22" s="2988"/>
      <c r="N22" s="2988"/>
    </row>
    <row r="23" spans="1:14">
      <c r="A23" s="2988"/>
      <c r="B23" s="2988"/>
      <c r="C23" s="2988"/>
      <c r="D23" s="2988"/>
      <c r="E23" s="2988"/>
      <c r="F23" s="2988"/>
      <c r="G23" s="2988"/>
      <c r="H23" s="2988"/>
      <c r="I23" s="2988"/>
      <c r="J23" s="2988"/>
      <c r="K23" s="2988"/>
      <c r="L23" s="2988"/>
      <c r="M23" s="2988"/>
      <c r="N23" s="2988"/>
    </row>
    <row r="24" spans="1:14">
      <c r="A24" s="2988"/>
      <c r="B24" s="2988"/>
      <c r="C24" s="2988"/>
      <c r="D24" s="2988"/>
      <c r="E24" s="2988"/>
      <c r="F24" s="2988"/>
      <c r="G24" s="2988"/>
      <c r="H24" s="2988"/>
      <c r="I24" s="2988"/>
      <c r="J24" s="2988"/>
      <c r="K24" s="2988"/>
      <c r="L24" s="2988"/>
      <c r="M24" s="2988"/>
      <c r="N24" s="2988"/>
    </row>
    <row r="25" spans="1:14">
      <c r="A25" s="2988"/>
      <c r="B25" s="2988"/>
      <c r="C25" s="2988"/>
      <c r="D25" s="2988"/>
      <c r="E25" s="2988"/>
      <c r="F25" s="2988"/>
      <c r="G25" s="2988"/>
      <c r="H25" s="2988"/>
      <c r="I25" s="2988"/>
      <c r="J25" s="2988"/>
      <c r="K25" s="2988"/>
      <c r="L25" s="2988"/>
      <c r="M25" s="2988"/>
      <c r="N25" s="2988"/>
    </row>
    <row r="26" spans="1:14">
      <c r="A26" s="2988"/>
      <c r="B26" s="2988"/>
      <c r="C26" s="2988"/>
      <c r="D26" s="2988"/>
      <c r="E26" s="2988"/>
      <c r="F26" s="2988"/>
      <c r="G26" s="2988"/>
      <c r="H26" s="2988"/>
      <c r="I26" s="2988"/>
      <c r="J26" s="2988"/>
      <c r="K26" s="2988"/>
      <c r="L26" s="2988"/>
      <c r="M26" s="2988"/>
      <c r="N26" s="2988"/>
    </row>
    <row r="27" spans="1:14">
      <c r="A27" s="2988"/>
      <c r="B27" s="2988"/>
      <c r="C27" s="2988"/>
      <c r="D27" s="2988"/>
      <c r="E27" s="2988"/>
      <c r="F27" s="2988"/>
      <c r="G27" s="2988"/>
      <c r="H27" s="2988"/>
      <c r="I27" s="2988"/>
      <c r="J27" s="2988"/>
      <c r="K27" s="2988"/>
      <c r="L27" s="2988"/>
      <c r="M27" s="2988"/>
      <c r="N27" s="2988"/>
    </row>
    <row r="28" spans="1:14">
      <c r="A28" s="2988"/>
      <c r="B28" s="2988"/>
      <c r="C28" s="2988"/>
      <c r="D28" s="2988"/>
      <c r="E28" s="2988"/>
      <c r="F28" s="2988"/>
      <c r="G28" s="2988"/>
      <c r="H28" s="2988"/>
      <c r="I28" s="2988"/>
      <c r="J28" s="2988"/>
      <c r="K28" s="2988"/>
      <c r="L28" s="2988"/>
      <c r="M28" s="2988"/>
      <c r="N28" s="2988"/>
    </row>
    <row r="29" spans="1:14">
      <c r="A29" s="2988"/>
      <c r="B29" s="2988"/>
      <c r="C29" s="2988"/>
      <c r="D29" s="2988"/>
      <c r="E29" s="2988"/>
      <c r="F29" s="2988"/>
      <c r="G29" s="2988"/>
      <c r="H29" s="2988"/>
      <c r="I29" s="2988"/>
      <c r="J29" s="2988"/>
      <c r="K29" s="2988"/>
      <c r="L29" s="2988"/>
      <c r="M29" s="2988"/>
      <c r="N29" s="298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8" t="s">
        <v>576</v>
      </c>
      <c r="B1" s="706"/>
      <c r="C1" s="739"/>
      <c r="D1" s="1773"/>
      <c r="E1" s="2078" t="s">
        <v>1728</v>
      </c>
      <c r="F1" s="2079">
        <f ca="1">J54</f>
        <v>-2</v>
      </c>
      <c r="G1" s="740">
        <f>MATCH(C1,'数据-取费表'!A6:A16,0)+5</f>
        <v>8</v>
      </c>
      <c r="H1" s="1209"/>
      <c r="I1" s="1774"/>
      <c r="J1" s="1774"/>
      <c r="K1" s="1775"/>
      <c r="L1" s="1774"/>
      <c r="M1" s="1774"/>
      <c r="N1" s="1776"/>
      <c r="O1" s="1776"/>
      <c r="P1" s="1776"/>
      <c r="Q1" s="1776"/>
      <c r="R1" s="1776"/>
      <c r="S1" s="1776"/>
      <c r="T1" s="1776"/>
      <c r="U1" s="1776"/>
      <c r="V1" s="1776"/>
      <c r="W1" s="1776"/>
      <c r="X1" s="1776"/>
      <c r="Y1" s="1776"/>
    </row>
    <row r="2" spans="1:25" ht="18" customHeight="1">
      <c r="A2" s="1448" t="s">
        <v>577</v>
      </c>
      <c r="B2" s="741">
        <f ca="1">IF(ISERROR(C45+J31),0,C45+J31)</f>
        <v>0</v>
      </c>
      <c r="C2" s="1210"/>
      <c r="D2" s="1778"/>
      <c r="E2" s="1779"/>
      <c r="F2" s="1779"/>
      <c r="G2" s="1402"/>
      <c r="H2" s="1222"/>
      <c r="I2" s="1780"/>
      <c r="J2" s="1780"/>
      <c r="K2" s="1781"/>
      <c r="L2" s="1780"/>
      <c r="M2" s="1780"/>
    </row>
    <row r="3" spans="1:25" ht="18" customHeight="1">
      <c r="A3" s="1449" t="s">
        <v>1219</v>
      </c>
      <c r="B3" s="1245">
        <f ca="1">ROUND(B2*10000/'数据-汇总表'!E3,0)</f>
        <v>0</v>
      </c>
      <c r="C3" s="1210"/>
      <c r="D3" s="1778"/>
      <c r="E3" s="1779"/>
      <c r="F3" s="1779"/>
      <c r="G3" s="1402"/>
      <c r="H3" s="742" t="s">
        <v>642</v>
      </c>
      <c r="I3" s="1780"/>
      <c r="J3" s="1780"/>
      <c r="K3" s="1781"/>
      <c r="L3" s="1780"/>
      <c r="M3" s="1780"/>
    </row>
    <row r="4" spans="1:25" ht="18" customHeight="1">
      <c r="A4" s="1450" t="s">
        <v>643</v>
      </c>
      <c r="B4" s="1211">
        <f ca="1">ROUND(B2*10000/'数据-汇总表'!D3,0)</f>
        <v>0</v>
      </c>
      <c r="C4" s="415"/>
      <c r="D4" s="1778"/>
      <c r="E4" s="1779"/>
      <c r="F4" s="1779"/>
      <c r="G4" s="1402"/>
      <c r="H4" s="742"/>
      <c r="I4" s="1780"/>
      <c r="J4" s="1780"/>
      <c r="K4" s="1781"/>
      <c r="L4" s="1780"/>
      <c r="M4" s="1780"/>
    </row>
    <row r="5" spans="1:25" ht="18" customHeight="1" thickBot="1">
      <c r="A5" s="1451"/>
      <c r="B5" s="417">
        <f ca="1">ROUND(B2/('数据-汇总表'!D3/666.67),0)</f>
        <v>0</v>
      </c>
      <c r="C5" s="418" t="s">
        <v>644</v>
      </c>
      <c r="D5" s="1778"/>
      <c r="E5" s="1779"/>
      <c r="F5" s="1779"/>
      <c r="G5" s="1402"/>
      <c r="H5" s="742"/>
      <c r="I5" s="1780"/>
      <c r="J5" s="1780"/>
      <c r="K5" s="1781"/>
      <c r="L5" s="1780"/>
      <c r="M5" s="1780"/>
    </row>
    <row r="6" spans="1:25" ht="18" customHeight="1">
      <c r="A6" s="1614" t="s">
        <v>645</v>
      </c>
      <c r="B6" s="1606" t="s">
        <v>646</v>
      </c>
      <c r="C6" s="1606" t="s">
        <v>580</v>
      </c>
      <c r="D6" s="1606" t="s">
        <v>581</v>
      </c>
      <c r="E6" s="745" t="s">
        <v>582</v>
      </c>
      <c r="F6" s="746"/>
      <c r="G6" s="1404"/>
      <c r="H6" s="1614" t="s">
        <v>578</v>
      </c>
      <c r="I6" s="1606" t="s">
        <v>579</v>
      </c>
      <c r="J6" s="1606" t="s">
        <v>580</v>
      </c>
      <c r="K6" s="1606" t="s">
        <v>581</v>
      </c>
      <c r="L6" s="745" t="s">
        <v>582</v>
      </c>
      <c r="M6" s="746"/>
    </row>
    <row r="7" spans="1:25" ht="18" customHeight="1">
      <c r="A7" s="747">
        <v>1</v>
      </c>
      <c r="B7" s="748" t="s">
        <v>1802</v>
      </c>
      <c r="C7" s="51">
        <f ca="1">C8+C12+C14</f>
        <v>0</v>
      </c>
      <c r="D7" s="2142" t="s">
        <v>1805</v>
      </c>
      <c r="E7" s="2136"/>
      <c r="F7" s="2137"/>
      <c r="G7" s="1404"/>
      <c r="H7" s="747">
        <v>1</v>
      </c>
      <c r="I7" s="748" t="s">
        <v>1802</v>
      </c>
      <c r="J7" s="51">
        <f ca="1">J8+J12+J14</f>
        <v>0</v>
      </c>
      <c r="K7" s="2142" t="s">
        <v>1805</v>
      </c>
      <c r="L7" s="2136"/>
      <c r="M7" s="2137"/>
    </row>
    <row r="8" spans="1:25" ht="18" customHeight="1">
      <c r="A8" s="1616" t="s">
        <v>1353</v>
      </c>
      <c r="B8" s="3946" t="s">
        <v>1807</v>
      </c>
      <c r="C8" s="1611">
        <f ca="1">ROUND(F8*F10*F9*(1-F11)/10000,0)</f>
        <v>0</v>
      </c>
      <c r="D8" s="1608" t="s">
        <v>1817</v>
      </c>
      <c r="E8" s="59" t="s">
        <v>585</v>
      </c>
      <c r="F8" s="751">
        <f ca="1">INDIRECT("'数据-取费表'!u"&amp;$G$1)</f>
        <v>0</v>
      </c>
      <c r="G8" s="1404"/>
      <c r="H8" s="2150" t="s">
        <v>1353</v>
      </c>
      <c r="I8" s="3946" t="s">
        <v>1807</v>
      </c>
      <c r="J8" s="749">
        <f ca="1">ROUND(M8*M10*M9*(1-M11)/10000,0)</f>
        <v>0</v>
      </c>
      <c r="K8" s="332" t="s">
        <v>1817</v>
      </c>
      <c r="L8" s="750" t="s">
        <v>1267</v>
      </c>
      <c r="M8" s="751">
        <f ca="1">INDIRECT("'数据-取费表'!z"&amp;$G$1)</f>
        <v>0</v>
      </c>
    </row>
    <row r="9" spans="1:25" ht="18" customHeight="1">
      <c r="A9" s="2146"/>
      <c r="B9" s="3947"/>
      <c r="C9" s="1612"/>
      <c r="D9" s="1609"/>
      <c r="E9" s="59" t="s">
        <v>586</v>
      </c>
      <c r="F9" s="751">
        <f ca="1">IF(INDIRECT("'数据-取费表'!ah"&amp;$G$1)="",INDIRECT("'数据-取费表'!k"&amp;$G$1),INDIRECT("'数据-取费表'!ah"&amp;$G$1))</f>
        <v>0</v>
      </c>
      <c r="G9" s="1404"/>
      <c r="H9" s="2135"/>
      <c r="I9" s="3947"/>
      <c r="J9" s="754"/>
      <c r="K9" s="755"/>
      <c r="L9" s="750" t="s">
        <v>1268</v>
      </c>
      <c r="M9" s="751">
        <f ca="1">F9</f>
        <v>0</v>
      </c>
    </row>
    <row r="10" spans="1:25" ht="18" customHeight="1">
      <c r="A10" s="2139"/>
      <c r="B10" s="3948"/>
      <c r="C10" s="1612"/>
      <c r="D10" s="1609"/>
      <c r="E10" s="59" t="s">
        <v>587</v>
      </c>
      <c r="F10" s="751">
        <f ca="1">INDIRECT("'数据-取费表'!ai"&amp;$G$1)</f>
        <v>0</v>
      </c>
      <c r="G10" s="1404"/>
      <c r="H10" s="2135"/>
      <c r="I10" s="3948"/>
      <c r="J10" s="754"/>
      <c r="K10" s="755"/>
      <c r="L10" s="750" t="s">
        <v>1269</v>
      </c>
      <c r="M10" s="751">
        <f ca="1">INDIRECT("'数据-取费表'!ai"&amp;$G$1)</f>
        <v>0</v>
      </c>
    </row>
    <row r="11" spans="1:25" ht="18" customHeight="1">
      <c r="A11" s="752"/>
      <c r="B11" s="3949"/>
      <c r="C11" s="1612"/>
      <c r="D11" s="1609"/>
      <c r="E11" s="59" t="s">
        <v>588</v>
      </c>
      <c r="F11" s="760">
        <f ca="1">INDIRECT("'数据-取费表'!w"&amp;$G$1)</f>
        <v>0</v>
      </c>
      <c r="G11" s="1404"/>
      <c r="H11" s="2151"/>
      <c r="I11" s="3948"/>
      <c r="J11" s="754"/>
      <c r="K11" s="755"/>
      <c r="L11" s="761" t="s">
        <v>1270</v>
      </c>
      <c r="M11" s="762">
        <f ca="1">INDIRECT("'数据-取费表'!ab"&amp;$G$1)</f>
        <v>0</v>
      </c>
    </row>
    <row r="12" spans="1:25" ht="18" customHeight="1">
      <c r="A12" s="1616" t="s">
        <v>1354</v>
      </c>
      <c r="B12" s="2140" t="s">
        <v>1803</v>
      </c>
      <c r="C12" s="765">
        <f ca="1">ROUND(IF(F12="押一",C8/12*F13,IF(F12="押二",C8/12*2*F13,IF(F12="押三",C8/12*3*F13,C13*F13))),0)</f>
        <v>0</v>
      </c>
      <c r="D12" s="2147" t="s">
        <v>2223</v>
      </c>
      <c r="E12" s="2144" t="s">
        <v>1808</v>
      </c>
      <c r="F12" s="2228"/>
      <c r="G12" s="1404"/>
      <c r="H12" s="2178" t="s">
        <v>1354</v>
      </c>
      <c r="I12" s="2183" t="s">
        <v>1803</v>
      </c>
      <c r="J12" s="749">
        <f ca="1">ROUND(IF(M12="押一",J8/12*M13,IF(M12="押二",J8/12*2*M13,IF(M12="押三",J8/12*3*M13,J13*M13))),0)</f>
        <v>0</v>
      </c>
      <c r="K12" s="2147" t="s">
        <v>2223</v>
      </c>
      <c r="L12" s="2144" t="s">
        <v>1808</v>
      </c>
      <c r="M12" s="2228"/>
    </row>
    <row r="13" spans="1:25" ht="18" customHeight="1">
      <c r="A13" s="756"/>
      <c r="B13" s="2141" t="s">
        <v>1856</v>
      </c>
      <c r="C13" s="2145"/>
      <c r="D13" s="755"/>
      <c r="E13" s="2144" t="s">
        <v>1801</v>
      </c>
      <c r="F13" s="762">
        <f ca="1">'数据-取费表'!B39</f>
        <v>1.4999999999999999E-2</v>
      </c>
      <c r="G13" s="1404"/>
      <c r="H13" s="2179"/>
      <c r="I13" s="2141" t="s">
        <v>1856</v>
      </c>
      <c r="J13" s="2145"/>
      <c r="K13" s="2180"/>
      <c r="L13" s="2144" t="s">
        <v>1801</v>
      </c>
      <c r="M13" s="2138">
        <f ca="1">'数据-取费表'!B39</f>
        <v>1.4999999999999999E-2</v>
      </c>
    </row>
    <row r="14" spans="1:25" ht="18" customHeight="1" thickBot="1">
      <c r="A14" s="2154" t="s">
        <v>1811</v>
      </c>
      <c r="B14" s="2155" t="s">
        <v>1804</v>
      </c>
      <c r="C14" s="2156"/>
      <c r="D14" s="2157"/>
      <c r="E14" s="2158"/>
      <c r="F14" s="2159"/>
      <c r="G14" s="1404"/>
      <c r="H14" s="2168" t="s">
        <v>1811</v>
      </c>
      <c r="I14" s="2181" t="s">
        <v>1804</v>
      </c>
      <c r="J14" s="2182"/>
      <c r="K14" s="2157"/>
      <c r="L14" s="2158"/>
      <c r="M14" s="2171"/>
    </row>
    <row r="15" spans="1:25" ht="18" customHeight="1" thickTop="1">
      <c r="A15" s="1615" t="s">
        <v>1399</v>
      </c>
      <c r="B15" s="1613" t="s">
        <v>589</v>
      </c>
      <c r="C15" s="758">
        <f ca="1">ROUND(C31*F15,0)</f>
        <v>0</v>
      </c>
      <c r="D15" s="1620" t="s">
        <v>590</v>
      </c>
      <c r="E15" s="761" t="s">
        <v>591</v>
      </c>
      <c r="F15" s="766">
        <f ca="1">INDIRECT("'数据-取费表'!y"&amp;$G$1)</f>
        <v>0</v>
      </c>
      <c r="G15" s="1404"/>
      <c r="H15" s="1615" t="s">
        <v>1355</v>
      </c>
      <c r="I15" s="1613" t="s">
        <v>592</v>
      </c>
      <c r="J15" s="1605">
        <f ca="1">ROUND(J16*J17,0)</f>
        <v>0</v>
      </c>
      <c r="K15" s="1607" t="s">
        <v>590</v>
      </c>
      <c r="L15" s="767"/>
      <c r="M15" s="768"/>
    </row>
    <row r="16" spans="1:25" ht="18" customHeight="1">
      <c r="A16" s="769" t="s">
        <v>1400</v>
      </c>
      <c r="B16" s="750" t="s">
        <v>593</v>
      </c>
      <c r="C16" s="770">
        <f ca="1">INDIRECT("'数据-取费表'!m"&amp;$G$1)+INDIRECT("'数据-取费表'!t"&amp;$G$1)</f>
        <v>0</v>
      </c>
      <c r="D16" s="1733" t="s">
        <v>594</v>
      </c>
      <c r="E16" s="1734"/>
      <c r="F16" s="771"/>
      <c r="G16" s="1404"/>
      <c r="H16" s="769" t="s">
        <v>1587</v>
      </c>
      <c r="I16" s="1949" t="s">
        <v>2102</v>
      </c>
      <c r="J16" s="51">
        <f ca="1">C31</f>
        <v>0</v>
      </c>
      <c r="K16" s="24"/>
      <c r="L16" s="767"/>
      <c r="M16" s="768"/>
    </row>
    <row r="17" spans="1:25" s="1787" customFormat="1" ht="18" customHeight="1">
      <c r="A17" s="769" t="s">
        <v>1378</v>
      </c>
      <c r="B17" s="750" t="s">
        <v>595</v>
      </c>
      <c r="C17" s="51">
        <f ca="1">ROUND(C16*F17,0)</f>
        <v>0</v>
      </c>
      <c r="D17" s="772" t="s">
        <v>596</v>
      </c>
      <c r="E17" s="772" t="s">
        <v>597</v>
      </c>
      <c r="F17" s="773">
        <f>'数据-取费表'!B33</f>
        <v>0.05</v>
      </c>
      <c r="G17" s="1405"/>
      <c r="H17" s="769" t="s">
        <v>1588</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4"/>
      <c r="H18" s="763" t="s">
        <v>1356</v>
      </c>
      <c r="I18" s="764" t="s">
        <v>599</v>
      </c>
      <c r="J18" s="765">
        <f ca="1">ROUND(J19+J24+J25+J26,0)</f>
        <v>0</v>
      </c>
      <c r="K18" s="24" t="s">
        <v>600</v>
      </c>
      <c r="L18" s="1736"/>
      <c r="M18" s="54"/>
    </row>
    <row r="19" spans="1:25" s="1787" customFormat="1" ht="18" customHeight="1">
      <c r="A19" s="769" t="s">
        <v>1380</v>
      </c>
      <c r="B19" s="750" t="s">
        <v>601</v>
      </c>
      <c r="C19" s="51">
        <f ca="1">ROUND(F19*(INDIRECT("'数据-取费表'!k"&amp;$G$1)+INDIRECT("'数据-取费表'!S"&amp;$G$1))/10000,0)</f>
        <v>0</v>
      </c>
      <c r="D19" s="750" t="s">
        <v>602</v>
      </c>
      <c r="E19" s="750" t="s">
        <v>603</v>
      </c>
      <c r="F19" s="54">
        <f>'数据-取费表'!B35</f>
        <v>200</v>
      </c>
      <c r="G19" s="1405"/>
      <c r="H19" s="769" t="s">
        <v>1587</v>
      </c>
      <c r="I19" s="750" t="s">
        <v>604</v>
      </c>
      <c r="J19" s="2761">
        <f ca="1">ROUND(IF(AND(项目基本情况!B11="自然人",项目基本情况!B10="北京市"),J8*M19/(1+'数据-取费表'!C42),J20+J21+J22),0)</f>
        <v>0</v>
      </c>
      <c r="K19" s="1733" t="s">
        <v>605</v>
      </c>
      <c r="L19" s="1731" t="s">
        <v>606</v>
      </c>
      <c r="M19" s="276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1381</v>
      </c>
      <c r="B20" s="750" t="s">
        <v>607</v>
      </c>
      <c r="C20" s="51">
        <f ca="1">ROUND(C16*F20,0)</f>
        <v>0</v>
      </c>
      <c r="D20" s="750" t="s">
        <v>596</v>
      </c>
      <c r="E20" s="750" t="s">
        <v>597</v>
      </c>
      <c r="F20" s="775">
        <f>'数据-取费表'!B36</f>
        <v>1.4999999999999999E-2</v>
      </c>
      <c r="G20" s="1405"/>
      <c r="H20" s="769" t="s">
        <v>1360</v>
      </c>
      <c r="I20" s="750" t="s">
        <v>608</v>
      </c>
      <c r="J20" s="51">
        <f ca="1">ROUND(J8*M20/(1+'数据-取费表'!C42),1)</f>
        <v>0</v>
      </c>
      <c r="K20" s="1731" t="s">
        <v>609</v>
      </c>
      <c r="L20" s="750" t="s">
        <v>597</v>
      </c>
      <c r="M20" s="775">
        <f>'数据-取费表'!B41</f>
        <v>5.6000000000000001E-2</v>
      </c>
      <c r="N20" s="1786"/>
      <c r="O20" s="1786"/>
      <c r="P20" s="1786"/>
      <c r="Q20" s="1786"/>
      <c r="R20" s="1786"/>
      <c r="S20" s="1786"/>
      <c r="T20" s="1786"/>
      <c r="U20" s="1786"/>
      <c r="V20" s="1786"/>
      <c r="W20" s="1786"/>
      <c r="X20" s="1786"/>
      <c r="Y20" s="1786"/>
    </row>
    <row r="21" spans="1:25" ht="18" customHeight="1">
      <c r="A21" s="769" t="s">
        <v>1401</v>
      </c>
      <c r="B21" s="750" t="s">
        <v>610</v>
      </c>
      <c r="C21" s="51">
        <f ca="1">SUM(C16:C20)</f>
        <v>0</v>
      </c>
      <c r="D21" s="252" t="s">
        <v>611</v>
      </c>
      <c r="E21" s="1736"/>
      <c r="F21" s="54"/>
      <c r="G21" s="1404"/>
      <c r="H21" s="1616" t="s">
        <v>1378</v>
      </c>
      <c r="I21" s="750" t="s">
        <v>612</v>
      </c>
      <c r="J21" s="51">
        <f ca="1">IF(K21="按租金收入计税",ROUND(J8*M21/(1+'数据-取费表'!C42),1),ROUND(C31*F35*0.7,1))</f>
        <v>0</v>
      </c>
      <c r="K21" s="776" t="s">
        <v>3241</v>
      </c>
      <c r="L21" s="750" t="s">
        <v>597</v>
      </c>
      <c r="M21" s="775">
        <f>IF(K21="按租金收入计税",'数据-取费表'!B51,'数据-取费表'!B50)</f>
        <v>0.12</v>
      </c>
    </row>
    <row r="22" spans="1:25" s="1787" customFormat="1" ht="18" customHeight="1">
      <c r="A22" s="769" t="s">
        <v>1402</v>
      </c>
      <c r="B22" s="750" t="s">
        <v>613</v>
      </c>
      <c r="C22" s="51">
        <f ca="1">ROUND(C21*F22,0)</f>
        <v>0</v>
      </c>
      <c r="D22" s="777" t="s">
        <v>614</v>
      </c>
      <c r="E22" s="750" t="s">
        <v>597</v>
      </c>
      <c r="F22" s="775">
        <f>'数据-取费表'!B37</f>
        <v>0.02</v>
      </c>
      <c r="G22" s="1405"/>
      <c r="H22" s="1618" t="s">
        <v>1379</v>
      </c>
      <c r="I22" s="1608" t="s">
        <v>615</v>
      </c>
      <c r="J22" s="52">
        <f ca="1">ROUND(M22*M23/10000,0)</f>
        <v>0</v>
      </c>
      <c r="K22" s="779" t="s">
        <v>616</v>
      </c>
      <c r="L22" s="750" t="s">
        <v>617</v>
      </c>
      <c r="M22" s="608">
        <f>'数据-取费表'!B52</f>
        <v>1.5</v>
      </c>
      <c r="N22" s="1786"/>
      <c r="O22" s="1786"/>
      <c r="P22" s="1786"/>
      <c r="Q22" s="1786"/>
      <c r="R22" s="1786"/>
      <c r="S22" s="1786"/>
      <c r="T22" s="1786"/>
      <c r="U22" s="1786"/>
      <c r="V22" s="1786"/>
      <c r="W22" s="1786"/>
      <c r="X22" s="1786"/>
      <c r="Y22" s="1786"/>
    </row>
    <row r="23" spans="1:25" s="1787" customFormat="1" ht="18" customHeight="1">
      <c r="A23" s="769" t="s">
        <v>1403</v>
      </c>
      <c r="B23" s="750" t="s">
        <v>618</v>
      </c>
      <c r="C23" s="51" t="s">
        <v>0</v>
      </c>
      <c r="D23" s="777" t="s">
        <v>619</v>
      </c>
      <c r="E23" s="750" t="s">
        <v>620</v>
      </c>
      <c r="F23" s="775">
        <f>'数据-取费表'!B38</f>
        <v>0.02</v>
      </c>
      <c r="G23" s="1405"/>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1404</v>
      </c>
      <c r="B24" s="750" t="s">
        <v>622</v>
      </c>
      <c r="C24" s="51"/>
      <c r="D24" s="2187" t="str">
        <f>IF(F25&lt;=1,"单利计息。","复利计息。")&amp;"建造成本、管理费用、销售费用产生的利息。"</f>
        <v>复利计息。建造成本、管理费用、销售费用产生的利息。</v>
      </c>
      <c r="E24" s="1736"/>
      <c r="F24" s="54"/>
      <c r="G24" s="1404"/>
      <c r="H24" s="1617" t="s">
        <v>1588</v>
      </c>
      <c r="I24" s="750" t="s">
        <v>623</v>
      </c>
      <c r="J24" s="51">
        <f ca="1">ROUND(J16*M24,0)</f>
        <v>0</v>
      </c>
      <c r="K24" s="1731" t="s">
        <v>624</v>
      </c>
      <c r="L24" s="750" t="s">
        <v>597</v>
      </c>
      <c r="M24" s="782">
        <f ca="1">INDIRECT("'数据-取费表'!Ak"&amp;$G$1)</f>
        <v>0</v>
      </c>
    </row>
    <row r="25" spans="1:25" s="1787" customFormat="1" ht="18" customHeight="1">
      <c r="A25" s="769" t="s">
        <v>1400</v>
      </c>
      <c r="B25" s="750" t="s">
        <v>1784</v>
      </c>
      <c r="C25" s="51">
        <f ca="1">ROUND(IF('数据-取费表'!B22&lt;=1,(C21+C22)*F26*F25/2,(C21+C22)*(POWER((1+F26),F25/2)-1)),0)</f>
        <v>0</v>
      </c>
      <c r="D25" s="2186" t="str">
        <f>IF(F25&lt;=1,"(建造成本+管理费用)×利率×(建设周期÷2)","(建造成本+管理费用)×((1+利率)^(建设周期÷2)-1)")</f>
        <v>(建造成本+管理费用)×((1+利率)^(建设周期÷2)-1)</v>
      </c>
      <c r="E25" s="750" t="s">
        <v>625</v>
      </c>
      <c r="F25" s="608">
        <f>'数据-取费表'!B20</f>
        <v>2</v>
      </c>
      <c r="G25" s="1405"/>
      <c r="H25" s="769" t="s">
        <v>1403</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1378</v>
      </c>
      <c r="B26" s="750" t="s">
        <v>628</v>
      </c>
      <c r="C26" s="51">
        <f ca="1">ROUND(IF('数据-取费表'!B22&lt;=1,F23*F26*F25/2,F23*(POWER((1+F26),F25/2)-1)),4)</f>
        <v>6.9999999999999999E-4</v>
      </c>
      <c r="D26" s="2186" t="str">
        <f>IF(F25&lt;=1,"销售费用×利率×(建设周期÷2)","销售费用×((1+利率)^(建设周期÷2)-1)")</f>
        <v>销售费用×((1+利率)^(建设周期÷2)-1)</v>
      </c>
      <c r="E26" s="750" t="s">
        <v>629</v>
      </c>
      <c r="F26" s="784">
        <f ca="1">'数据-取费表'!B40</f>
        <v>3.4500000000000003E-2</v>
      </c>
      <c r="G26" s="1405"/>
      <c r="H26" s="769" t="s">
        <v>1404</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1406</v>
      </c>
      <c r="B27" s="750" t="s">
        <v>631</v>
      </c>
      <c r="C27" s="51"/>
      <c r="D27" s="252" t="s">
        <v>632</v>
      </c>
      <c r="E27" s="1736"/>
      <c r="F27" s="54"/>
      <c r="G27" s="1404"/>
      <c r="H27" s="763" t="s">
        <v>1357</v>
      </c>
      <c r="I27" s="2484" t="s">
        <v>2099</v>
      </c>
      <c r="J27" s="765">
        <f ca="1">J7-J18</f>
        <v>0</v>
      </c>
      <c r="K27" s="1733" t="s">
        <v>647</v>
      </c>
      <c r="L27" s="1735"/>
      <c r="M27" s="785"/>
    </row>
    <row r="28" spans="1:25" ht="18" customHeight="1">
      <c r="A28" s="769" t="s">
        <v>1400</v>
      </c>
      <c r="B28" s="750" t="s">
        <v>1785</v>
      </c>
      <c r="C28" s="51">
        <f ca="1">ROUND((C21+C22)*F28,0)</f>
        <v>0</v>
      </c>
      <c r="D28" s="777" t="s">
        <v>648</v>
      </c>
      <c r="E28" s="761" t="s">
        <v>649</v>
      </c>
      <c r="F28" s="760">
        <f ca="1">INDIRECT("'数据-取费表'!q"&amp;$G$1)</f>
        <v>0</v>
      </c>
      <c r="G28" s="1404"/>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4"/>
      <c r="H29" s="752"/>
      <c r="I29" s="753"/>
      <c r="J29" s="754"/>
      <c r="K29" s="786" t="s">
        <v>654</v>
      </c>
      <c r="L29" s="750" t="s">
        <v>655</v>
      </c>
      <c r="M29" s="787">
        <f ca="1">INDIRECT("'数据-取费表'!ag"&amp;$G$1)</f>
        <v>0</v>
      </c>
    </row>
    <row r="30" spans="1:25" s="1787" customFormat="1" ht="18" customHeight="1">
      <c r="A30" s="769" t="s">
        <v>1407</v>
      </c>
      <c r="B30" s="750" t="s">
        <v>634</v>
      </c>
      <c r="C30" s="51">
        <f>ROUND(F30/(1+'数据-取费表'!C42),4)</f>
        <v>5.33E-2</v>
      </c>
      <c r="D30" s="777" t="s">
        <v>656</v>
      </c>
      <c r="E30" s="750" t="s">
        <v>597</v>
      </c>
      <c r="F30" s="775">
        <f>'数据-取费表'!B41</f>
        <v>5.6000000000000001E-2</v>
      </c>
      <c r="G30" s="1405"/>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2100</v>
      </c>
      <c r="C31" s="2161">
        <f ca="1">ROUND((C21+C22+C25+C28)/(1-F23-C26-C29-C30),0)</f>
        <v>0</v>
      </c>
      <c r="D31" s="2162"/>
      <c r="E31" s="2163"/>
      <c r="F31" s="2164"/>
      <c r="G31" s="1405"/>
      <c r="H31" s="788" t="s">
        <v>1397</v>
      </c>
      <c r="I31" s="2485" t="s">
        <v>2101</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1401</v>
      </c>
      <c r="B33" s="750" t="s">
        <v>604</v>
      </c>
      <c r="C33" s="2761">
        <f ca="1">ROUND(IF(AND(项目基本情况!B11="自然人",项目基本情况!B10="北京市"),C8*F33/(1+'数据-取费表'!C42),C34+C35+C36),2)</f>
        <v>0</v>
      </c>
      <c r="D33" s="1733" t="s">
        <v>605</v>
      </c>
      <c r="E33" s="1731" t="s">
        <v>637</v>
      </c>
      <c r="F33" s="2760" t="str">
        <f>IF(项目基本情况!B11="企业","——",IF(M48="住宅",IF(F8*F9*F10/12/(1+'数据-取费表'!F30)&gt;100000,4%,2.5%),IF(F8*F9*F10/12/(1+'数据-取费表'!F30)&gt;100000,12%,7%)))</f>
        <v>——</v>
      </c>
      <c r="G33" s="1785"/>
      <c r="H33" s="2999" t="s">
        <v>2274</v>
      </c>
      <c r="I33" s="1789"/>
      <c r="J33" s="1790"/>
      <c r="K33" s="1791"/>
      <c r="L33" s="1792"/>
      <c r="M33" s="1793"/>
    </row>
    <row r="34" spans="1:18" ht="18" customHeight="1">
      <c r="A34" s="769" t="s">
        <v>1400</v>
      </c>
      <c r="B34" s="750" t="s">
        <v>608</v>
      </c>
      <c r="C34" s="51">
        <f ca="1">ROUND(C8*F34/(1+'数据-取费表'!C42),2)</f>
        <v>0</v>
      </c>
      <c r="D34" s="1731" t="s">
        <v>609</v>
      </c>
      <c r="E34" s="750" t="s">
        <v>597</v>
      </c>
      <c r="F34" s="775">
        <f>'数据-取费表'!B41</f>
        <v>5.6000000000000001E-2</v>
      </c>
      <c r="G34" s="1785"/>
      <c r="H34" s="1794"/>
      <c r="I34" s="1795"/>
      <c r="J34" s="1796"/>
      <c r="K34" s="1797"/>
      <c r="L34" s="1798"/>
      <c r="M34" s="1799"/>
    </row>
    <row r="35" spans="1:18" ht="18" customHeight="1">
      <c r="A35" s="769" t="s">
        <v>1378</v>
      </c>
      <c r="B35" s="750" t="s">
        <v>612</v>
      </c>
      <c r="C35" s="51">
        <f ca="1">IF(D35="按租金收入计税",ROUND(C8*F35/(1+'数据-取费表'!C42),2),IF(D35="按房产原值计税",ROUND(C31*F35*0.7,2),INDIRECT("'数据-取费表'!Aj"&amp;$G$1)))</f>
        <v>0</v>
      </c>
      <c r="D35" s="776" t="s">
        <v>3241</v>
      </c>
      <c r="E35" s="750" t="s">
        <v>597</v>
      </c>
      <c r="F35" s="775">
        <f>IF(D35="按租金收入计税",'数据-取费表'!B51,'数据-取费表'!B50)</f>
        <v>0.12</v>
      </c>
      <c r="G35" s="1785"/>
      <c r="H35" s="1800"/>
      <c r="I35" s="1800"/>
      <c r="J35" s="1800"/>
      <c r="K35" s="1801"/>
      <c r="L35" s="1800"/>
      <c r="M35" s="1800"/>
    </row>
    <row r="36" spans="1:18" ht="18" customHeight="1">
      <c r="A36" s="778" t="s">
        <v>1405</v>
      </c>
      <c r="B36" s="332" t="s">
        <v>615</v>
      </c>
      <c r="C36" s="52">
        <f ca="1">ROUND(F36*F37/10000,2)</f>
        <v>0</v>
      </c>
      <c r="D36" s="779" t="s">
        <v>616</v>
      </c>
      <c r="E36" s="750" t="s">
        <v>617</v>
      </c>
      <c r="F36" s="608">
        <f>'数据-取费表'!B52</f>
        <v>1.5</v>
      </c>
      <c r="G36" s="1785"/>
      <c r="H36" s="1788"/>
      <c r="I36" s="3945"/>
      <c r="J36" s="1802"/>
      <c r="K36" s="1803"/>
      <c r="L36" s="1802"/>
      <c r="M36" s="1802"/>
    </row>
    <row r="37" spans="1:18" ht="18" customHeight="1">
      <c r="A37" s="780"/>
      <c r="B37" s="759"/>
      <c r="C37" s="67"/>
      <c r="D37" s="781"/>
      <c r="E37" s="750" t="s">
        <v>621</v>
      </c>
      <c r="F37" s="751">
        <f ca="1">INDIRECT("'数据-取费表'!r"&amp;$G$1)</f>
        <v>0</v>
      </c>
      <c r="G37" s="1785"/>
      <c r="H37" s="1788"/>
      <c r="I37" s="3945"/>
      <c r="J37" s="1800"/>
      <c r="K37" s="1801"/>
      <c r="L37" s="1800"/>
      <c r="M37" s="1800"/>
    </row>
    <row r="38" spans="1:18" ht="18" customHeight="1">
      <c r="A38" s="769" t="s">
        <v>1402</v>
      </c>
      <c r="B38" s="750" t="s">
        <v>623</v>
      </c>
      <c r="C38" s="51">
        <f ca="1">ROUND(C31*F38,2)</f>
        <v>0</v>
      </c>
      <c r="D38" s="1731" t="s">
        <v>638</v>
      </c>
      <c r="E38" s="750" t="s">
        <v>597</v>
      </c>
      <c r="F38" s="782">
        <f ca="1">INDIRECT("'数据-取费表'!Ak"&amp;$G$1)</f>
        <v>0</v>
      </c>
      <c r="G38" s="1785"/>
      <c r="H38" s="1800"/>
      <c r="I38" s="2764"/>
      <c r="J38" s="1740"/>
      <c r="K38" s="1804"/>
      <c r="L38" s="1800"/>
      <c r="M38" s="1800"/>
    </row>
    <row r="39" spans="1:18" ht="18" customHeight="1">
      <c r="A39" s="769" t="s">
        <v>1403</v>
      </c>
      <c r="B39" s="750" t="s">
        <v>626</v>
      </c>
      <c r="C39" s="51">
        <f ca="1">ROUND(C15*F39,2)</f>
        <v>0</v>
      </c>
      <c r="D39" s="1731" t="s">
        <v>627</v>
      </c>
      <c r="E39" s="750" t="s">
        <v>597</v>
      </c>
      <c r="F39" s="783">
        <f ca="1">INDIRECT("'数据-取费表'!Al"&amp;$G$1)</f>
        <v>0</v>
      </c>
      <c r="G39" s="1785"/>
      <c r="H39" s="1800"/>
      <c r="I39" s="2764"/>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4"/>
      <c r="J40" s="1740"/>
      <c r="K40" s="1805"/>
      <c r="L40" s="1800"/>
      <c r="M40" s="1800"/>
    </row>
    <row r="41" spans="1:18" ht="18" customHeight="1" thickTop="1">
      <c r="A41" s="1615">
        <v>4</v>
      </c>
      <c r="B41" s="1613" t="s">
        <v>639</v>
      </c>
      <c r="C41" s="1212"/>
      <c r="D41" s="1213"/>
      <c r="E41" s="1213"/>
      <c r="F41" s="1214"/>
      <c r="G41" s="1785"/>
      <c r="H41" s="1785"/>
      <c r="I41" s="1785"/>
      <c r="J41" s="1785"/>
      <c r="K41" s="1805"/>
      <c r="L41" s="1785"/>
      <c r="M41" s="1785"/>
    </row>
    <row r="42" spans="1:18" ht="18" customHeight="1">
      <c r="A42" s="769" t="s">
        <v>1401</v>
      </c>
      <c r="B42" s="800" t="s">
        <v>640</v>
      </c>
      <c r="C42" s="794">
        <f ca="1">C7-C32</f>
        <v>0</v>
      </c>
      <c r="D42" s="1733" t="s">
        <v>641</v>
      </c>
      <c r="E42" s="1735"/>
      <c r="F42" s="785"/>
      <c r="G42" s="1785"/>
      <c r="H42" s="1785"/>
      <c r="I42" s="1785"/>
      <c r="J42" s="1785"/>
      <c r="K42" s="1805"/>
      <c r="L42" s="1785"/>
      <c r="M42" s="1785"/>
    </row>
    <row r="43" spans="1:18" ht="18" customHeight="1">
      <c r="A43" s="769" t="s">
        <v>1402</v>
      </c>
      <c r="B43" s="800" t="s">
        <v>658</v>
      </c>
      <c r="C43" s="801">
        <f ca="1">ROUND(C15*F43,0)</f>
        <v>0</v>
      </c>
      <c r="D43" s="1215" t="s">
        <v>659</v>
      </c>
      <c r="E43" s="2549" t="s">
        <v>2213</v>
      </c>
      <c r="F43" s="2550">
        <f ca="1">INDIRECT("'数据-取费表'!j"&amp;$G$1)</f>
        <v>0</v>
      </c>
      <c r="G43" s="1785"/>
      <c r="H43" s="1785"/>
      <c r="I43" s="1785"/>
      <c r="J43" s="1785"/>
      <c r="K43" s="1805"/>
      <c r="L43" s="1785"/>
      <c r="M43" s="1785"/>
    </row>
    <row r="44" spans="1:18" ht="18" customHeight="1">
      <c r="A44" s="769" t="s">
        <v>1403</v>
      </c>
      <c r="B44" s="800" t="s">
        <v>660</v>
      </c>
      <c r="C44" s="1216">
        <f ca="1">C42-C43</f>
        <v>0</v>
      </c>
      <c r="D44" s="449" t="s">
        <v>661</v>
      </c>
      <c r="E44" s="450"/>
      <c r="F44" s="451"/>
      <c r="G44" s="1785"/>
      <c r="H44" s="1785"/>
      <c r="I44" s="1785"/>
      <c r="J44" s="1785"/>
      <c r="K44" s="1805"/>
      <c r="L44" s="1785"/>
      <c r="M44" s="1785"/>
    </row>
    <row r="45" spans="1:18" ht="18" customHeight="1">
      <c r="A45" s="769" t="s">
        <v>1404</v>
      </c>
      <c r="B45" s="1215" t="s">
        <v>662</v>
      </c>
      <c r="C45" s="2508">
        <f ca="1">ROUND(-PV(F45,F46,C44,0),0)</f>
        <v>0</v>
      </c>
      <c r="D45" s="1217" t="s">
        <v>663</v>
      </c>
      <c r="E45" s="772" t="s">
        <v>664</v>
      </c>
      <c r="F45" s="795">
        <f ca="1">INDIRECT("'数据-取费表'!h"&amp;$G$1)</f>
        <v>0</v>
      </c>
      <c r="G45" s="1785"/>
      <c r="H45" s="1785"/>
      <c r="I45" s="1785"/>
      <c r="J45" s="1785"/>
      <c r="K45" s="1805"/>
      <c r="L45" s="1785"/>
      <c r="M45" s="1785"/>
    </row>
    <row r="46" spans="1:18" ht="18" customHeight="1" thickBot="1">
      <c r="A46" s="796"/>
      <c r="B46" s="1218"/>
      <c r="C46" s="1219"/>
      <c r="D46" s="1220"/>
      <c r="E46" s="2551" t="s">
        <v>2216</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1697</v>
      </c>
      <c r="J47" s="2070"/>
      <c r="K47" s="2071"/>
      <c r="L47" s="2565" t="e">
        <f ca="1">IF(M48="住宅",0,IF(L49&gt;J52,L61,J61))</f>
        <v>#DIV/0!</v>
      </c>
      <c r="O47" s="2085" t="s">
        <v>1764</v>
      </c>
      <c r="P47" s="1404"/>
      <c r="Q47" s="1412"/>
      <c r="R47" s="1404"/>
    </row>
    <row r="48" spans="1:18" s="1782" customFormat="1" ht="18" customHeight="1" thickBot="1">
      <c r="A48" s="1806"/>
      <c r="C48" s="1809"/>
      <c r="D48" s="1810"/>
      <c r="E48" s="1810"/>
      <c r="F48" s="1811"/>
      <c r="G48" s="1812"/>
      <c r="I48" s="2556" t="s">
        <v>1698</v>
      </c>
      <c r="J48" s="2072"/>
      <c r="K48" s="2562" t="s">
        <v>1703</v>
      </c>
      <c r="L48" s="2566">
        <f ca="1">INDIRECT("'数据-取费表'!d"&amp;$G$1)</f>
        <v>0</v>
      </c>
      <c r="M48" s="2548" t="str">
        <f>IF(ISNUMBER(FIND("住宅",C1)),"住宅","非住宅")</f>
        <v>非住宅</v>
      </c>
      <c r="O48" s="2086" t="s">
        <v>1729</v>
      </c>
      <c r="P48" s="2087" t="s">
        <v>1730</v>
      </c>
      <c r="Q48" s="2088" t="s">
        <v>1731</v>
      </c>
      <c r="R48" s="2087" t="s">
        <v>1732</v>
      </c>
    </row>
    <row r="49" spans="1:18" s="1782" customFormat="1" ht="18" customHeight="1" thickBot="1">
      <c r="A49" s="1806"/>
      <c r="D49" s="1813"/>
      <c r="E49" s="1814"/>
      <c r="F49" s="1811"/>
      <c r="G49" s="1812"/>
      <c r="H49" s="1815"/>
      <c r="I49" s="2553" t="s">
        <v>1699</v>
      </c>
      <c r="J49" s="2073"/>
      <c r="K49" s="2563" t="s">
        <v>1705</v>
      </c>
      <c r="L49" s="1663">
        <f ca="1">INDIRECT("'数据-取费表'!f"&amp;$G$1)</f>
        <v>0</v>
      </c>
      <c r="O49" s="2089" t="s">
        <v>1733</v>
      </c>
      <c r="P49" s="2090" t="s">
        <v>1759</v>
      </c>
      <c r="Q49" s="2091">
        <f ca="1">C41+J31</f>
        <v>0</v>
      </c>
      <c r="R49" s="2090" t="s">
        <v>1734</v>
      </c>
    </row>
    <row r="50" spans="1:18" s="1782" customFormat="1" ht="18" customHeight="1" thickBot="1">
      <c r="A50" s="1806"/>
      <c r="D50" s="1816"/>
      <c r="E50" s="1816"/>
      <c r="F50" s="1810"/>
      <c r="G50" s="1817"/>
      <c r="H50" s="1815"/>
      <c r="I50" s="2553" t="s">
        <v>1700</v>
      </c>
      <c r="J50" s="2074"/>
      <c r="K50" s="2564" t="s">
        <v>1706</v>
      </c>
      <c r="L50" s="2075"/>
      <c r="O50" s="2089" t="s">
        <v>1735</v>
      </c>
      <c r="P50" s="2090" t="s">
        <v>1760</v>
      </c>
      <c r="Q50" s="2091" t="e">
        <f ca="1">J61</f>
        <v>#DIV/0!</v>
      </c>
      <c r="R50" s="2090" t="s">
        <v>1736</v>
      </c>
    </row>
    <row r="51" spans="1:18" s="1782" customFormat="1" ht="18" customHeight="1" thickBot="1">
      <c r="A51" s="1818"/>
      <c r="D51" s="1816"/>
      <c r="E51" s="1816"/>
      <c r="F51" s="1807"/>
      <c r="H51" s="1815"/>
      <c r="I51" s="2553" t="s">
        <v>1701</v>
      </c>
      <c r="J51" s="2560">
        <f>SUMPRODUCT((I64:I66=J48)*(J63:L63=J49)*(J64:L66))</f>
        <v>0</v>
      </c>
      <c r="K51" s="2564" t="s">
        <v>1707</v>
      </c>
      <c r="L51" s="2075"/>
      <c r="O51" s="2092" t="s">
        <v>1737</v>
      </c>
      <c r="P51" s="2090" t="s">
        <v>1761</v>
      </c>
      <c r="Q51" s="2091">
        <f ca="1">C31</f>
        <v>0</v>
      </c>
      <c r="R51" s="2090" t="s">
        <v>1734</v>
      </c>
    </row>
    <row r="52" spans="1:18" s="1782" customFormat="1" ht="18" customHeight="1" thickBot="1">
      <c r="A52" s="1818"/>
      <c r="F52" s="1807"/>
      <c r="I52" s="2557" t="s">
        <v>1702</v>
      </c>
      <c r="J52" s="2561">
        <f>IF(J50="",J51,J50+J51-YEAR('数据-取费表'!B3))</f>
        <v>0</v>
      </c>
      <c r="K52" s="2553" t="s">
        <v>1708</v>
      </c>
      <c r="L52" s="2567">
        <f ca="1">C45</f>
        <v>0</v>
      </c>
      <c r="O52" s="2092" t="s">
        <v>1738</v>
      </c>
      <c r="P52" s="2090" t="s">
        <v>1739</v>
      </c>
      <c r="Q52" s="2093" t="e">
        <f ca="1">J59</f>
        <v>#DIV/0!</v>
      </c>
      <c r="R52" s="2094"/>
    </row>
    <row r="53" spans="1:18" s="1782" customFormat="1" ht="18" customHeight="1" thickBot="1">
      <c r="A53" s="1818"/>
      <c r="F53" s="1807"/>
      <c r="I53" s="2558" t="s">
        <v>1775</v>
      </c>
      <c r="J53" s="2076"/>
      <c r="K53" s="2558" t="s">
        <v>1774</v>
      </c>
      <c r="L53" s="2076"/>
      <c r="O53" s="2092" t="s">
        <v>1740</v>
      </c>
      <c r="P53" s="2090" t="s">
        <v>1741</v>
      </c>
      <c r="Q53" s="2093">
        <f>J53</f>
        <v>0</v>
      </c>
      <c r="R53" s="2094"/>
    </row>
    <row r="54" spans="1:18" s="1782" customFormat="1" ht="29.25" thickBot="1">
      <c r="A54" s="1818"/>
      <c r="I54" s="2559" t="s">
        <v>2227</v>
      </c>
      <c r="J54" s="2610">
        <f ca="1">IF(M48="住宅",MAX(J52,L49-'数据-取费表'!B20),MIN(J52,L49-'数据-取费表'!B20))</f>
        <v>-2</v>
      </c>
      <c r="K54" s="3950"/>
      <c r="L54" s="3951"/>
      <c r="O54" s="2092" t="s">
        <v>1742</v>
      </c>
      <c r="P54" s="2090" t="s">
        <v>1743</v>
      </c>
      <c r="Q54" s="2091">
        <f ca="1">J54</f>
        <v>-2</v>
      </c>
      <c r="R54" s="2090" t="s">
        <v>1744</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1745</v>
      </c>
      <c r="P55" s="2090" t="s">
        <v>1762</v>
      </c>
      <c r="Q55" s="2091" t="e">
        <f ca="1">Q49+Q50</f>
        <v>#DIV/0!</v>
      </c>
      <c r="R55" s="2094" t="s">
        <v>1746</v>
      </c>
    </row>
    <row r="56" spans="1:18" s="1782" customFormat="1" ht="16.5" thickBot="1">
      <c r="A56" s="1818"/>
      <c r="B56" s="1819"/>
      <c r="C56" s="1819"/>
      <c r="I56" s="2570" t="s">
        <v>1709</v>
      </c>
      <c r="J56" s="2542" t="e">
        <f ca="1">ROUND(IF(J48="钢混",J58/J51,1-(1-2%)*(J51-J58)/J51),3)</f>
        <v>#DIV/0!</v>
      </c>
      <c r="K56" s="2571" t="s">
        <v>1710</v>
      </c>
      <c r="L56" s="2077"/>
      <c r="O56" s="2095" t="s">
        <v>1765</v>
      </c>
      <c r="P56" s="1404"/>
      <c r="Q56" s="1412"/>
      <c r="R56" s="1404"/>
    </row>
    <row r="57" spans="1:18" s="1782" customFormat="1" ht="43.5" thickBot="1">
      <c r="A57" s="1818"/>
      <c r="B57" s="1819"/>
      <c r="C57" s="1819"/>
      <c r="I57" s="2572" t="s">
        <v>1711</v>
      </c>
      <c r="J57" s="2582"/>
      <c r="K57" s="2553" t="s">
        <v>1716</v>
      </c>
      <c r="L57" s="1663">
        <f ca="1">IF(L49&lt;J52,"——",L49-J52)</f>
        <v>0</v>
      </c>
      <c r="O57" s="2086" t="s">
        <v>1729</v>
      </c>
      <c r="P57" s="2087" t="s">
        <v>1730</v>
      </c>
      <c r="Q57" s="2088" t="s">
        <v>1731</v>
      </c>
      <c r="R57" s="2087" t="s">
        <v>1732</v>
      </c>
    </row>
    <row r="58" spans="1:18" s="1782" customFormat="1" ht="29.25" thickBot="1">
      <c r="A58" s="1818"/>
      <c r="B58" s="1819"/>
      <c r="C58" s="1819"/>
      <c r="I58" s="2573" t="s">
        <v>1712</v>
      </c>
      <c r="J58" s="2574">
        <f ca="1">IF(OR(M48="住宅",J52&lt;L49,J57="是"),"——",J52-L49)</f>
        <v>0</v>
      </c>
      <c r="K58" s="2553" t="s">
        <v>1717</v>
      </c>
      <c r="L58" s="1663">
        <f ca="1">IF(L49&lt;J52,"——",IF(L56="比较法",L50,IF(L56="基准地价",L51,L52)))</f>
        <v>0</v>
      </c>
      <c r="O58" s="2089" t="s">
        <v>1733</v>
      </c>
      <c r="P58" s="2090" t="s">
        <v>1759</v>
      </c>
      <c r="Q58" s="2091">
        <f ca="1">C41+J31</f>
        <v>0</v>
      </c>
      <c r="R58" s="2090" t="s">
        <v>1734</v>
      </c>
    </row>
    <row r="59" spans="1:18" s="1782" customFormat="1" ht="29.25" thickBot="1">
      <c r="A59" s="1818"/>
      <c r="B59" s="1819"/>
      <c r="C59" s="1819"/>
      <c r="I59" s="2573" t="s">
        <v>1713</v>
      </c>
      <c r="J59" s="2543" t="e">
        <f ca="1">IF(J56&lt;0.4,0.4,J56)</f>
        <v>#DIV/0!</v>
      </c>
      <c r="K59" s="2553" t="s">
        <v>1718</v>
      </c>
      <c r="L59" s="1663">
        <f ca="1">IF(ISERROR(POWER(1+L53,L48-L49)*(POWER(1+L53,L49)-1)/(POWER(1+L53,L48)-1)),0,POWER(1+L53,L48-L49)*(POWER(1+L53,L49)-1)/(POWER(1+L53,L48)-1))</f>
        <v>0</v>
      </c>
      <c r="O59" s="2089" t="s">
        <v>1735</v>
      </c>
      <c r="P59" s="2090" t="s">
        <v>1766</v>
      </c>
      <c r="Q59" s="2091" t="e">
        <f ca="1">L61</f>
        <v>#DIV/0!</v>
      </c>
      <c r="R59" s="2094" t="s">
        <v>1768</v>
      </c>
    </row>
    <row r="60" spans="1:18" s="1782" customFormat="1" ht="29.25" thickBot="1">
      <c r="A60" s="1818"/>
      <c r="B60" s="1819"/>
      <c r="C60" s="1819"/>
      <c r="I60" s="2573" t="s">
        <v>1714</v>
      </c>
      <c r="J60" s="2574" t="e">
        <f ca="1">IF(OR(M48="住宅",J52&lt;L49,J57="是"),"——",ROUND(C30*J59,0))</f>
        <v>#DIV/0!</v>
      </c>
      <c r="K60" s="2553" t="s">
        <v>1719</v>
      </c>
      <c r="L60" s="1663">
        <f ca="1">IF(ISERROR(POWER(1+L53,L48-J52)*(POWER(1+L53,J52)-1)/(POWER(1+L53,L48)-1)),0,POWER(1+L53,L48-J52)*(POWER(1+L53,J52)-1)/(POWER(1+L53,L48)-1))</f>
        <v>0</v>
      </c>
      <c r="O60" s="2092" t="s">
        <v>1737</v>
      </c>
      <c r="P60" s="2090" t="s">
        <v>1767</v>
      </c>
      <c r="Q60" s="2091">
        <f>IF(L56="比较法",L50,IF(L56="基准地价",L51,0))</f>
        <v>0</v>
      </c>
      <c r="R60" s="2090" t="s">
        <v>1734</v>
      </c>
    </row>
    <row r="61" spans="1:18" s="1782" customFormat="1" ht="15.75" thickBot="1">
      <c r="A61" s="1818"/>
      <c r="B61" s="1819"/>
      <c r="C61" s="1819"/>
      <c r="I61" s="2575" t="s">
        <v>1715</v>
      </c>
      <c r="J61" s="2576" t="e">
        <f ca="1">IF(OR(M48="住宅",J52&lt;L49,J57="是"),"0",ROUND(J60/(1+J53)^J54,0))</f>
        <v>#DIV/0!</v>
      </c>
      <c r="K61" s="2577" t="s">
        <v>1720</v>
      </c>
      <c r="L61" s="2576" t="e">
        <f ca="1">IF(OR(M48="住宅",L49&lt;J52),0,ROUND(L58*(L59/L60-1),0))</f>
        <v>#DIV/0!</v>
      </c>
      <c r="O61" s="2092" t="s">
        <v>1738</v>
      </c>
      <c r="P61" s="2090" t="s">
        <v>1747</v>
      </c>
      <c r="Q61" s="2093">
        <f>L53</f>
        <v>0</v>
      </c>
      <c r="R61" s="2094"/>
    </row>
    <row r="62" spans="1:18" s="1782" customFormat="1" ht="20.25" thickBot="1">
      <c r="A62" s="1818"/>
      <c r="B62" s="1819"/>
      <c r="C62" s="1819"/>
      <c r="K62" s="1808"/>
      <c r="O62" s="2092" t="s">
        <v>1740</v>
      </c>
      <c r="P62" s="2090" t="s">
        <v>1748</v>
      </c>
      <c r="Q62" s="2091">
        <f ca="1">L59</f>
        <v>0</v>
      </c>
      <c r="R62" s="2094" t="s">
        <v>1749</v>
      </c>
    </row>
    <row r="63" spans="1:18" s="1782" customFormat="1" ht="20.25" thickBot="1">
      <c r="A63" s="1818"/>
      <c r="B63" s="1819"/>
      <c r="C63" s="1819"/>
      <c r="I63" s="2578" t="s">
        <v>1721</v>
      </c>
      <c r="J63" s="2579" t="s">
        <v>1722</v>
      </c>
      <c r="K63" s="2579" t="s">
        <v>1723</v>
      </c>
      <c r="L63" s="2579" t="s">
        <v>1704</v>
      </c>
      <c r="M63" s="2580" t="s">
        <v>2196</v>
      </c>
      <c r="O63" s="2092" t="s">
        <v>1742</v>
      </c>
      <c r="P63" s="2090" t="s">
        <v>1750</v>
      </c>
      <c r="Q63" s="2091">
        <f ca="1">L60</f>
        <v>0</v>
      </c>
      <c r="R63" s="2094" t="s">
        <v>1751</v>
      </c>
    </row>
    <row r="64" spans="1:18" s="1782" customFormat="1" ht="15.75" thickBot="1">
      <c r="A64" s="1818"/>
      <c r="B64" s="1819"/>
      <c r="C64" s="1819"/>
      <c r="I64" s="2578" t="s">
        <v>1724</v>
      </c>
      <c r="J64" s="2579">
        <v>70</v>
      </c>
      <c r="K64" s="2579">
        <v>50</v>
      </c>
      <c r="L64" s="2579">
        <v>80</v>
      </c>
      <c r="M64" s="2581">
        <v>0.02</v>
      </c>
      <c r="O64" s="2089" t="s">
        <v>1745</v>
      </c>
      <c r="P64" s="2090" t="s">
        <v>1762</v>
      </c>
      <c r="Q64" s="2091" t="e">
        <f ca="1">Q58+Q59</f>
        <v>#DIV/0!</v>
      </c>
      <c r="R64" s="2094" t="s">
        <v>1746</v>
      </c>
    </row>
    <row r="65" spans="1:18" s="1782" customFormat="1" ht="16.5" thickBot="1">
      <c r="A65" s="1818"/>
      <c r="B65" s="1819"/>
      <c r="C65" s="1819"/>
      <c r="I65" s="2578" t="s">
        <v>1725</v>
      </c>
      <c r="J65" s="2579">
        <v>50</v>
      </c>
      <c r="K65" s="2579">
        <v>35</v>
      </c>
      <c r="L65" s="2579">
        <v>60</v>
      </c>
      <c r="M65" s="811">
        <v>0</v>
      </c>
      <c r="O65" s="2095" t="s">
        <v>1769</v>
      </c>
      <c r="P65" s="1404"/>
      <c r="Q65" s="1412"/>
      <c r="R65" s="1404"/>
    </row>
    <row r="66" spans="1:18" s="1782" customFormat="1" ht="15.75" thickBot="1">
      <c r="A66" s="1818"/>
      <c r="B66" s="1819"/>
      <c r="C66" s="1819"/>
      <c r="I66" s="2578" t="s">
        <v>1726</v>
      </c>
      <c r="J66" s="2579">
        <v>40</v>
      </c>
      <c r="K66" s="2579">
        <v>30</v>
      </c>
      <c r="L66" s="2579">
        <v>50</v>
      </c>
      <c r="M66" s="2581">
        <v>0.02</v>
      </c>
      <c r="O66" s="2086" t="s">
        <v>1729</v>
      </c>
      <c r="P66" s="2087" t="s">
        <v>1730</v>
      </c>
      <c r="Q66" s="2088" t="s">
        <v>1731</v>
      </c>
      <c r="R66" s="2087" t="s">
        <v>1732</v>
      </c>
    </row>
    <row r="67" spans="1:18" s="1782" customFormat="1" ht="15.75" thickBot="1">
      <c r="A67" s="1818"/>
      <c r="B67" s="1819"/>
      <c r="C67" s="1819"/>
      <c r="K67" s="1808"/>
      <c r="O67" s="2089" t="s">
        <v>1733</v>
      </c>
      <c r="P67" s="2090" t="s">
        <v>1759</v>
      </c>
      <c r="Q67" s="2091">
        <f ca="1">C41+J31</f>
        <v>0</v>
      </c>
      <c r="R67" s="2090" t="s">
        <v>1734</v>
      </c>
    </row>
    <row r="68" spans="1:18" s="1782" customFormat="1" ht="20.25" thickBot="1">
      <c r="A68" s="1818"/>
      <c r="B68" s="1819"/>
      <c r="C68" s="1819"/>
      <c r="K68" s="1808"/>
      <c r="O68" s="2089" t="s">
        <v>1735</v>
      </c>
      <c r="P68" s="2090" t="s">
        <v>1766</v>
      </c>
      <c r="Q68" s="2091" t="e">
        <f ca="1">L61</f>
        <v>#DIV/0!</v>
      </c>
      <c r="R68" s="2094" t="s">
        <v>1768</v>
      </c>
    </row>
    <row r="69" spans="1:18" s="1782" customFormat="1" ht="21.75" thickBot="1">
      <c r="A69" s="1818"/>
      <c r="B69" s="1819"/>
      <c r="C69" s="1819"/>
      <c r="K69" s="1808"/>
      <c r="O69" s="2092" t="s">
        <v>1737</v>
      </c>
      <c r="P69" s="2090" t="s">
        <v>1767</v>
      </c>
      <c r="Q69" s="2096">
        <f ca="1">L52</f>
        <v>0</v>
      </c>
      <c r="R69" s="2097" t="s">
        <v>1770</v>
      </c>
    </row>
    <row r="70" spans="1:18" s="1782" customFormat="1" ht="20.25" thickBot="1">
      <c r="A70" s="1818"/>
      <c r="B70" s="1819"/>
      <c r="C70" s="1819"/>
      <c r="K70" s="1808"/>
      <c r="O70" s="2092" t="s">
        <v>1738</v>
      </c>
      <c r="P70" s="2098" t="s">
        <v>1752</v>
      </c>
      <c r="Q70" s="2091">
        <f ca="1">ROUND(Q71-Q72*Q73,0)</f>
        <v>0</v>
      </c>
      <c r="R70" s="2094"/>
    </row>
    <row r="71" spans="1:18" s="1782" customFormat="1" ht="15.75" thickBot="1">
      <c r="A71" s="1818"/>
      <c r="B71" s="1819"/>
      <c r="C71" s="1819"/>
      <c r="K71" s="1808"/>
      <c r="O71" s="2092" t="s">
        <v>1753</v>
      </c>
      <c r="P71" s="2098" t="s">
        <v>1754</v>
      </c>
      <c r="Q71" s="2091">
        <f ca="1">C42</f>
        <v>0</v>
      </c>
      <c r="R71" s="2090" t="s">
        <v>1734</v>
      </c>
    </row>
    <row r="72" spans="1:18" s="1782" customFormat="1" ht="15.75" thickBot="1">
      <c r="A72" s="1818"/>
      <c r="B72" s="1819"/>
      <c r="C72" s="1819"/>
      <c r="K72" s="1808"/>
      <c r="O72" s="2092" t="s">
        <v>1755</v>
      </c>
      <c r="P72" s="2098" t="s">
        <v>1756</v>
      </c>
      <c r="Q72" s="2091">
        <f ca="1">C15</f>
        <v>0</v>
      </c>
      <c r="R72" s="2090" t="s">
        <v>1734</v>
      </c>
    </row>
    <row r="73" spans="1:18" s="1782" customFormat="1" ht="15.75" thickBot="1">
      <c r="A73" s="1818"/>
      <c r="B73" s="1819"/>
      <c r="C73" s="1819"/>
      <c r="K73" s="1808"/>
      <c r="O73" s="2092" t="s">
        <v>1757</v>
      </c>
      <c r="P73" s="2098" t="s">
        <v>1758</v>
      </c>
      <c r="Q73" s="2093">
        <f ca="1">F43</f>
        <v>0</v>
      </c>
      <c r="R73" s="2094"/>
    </row>
    <row r="74" spans="1:18" s="1782" customFormat="1" ht="15.75" thickBot="1">
      <c r="A74" s="1818"/>
      <c r="B74" s="1819"/>
      <c r="C74" s="1819"/>
      <c r="K74" s="1808"/>
      <c r="O74" s="2092" t="s">
        <v>1740</v>
      </c>
      <c r="P74" s="2090" t="s">
        <v>1747</v>
      </c>
      <c r="Q74" s="2093">
        <f>L53</f>
        <v>0</v>
      </c>
      <c r="R74" s="2094"/>
    </row>
    <row r="75" spans="1:18" s="1782" customFormat="1" ht="20.25" thickBot="1">
      <c r="A75" s="1818"/>
      <c r="B75" s="1819"/>
      <c r="C75" s="1819"/>
      <c r="K75" s="1808"/>
      <c r="O75" s="2092" t="s">
        <v>1742</v>
      </c>
      <c r="P75" s="2090" t="s">
        <v>1748</v>
      </c>
      <c r="Q75" s="2091">
        <f ca="1">L59</f>
        <v>0</v>
      </c>
      <c r="R75" s="2094" t="s">
        <v>1749</v>
      </c>
    </row>
    <row r="76" spans="1:18" s="1782" customFormat="1" ht="20.25" thickBot="1">
      <c r="A76" s="1818"/>
      <c r="B76" s="1819"/>
      <c r="C76" s="1819"/>
      <c r="K76" s="1808"/>
      <c r="O76" s="2092" t="s">
        <v>1771</v>
      </c>
      <c r="P76" s="2090" t="s">
        <v>1750</v>
      </c>
      <c r="Q76" s="2091">
        <f ca="1">L60</f>
        <v>0</v>
      </c>
      <c r="R76" s="2094" t="s">
        <v>1751</v>
      </c>
    </row>
    <row r="77" spans="1:18" s="1782" customFormat="1" ht="15.75" thickBot="1">
      <c r="A77" s="1818"/>
      <c r="B77" s="1819"/>
      <c r="C77" s="1819"/>
      <c r="K77" s="1808"/>
      <c r="O77" s="2089" t="s">
        <v>1745</v>
      </c>
      <c r="P77" s="2090" t="s">
        <v>1762</v>
      </c>
      <c r="Q77" s="2091" t="e">
        <f ca="1">Q67+Q68</f>
        <v>#DIV/0!</v>
      </c>
      <c r="R77" s="2094" t="s">
        <v>1746</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M41" sqref="M41"/>
    </sheetView>
  </sheetViews>
  <sheetFormatPr defaultColWidth="9" defaultRowHeight="14.25"/>
  <cols>
    <col min="1" max="1" width="10.5" style="1197" customWidth="1"/>
    <col min="2" max="2" width="15.75" style="1197" customWidth="1"/>
    <col min="3" max="3" width="15.12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2230" t="s">
        <v>666</v>
      </c>
      <c r="C1" s="2231" t="s">
        <v>667</v>
      </c>
      <c r="D1" s="2232" t="s">
        <v>851</v>
      </c>
      <c r="E1" s="1849"/>
      <c r="F1" s="2286" t="s">
        <v>3274</v>
      </c>
      <c r="G1" s="1409" t="s">
        <v>668</v>
      </c>
      <c r="H1" s="476"/>
      <c r="I1" s="476"/>
      <c r="J1" s="476"/>
      <c r="K1" s="477"/>
      <c r="L1" s="2952"/>
      <c r="M1" s="2953"/>
      <c r="N1" s="2953"/>
      <c r="O1" s="2953"/>
      <c r="P1" s="1377"/>
      <c r="Q1" s="1377"/>
      <c r="R1" s="1377"/>
      <c r="S1" s="1377"/>
      <c r="T1" s="1377"/>
      <c r="U1" s="1377"/>
      <c r="V1" s="1377"/>
      <c r="W1" s="1377"/>
      <c r="X1" s="1377"/>
      <c r="Y1" s="1377"/>
      <c r="Z1" s="1377"/>
      <c r="AA1" s="1377"/>
      <c r="AB1" s="1377"/>
      <c r="AC1" s="1378"/>
    </row>
    <row r="2" spans="1:29" s="1221" customFormat="1" ht="28.5" customHeight="1">
      <c r="A2" s="410" t="s">
        <v>427</v>
      </c>
      <c r="B2" s="2229">
        <f>ROUND(B3*D3/10000,0)</f>
        <v>216799</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1" customFormat="1" ht="28.5" customHeight="1" thickBot="1">
      <c r="A3" s="479" t="s">
        <v>468</v>
      </c>
      <c r="B3" s="816">
        <f>C49</f>
        <v>56500</v>
      </c>
      <c r="C3" s="817" t="s">
        <v>669</v>
      </c>
      <c r="D3" s="816">
        <f>SUMIF('数据-汇总表'!$C19:$C33,D1,'数据-汇总表'!$E19:$E33)</f>
        <v>38371.56</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5">
      <c r="A4" s="482" t="s">
        <v>470</v>
      </c>
      <c r="B4" s="483"/>
      <c r="C4" s="3849" t="s">
        <v>471</v>
      </c>
      <c r="D4" s="3850"/>
      <c r="E4" s="3889" t="s">
        <v>472</v>
      </c>
      <c r="F4" s="3890"/>
      <c r="G4" s="3849" t="s">
        <v>473</v>
      </c>
      <c r="H4" s="3850"/>
      <c r="I4" s="3849" t="s">
        <v>474</v>
      </c>
      <c r="J4" s="3850"/>
      <c r="K4" s="818" t="s">
        <v>475</v>
      </c>
      <c r="L4" s="1855"/>
      <c r="M4" s="1856"/>
      <c r="N4" s="1856"/>
      <c r="O4" s="1856"/>
      <c r="P4" s="3851" t="s">
        <v>476</v>
      </c>
      <c r="Q4" s="3852"/>
      <c r="R4" s="3857" t="s">
        <v>472</v>
      </c>
      <c r="S4" s="3858"/>
      <c r="T4" s="3857" t="s">
        <v>473</v>
      </c>
      <c r="U4" s="3858"/>
      <c r="V4" s="3844" t="s">
        <v>474</v>
      </c>
      <c r="W4" s="3844"/>
      <c r="X4" s="1379"/>
      <c r="Y4" s="3857" t="s">
        <v>476</v>
      </c>
      <c r="Z4" s="3858"/>
      <c r="AA4" s="3846" t="s">
        <v>472</v>
      </c>
      <c r="AB4" s="3846" t="s">
        <v>473</v>
      </c>
      <c r="AC4" s="3846" t="s">
        <v>474</v>
      </c>
    </row>
    <row r="5" spans="1:29" ht="15">
      <c r="A5" s="485"/>
      <c r="B5" s="486"/>
      <c r="C5" s="3867" t="s">
        <v>2183</v>
      </c>
      <c r="D5" s="3866"/>
      <c r="E5" s="3955" t="s">
        <v>3259</v>
      </c>
      <c r="F5" s="3892"/>
      <c r="G5" s="3865" t="s">
        <v>3260</v>
      </c>
      <c r="H5" s="3866"/>
      <c r="I5" s="3865" t="s">
        <v>3261</v>
      </c>
      <c r="J5" s="3866"/>
      <c r="K5" s="819"/>
      <c r="L5" s="1855"/>
      <c r="M5" s="1856"/>
      <c r="N5" s="1856"/>
      <c r="O5" s="1856"/>
      <c r="P5" s="3853"/>
      <c r="Q5" s="3854"/>
      <c r="R5" s="3859"/>
      <c r="S5" s="3860"/>
      <c r="T5" s="3859"/>
      <c r="U5" s="3860"/>
      <c r="V5" s="3844"/>
      <c r="W5" s="3844"/>
      <c r="X5" s="1379"/>
      <c r="Y5" s="3859"/>
      <c r="Z5" s="3860"/>
      <c r="AA5" s="3847"/>
      <c r="AB5" s="3847"/>
      <c r="AC5" s="3847"/>
    </row>
    <row r="6" spans="1:29" ht="15.75" thickBot="1">
      <c r="A6" s="487"/>
      <c r="B6" s="488"/>
      <c r="C6" s="3863" t="s">
        <v>2187</v>
      </c>
      <c r="D6" s="3864"/>
      <c r="E6" s="3887" t="s">
        <v>2187</v>
      </c>
      <c r="F6" s="3888"/>
      <c r="G6" s="3863" t="s">
        <v>2187</v>
      </c>
      <c r="H6" s="3864"/>
      <c r="I6" s="3863" t="s">
        <v>2187</v>
      </c>
      <c r="J6" s="3864"/>
      <c r="K6" s="819" t="s">
        <v>477</v>
      </c>
      <c r="L6" s="1855"/>
      <c r="M6" s="1856"/>
      <c r="N6" s="1856"/>
      <c r="O6" s="1856"/>
      <c r="P6" s="3855"/>
      <c r="Q6" s="3856"/>
      <c r="R6" s="3859"/>
      <c r="S6" s="3860"/>
      <c r="T6" s="3861"/>
      <c r="U6" s="3862"/>
      <c r="V6" s="3844"/>
      <c r="W6" s="3844"/>
      <c r="X6" s="1379"/>
      <c r="Y6" s="3861"/>
      <c r="Z6" s="3862"/>
      <c r="AA6" s="3848"/>
      <c r="AB6" s="3848"/>
      <c r="AC6" s="3848"/>
    </row>
    <row r="7" spans="1:29" s="1117" customFormat="1" ht="15.75" thickBot="1">
      <c r="A7" s="2391"/>
      <c r="B7" s="2398" t="s">
        <v>478</v>
      </c>
      <c r="C7" s="489">
        <f>'数据-取费表'!B2</f>
        <v>45175</v>
      </c>
      <c r="D7" s="490">
        <v>100</v>
      </c>
      <c r="E7" s="491">
        <f>C7</f>
        <v>45175</v>
      </c>
      <c r="F7" s="492">
        <f>SUMIF(58:58,YEAR(E7)&amp;"-"&amp;MONTH(E7),59:59)</f>
        <v>100</v>
      </c>
      <c r="G7" s="493">
        <f>C7</f>
        <v>45175</v>
      </c>
      <c r="H7" s="490">
        <f>SUMIF(58:58,YEAR(G7)&amp;"-"&amp;MONTH(G7),59:59)</f>
        <v>100</v>
      </c>
      <c r="I7" s="493">
        <f>C7</f>
        <v>45175</v>
      </c>
      <c r="J7" s="490">
        <f>SUMIF(58:58,YEAR(I7)&amp;"-"&amp;MONTH(I7),59:59)</f>
        <v>100</v>
      </c>
      <c r="K7" s="820"/>
      <c r="L7" s="1857"/>
      <c r="M7" s="1858"/>
      <c r="N7" s="1858"/>
      <c r="O7" s="1858"/>
      <c r="P7" s="3874" t="s">
        <v>479</v>
      </c>
      <c r="Q7" s="3876"/>
      <c r="R7" s="1380" t="s">
        <v>10</v>
      </c>
      <c r="S7" s="1381">
        <f t="shared" ref="S7:S15" si="0">F7</f>
        <v>100</v>
      </c>
      <c r="T7" s="1380" t="s">
        <v>10</v>
      </c>
      <c r="U7" s="1381">
        <f t="shared" ref="U7:U15" si="1">H7</f>
        <v>100</v>
      </c>
      <c r="V7" s="1380" t="s">
        <v>10</v>
      </c>
      <c r="W7" s="1381">
        <f t="shared" ref="W7:W15" si="2">J7</f>
        <v>100</v>
      </c>
      <c r="X7" s="1382"/>
      <c r="Y7" s="3874" t="s">
        <v>479</v>
      </c>
      <c r="Z7" s="3875"/>
      <c r="AA7" s="1383">
        <f>D7/F7</f>
        <v>1</v>
      </c>
      <c r="AB7" s="1383">
        <f>D7/H7</f>
        <v>1</v>
      </c>
      <c r="AC7" s="1383">
        <f>D7/J7</f>
        <v>1</v>
      </c>
    </row>
    <row r="8" spans="1:29" s="1117" customFormat="1" ht="15.75" thickBot="1">
      <c r="A8" s="2392"/>
      <c r="B8" s="2399" t="s">
        <v>480</v>
      </c>
      <c r="C8" s="495" t="s">
        <v>524</v>
      </c>
      <c r="D8" s="490">
        <v>100</v>
      </c>
      <c r="E8" s="821" t="s">
        <v>3262</v>
      </c>
      <c r="F8" s="492">
        <f>SUMIF(61:61,E8,62:62)-SUMIF(61:61,C8,62:62)+100</f>
        <v>100</v>
      </c>
      <c r="G8" s="495" t="s">
        <v>3262</v>
      </c>
      <c r="H8" s="490">
        <f>SUMIF(61:61,G8,62:62)-SUMIF(61:61,C8,62:62)+100</f>
        <v>100</v>
      </c>
      <c r="I8" s="821" t="s">
        <v>3262</v>
      </c>
      <c r="J8" s="490">
        <f>SUMIF(61:61,I8,62:62)-SUMIF(61:61,C8,62:62)+100</f>
        <v>100</v>
      </c>
      <c r="K8" s="820"/>
      <c r="L8" s="1857"/>
      <c r="M8" s="1858"/>
      <c r="N8" s="1858"/>
      <c r="O8" s="1858"/>
      <c r="P8" s="3874" t="s">
        <v>482</v>
      </c>
      <c r="Q8" s="3875"/>
      <c r="R8" s="1380" t="s">
        <v>10</v>
      </c>
      <c r="S8" s="1381">
        <f t="shared" si="0"/>
        <v>100</v>
      </c>
      <c r="T8" s="1380" t="s">
        <v>10</v>
      </c>
      <c r="U8" s="1381">
        <f t="shared" si="1"/>
        <v>100</v>
      </c>
      <c r="V8" s="1380" t="s">
        <v>10</v>
      </c>
      <c r="W8" s="1381">
        <f t="shared" si="2"/>
        <v>100</v>
      </c>
      <c r="X8" s="1382"/>
      <c r="Y8" s="3874" t="s">
        <v>482</v>
      </c>
      <c r="Z8" s="3875"/>
      <c r="AA8" s="1383">
        <f t="shared" ref="AA8:AA46" si="3">D8/F8</f>
        <v>1</v>
      </c>
      <c r="AB8" s="1383">
        <f t="shared" ref="AB8:AB46" si="4">D8/H8</f>
        <v>1</v>
      </c>
      <c r="AC8" s="1383">
        <f t="shared" ref="AC8:AC46" si="5">D8/J8</f>
        <v>1</v>
      </c>
    </row>
    <row r="9" spans="1:29" s="1117" customFormat="1" ht="15">
      <c r="A9" s="2393"/>
      <c r="B9" s="2400" t="s">
        <v>2038</v>
      </c>
      <c r="C9" s="822"/>
      <c r="D9" s="245">
        <v>100</v>
      </c>
      <c r="E9" s="823"/>
      <c r="F9" s="824">
        <f>SUMIF(63:63,E9,64:64)-SUMIF(63:63,C9,64:64)+100</f>
        <v>100</v>
      </c>
      <c r="G9" s="825"/>
      <c r="H9" s="245">
        <f>SUMIF(63:63,G9,64:64)-SUMIF(63:63,C9,64:64)+100</f>
        <v>100</v>
      </c>
      <c r="I9" s="825"/>
      <c r="J9" s="245">
        <f>SUMIF(63:63,I9,64:64)-SUMIF(63:63,C9,64:64)+100</f>
        <v>100</v>
      </c>
      <c r="K9" s="820"/>
      <c r="L9" s="1857"/>
      <c r="M9" s="1858"/>
      <c r="N9" s="1858"/>
      <c r="O9" s="1859"/>
      <c r="P9" s="3843" t="s">
        <v>484</v>
      </c>
      <c r="Q9" s="1049" t="str">
        <f t="shared" ref="Q9:Q15" si="6">B9</f>
        <v>用途</v>
      </c>
      <c r="R9" s="1380" t="s">
        <v>5</v>
      </c>
      <c r="S9" s="1381">
        <f t="shared" si="0"/>
        <v>100</v>
      </c>
      <c r="T9" s="1380" t="s">
        <v>5</v>
      </c>
      <c r="U9" s="1381">
        <f t="shared" si="1"/>
        <v>100</v>
      </c>
      <c r="V9" s="1380" t="s">
        <v>5</v>
      </c>
      <c r="W9" s="1381">
        <f t="shared" si="2"/>
        <v>100</v>
      </c>
      <c r="X9" s="1382"/>
      <c r="Y9" s="3791" t="s">
        <v>485</v>
      </c>
      <c r="Z9" s="1048" t="str">
        <f t="shared" ref="Z9:Z15" si="7">Q9</f>
        <v>用途</v>
      </c>
      <c r="AA9" s="1383">
        <f t="shared" si="3"/>
        <v>1</v>
      </c>
      <c r="AB9" s="1383">
        <f t="shared" si="4"/>
        <v>1</v>
      </c>
      <c r="AC9" s="1383">
        <f t="shared" si="5"/>
        <v>1</v>
      </c>
    </row>
    <row r="10" spans="1:29" s="1198" customFormat="1" ht="27">
      <c r="A10" s="2394"/>
      <c r="B10" s="2399" t="s">
        <v>2039</v>
      </c>
      <c r="C10" s="3659" t="s">
        <v>3305</v>
      </c>
      <c r="D10" s="246">
        <v>100</v>
      </c>
      <c r="E10" s="3660" t="s">
        <v>3306</v>
      </c>
      <c r="F10" s="826">
        <f>SUMIF(65:65,E10,66:66)-SUMIF(65:65,C10,66:66)+100</f>
        <v>100</v>
      </c>
      <c r="G10" s="3659" t="s">
        <v>3307</v>
      </c>
      <c r="H10" s="246">
        <f>SUMIF(65:65,G10,66:66)-SUMIF(65:65,C10,66:66)+100</f>
        <v>100</v>
      </c>
      <c r="I10" s="3659" t="s">
        <v>3308</v>
      </c>
      <c r="J10" s="246">
        <f>SUMIF(65:65,I10,66:66)-SUMIF(65:65,C10,66:66)+100</f>
        <v>100</v>
      </c>
      <c r="K10" s="820"/>
      <c r="L10" s="1860"/>
      <c r="M10" s="1899"/>
      <c r="N10" s="1899"/>
      <c r="O10" s="1861"/>
      <c r="P10" s="3843"/>
      <c r="Q10" s="1049" t="str">
        <f t="shared" si="6"/>
        <v>土地使用年限（年）</v>
      </c>
      <c r="R10" s="1380" t="s">
        <v>5</v>
      </c>
      <c r="S10" s="1381">
        <f t="shared" si="0"/>
        <v>100</v>
      </c>
      <c r="T10" s="1380" t="s">
        <v>5</v>
      </c>
      <c r="U10" s="1381">
        <f t="shared" si="1"/>
        <v>100</v>
      </c>
      <c r="V10" s="1380" t="s">
        <v>5</v>
      </c>
      <c r="W10" s="1381">
        <f t="shared" si="2"/>
        <v>100</v>
      </c>
      <c r="X10" s="1382"/>
      <c r="Y10" s="3791"/>
      <c r="Z10" s="1048" t="str">
        <f t="shared" si="7"/>
        <v>土地使用年限（年）</v>
      </c>
      <c r="AA10" s="1383">
        <f t="shared" si="3"/>
        <v>1</v>
      </c>
      <c r="AB10" s="1383">
        <f t="shared" si="4"/>
        <v>1</v>
      </c>
      <c r="AC10" s="1383">
        <f t="shared" si="5"/>
        <v>1</v>
      </c>
    </row>
    <row r="11" spans="1:29" ht="15.75" thickBot="1">
      <c r="A11" s="2395"/>
      <c r="B11" s="2399" t="s">
        <v>2040</v>
      </c>
      <c r="C11" s="503">
        <v>2</v>
      </c>
      <c r="D11" s="246">
        <v>100</v>
      </c>
      <c r="E11" s="504">
        <v>2</v>
      </c>
      <c r="F11" s="826">
        <f>LOOKUP(E11,68:68,69:69)-LOOKUP(C11,68:68,69:69)+100</f>
        <v>100</v>
      </c>
      <c r="G11" s="503">
        <v>2</v>
      </c>
      <c r="H11" s="246">
        <f>LOOKUP(G11,68:68,69:69)-LOOKUP(C11,68:68,69:69)+100</f>
        <v>100</v>
      </c>
      <c r="I11" s="503">
        <v>2</v>
      </c>
      <c r="J11" s="246">
        <f>LOOKUP(I11,68:68,69:69)-LOOKUP(C11,68:68,69:69)+100</f>
        <v>100</v>
      </c>
      <c r="K11" s="827">
        <v>2</v>
      </c>
      <c r="L11" s="1862"/>
      <c r="M11" s="1856"/>
      <c r="N11" s="1856"/>
      <c r="O11" s="1863"/>
      <c r="P11" s="3843"/>
      <c r="Q11" s="1049" t="str">
        <f t="shared" si="6"/>
        <v>容积率</v>
      </c>
      <c r="R11" s="1380" t="s">
        <v>8</v>
      </c>
      <c r="S11" s="1381">
        <f t="shared" si="0"/>
        <v>100</v>
      </c>
      <c r="T11" s="1380" t="s">
        <v>8</v>
      </c>
      <c r="U11" s="1381">
        <f t="shared" si="1"/>
        <v>100</v>
      </c>
      <c r="V11" s="1380" t="s">
        <v>8</v>
      </c>
      <c r="W11" s="1381">
        <f t="shared" si="2"/>
        <v>100</v>
      </c>
      <c r="X11" s="1382"/>
      <c r="Y11" s="3791"/>
      <c r="Z11" s="1048" t="str">
        <f t="shared" si="7"/>
        <v>容积率</v>
      </c>
      <c r="AA11" s="1383">
        <f t="shared" si="3"/>
        <v>1</v>
      </c>
      <c r="AB11" s="1383">
        <f t="shared" si="4"/>
        <v>1</v>
      </c>
      <c r="AC11" s="1383">
        <f t="shared" si="5"/>
        <v>1</v>
      </c>
    </row>
    <row r="12" spans="1:29" s="1117" customFormat="1" ht="15" hidden="1">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843"/>
      <c r="Q12" s="1049">
        <f t="shared" si="6"/>
        <v>111</v>
      </c>
      <c r="R12" s="1380" t="s">
        <v>8</v>
      </c>
      <c r="S12" s="1381">
        <f t="shared" si="0"/>
        <v>100</v>
      </c>
      <c r="T12" s="1380" t="s">
        <v>8</v>
      </c>
      <c r="U12" s="1381">
        <f t="shared" si="1"/>
        <v>100</v>
      </c>
      <c r="V12" s="1380" t="s">
        <v>8</v>
      </c>
      <c r="W12" s="1381">
        <f t="shared" si="2"/>
        <v>100</v>
      </c>
      <c r="X12" s="1382"/>
      <c r="Y12" s="3791"/>
      <c r="Z12" s="1048">
        <f t="shared" si="7"/>
        <v>111</v>
      </c>
      <c r="AA12" s="1383">
        <f>D12/F12</f>
        <v>1</v>
      </c>
      <c r="AB12" s="1383">
        <f>D12/H12</f>
        <v>1</v>
      </c>
      <c r="AC12" s="1383">
        <f>D12/J12</f>
        <v>1</v>
      </c>
    </row>
    <row r="13" spans="1:29" ht="15" hidden="1">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843"/>
      <c r="Q13" s="1049">
        <f t="shared" si="6"/>
        <v>111</v>
      </c>
      <c r="R13" s="1380" t="s">
        <v>8</v>
      </c>
      <c r="S13" s="1381">
        <f t="shared" si="0"/>
        <v>100</v>
      </c>
      <c r="T13" s="1380" t="s">
        <v>8</v>
      </c>
      <c r="U13" s="1381">
        <f t="shared" si="1"/>
        <v>100</v>
      </c>
      <c r="V13" s="1380" t="s">
        <v>8</v>
      </c>
      <c r="W13" s="1381">
        <f t="shared" si="2"/>
        <v>100</v>
      </c>
      <c r="X13" s="1382"/>
      <c r="Y13" s="3791"/>
      <c r="Z13" s="1048">
        <f t="shared" si="7"/>
        <v>111</v>
      </c>
      <c r="AA13" s="1383">
        <f t="shared" si="3"/>
        <v>1</v>
      </c>
      <c r="AB13" s="1383">
        <f t="shared" si="4"/>
        <v>1</v>
      </c>
      <c r="AC13" s="1383">
        <f t="shared" si="5"/>
        <v>1</v>
      </c>
    </row>
    <row r="14" spans="1:29" ht="15.75" hidden="1"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843"/>
      <c r="Q14" s="1049">
        <f t="shared" si="6"/>
        <v>111</v>
      </c>
      <c r="R14" s="1380" t="s">
        <v>8</v>
      </c>
      <c r="S14" s="1381">
        <f t="shared" si="0"/>
        <v>100</v>
      </c>
      <c r="T14" s="1380" t="s">
        <v>8</v>
      </c>
      <c r="U14" s="1381">
        <f t="shared" si="1"/>
        <v>100</v>
      </c>
      <c r="V14" s="1380" t="s">
        <v>8</v>
      </c>
      <c r="W14" s="1381">
        <f t="shared" si="2"/>
        <v>100</v>
      </c>
      <c r="X14" s="1382"/>
      <c r="Y14" s="3791"/>
      <c r="Z14" s="1048">
        <f t="shared" si="7"/>
        <v>111</v>
      </c>
      <c r="AA14" s="1383">
        <f t="shared" si="3"/>
        <v>1</v>
      </c>
      <c r="AB14" s="1383">
        <f t="shared" si="4"/>
        <v>1</v>
      </c>
      <c r="AC14" s="1383">
        <f t="shared" si="5"/>
        <v>1</v>
      </c>
    </row>
    <row r="15" spans="1:29" ht="15">
      <c r="A15" s="2389" t="s">
        <v>2036</v>
      </c>
      <c r="B15" s="159" t="s">
        <v>261</v>
      </c>
      <c r="C15" s="830">
        <f>估价对象房地状况!C3</f>
        <v>0</v>
      </c>
      <c r="D15" s="519">
        <v>100</v>
      </c>
      <c r="E15" s="520"/>
      <c r="F15" s="521">
        <f>SUMIF(76:76,E16,77:77)-SUMIF(76:76,C16,77:77)+100</f>
        <v>100</v>
      </c>
      <c r="G15" s="522"/>
      <c r="H15" s="519">
        <f>SUMIF(76:76,G16,77:77)-SUMIF(76:76,C16,77:77)+100</f>
        <v>100</v>
      </c>
      <c r="I15" s="520"/>
      <c r="J15" s="519">
        <f>SUMIF(76:76,I16,77:77)-SUMIF(76:76,C16,77:77)+100</f>
        <v>100</v>
      </c>
      <c r="K15" s="831"/>
      <c r="L15" s="1864"/>
      <c r="M15" s="1856"/>
      <c r="N15" s="1856"/>
      <c r="O15" s="1863"/>
      <c r="P15" s="3877" t="s">
        <v>489</v>
      </c>
      <c r="Q15" s="1384" t="str">
        <f t="shared" si="6"/>
        <v>居住社区成熟度</v>
      </c>
      <c r="R15" s="1385" t="s">
        <v>8</v>
      </c>
      <c r="S15" s="1386">
        <f t="shared" si="0"/>
        <v>100</v>
      </c>
      <c r="T15" s="1385" t="s">
        <v>8</v>
      </c>
      <c r="U15" s="1386">
        <f t="shared" si="1"/>
        <v>100</v>
      </c>
      <c r="V15" s="1385" t="s">
        <v>8</v>
      </c>
      <c r="W15" s="1386">
        <f t="shared" si="2"/>
        <v>100</v>
      </c>
      <c r="X15" s="1379"/>
      <c r="Y15" s="3877" t="s">
        <v>489</v>
      </c>
      <c r="Z15" s="1387" t="str">
        <f t="shared" si="7"/>
        <v>居住社区成熟度</v>
      </c>
      <c r="AA15" s="1388">
        <f t="shared" si="3"/>
        <v>1</v>
      </c>
      <c r="AB15" s="1388">
        <f t="shared" si="4"/>
        <v>1</v>
      </c>
      <c r="AC15" s="1388">
        <f t="shared" si="5"/>
        <v>1</v>
      </c>
    </row>
    <row r="16" spans="1:29" ht="15">
      <c r="A16" s="502"/>
      <c r="B16" s="832"/>
      <c r="C16" s="546" t="s">
        <v>3270</v>
      </c>
      <c r="D16" s="525"/>
      <c r="E16" s="546" t="s">
        <v>3270</v>
      </c>
      <c r="F16" s="527"/>
      <c r="G16" s="546" t="s">
        <v>3270</v>
      </c>
      <c r="H16" s="529"/>
      <c r="I16" s="546" t="s">
        <v>3270</v>
      </c>
      <c r="J16" s="525"/>
      <c r="K16" s="833"/>
      <c r="L16" s="1864"/>
      <c r="M16" s="1856"/>
      <c r="N16" s="1856"/>
      <c r="O16" s="1863"/>
      <c r="P16" s="3878"/>
      <c r="Q16" s="1384"/>
      <c r="R16" s="1385"/>
      <c r="S16" s="1386"/>
      <c r="T16" s="1385"/>
      <c r="U16" s="1386"/>
      <c r="V16" s="1385"/>
      <c r="W16" s="1386"/>
      <c r="X16" s="1379"/>
      <c r="Y16" s="3878"/>
      <c r="Z16" s="1387"/>
      <c r="AA16" s="1388">
        <v>1</v>
      </c>
      <c r="AB16" s="1388">
        <v>1</v>
      </c>
      <c r="AC16" s="1388">
        <v>1</v>
      </c>
    </row>
    <row r="17" spans="1:29" ht="15">
      <c r="A17" s="502"/>
      <c r="B17" s="834" t="s">
        <v>262</v>
      </c>
      <c r="C17" s="835">
        <f>估价对象房地状况!C6</f>
        <v>0</v>
      </c>
      <c r="D17" s="529">
        <v>100</v>
      </c>
      <c r="E17" s="532"/>
      <c r="F17" s="533">
        <f>SUMIF(78:78,E18,79:79)-SUMIF(78:78,C18,79:79)+100</f>
        <v>100</v>
      </c>
      <c r="G17" s="534"/>
      <c r="H17" s="535">
        <f>SUMIF(78:78,G18,79:79)-SUMIF(78:78,C18,79:79)+100</f>
        <v>100</v>
      </c>
      <c r="I17" s="532"/>
      <c r="J17" s="535">
        <f>SUMIF(78:78,I18,79:79)-SUMIF(78:78,C18,79:79)+100</f>
        <v>100</v>
      </c>
      <c r="K17" s="831">
        <v>2</v>
      </c>
      <c r="L17" s="1864"/>
      <c r="M17" s="1856"/>
      <c r="N17" s="1856"/>
      <c r="O17" s="1863"/>
      <c r="P17" s="3878"/>
      <c r="Q17" s="1384" t="str">
        <f>B17</f>
        <v>交通便捷度</v>
      </c>
      <c r="R17" s="1385" t="s">
        <v>8</v>
      </c>
      <c r="S17" s="1386">
        <f>F17</f>
        <v>100</v>
      </c>
      <c r="T17" s="1385" t="s">
        <v>8</v>
      </c>
      <c r="U17" s="1386">
        <f>H17</f>
        <v>100</v>
      </c>
      <c r="V17" s="1385" t="s">
        <v>8</v>
      </c>
      <c r="W17" s="1386">
        <f>J17</f>
        <v>100</v>
      </c>
      <c r="X17" s="1379"/>
      <c r="Y17" s="3878"/>
      <c r="Z17" s="1387" t="str">
        <f>Q17</f>
        <v>交通便捷度</v>
      </c>
      <c r="AA17" s="1388">
        <f t="shared" si="3"/>
        <v>1</v>
      </c>
      <c r="AB17" s="1388">
        <f t="shared" si="4"/>
        <v>1</v>
      </c>
      <c r="AC17" s="1388">
        <f t="shared" si="5"/>
        <v>1</v>
      </c>
    </row>
    <row r="18" spans="1:29" ht="15">
      <c r="A18" s="502"/>
      <c r="B18" s="565"/>
      <c r="C18" s="546" t="s">
        <v>3270</v>
      </c>
      <c r="D18" s="529"/>
      <c r="E18" s="546" t="s">
        <v>3270</v>
      </c>
      <c r="F18" s="533"/>
      <c r="G18" s="546" t="s">
        <v>3270</v>
      </c>
      <c r="H18" s="525"/>
      <c r="I18" s="546" t="s">
        <v>3270</v>
      </c>
      <c r="J18" s="525"/>
      <c r="K18" s="833"/>
      <c r="L18" s="1864"/>
      <c r="M18" s="1856"/>
      <c r="N18" s="1856"/>
      <c r="O18" s="1863"/>
      <c r="P18" s="3878"/>
      <c r="Q18" s="1384"/>
      <c r="R18" s="1385"/>
      <c r="S18" s="1386"/>
      <c r="T18" s="1385"/>
      <c r="U18" s="1386"/>
      <c r="V18" s="1385"/>
      <c r="W18" s="1386"/>
      <c r="X18" s="1379"/>
      <c r="Y18" s="3878"/>
      <c r="Z18" s="1387"/>
      <c r="AA18" s="1388">
        <v>1</v>
      </c>
      <c r="AB18" s="1388">
        <v>1</v>
      </c>
      <c r="AC18" s="1388">
        <v>1</v>
      </c>
    </row>
    <row r="19" spans="1:29" ht="15">
      <c r="A19" s="502"/>
      <c r="B19" s="2207" t="s">
        <v>1829</v>
      </c>
      <c r="C19" s="835">
        <f>估价对象房地状况!C7</f>
        <v>0</v>
      </c>
      <c r="D19" s="535">
        <v>100</v>
      </c>
      <c r="E19" s="540"/>
      <c r="F19" s="541">
        <f>SUMIF(80:80,E20,81:81)-SUMIF(80:80,C20,81:81)+100</f>
        <v>100</v>
      </c>
      <c r="G19" s="542"/>
      <c r="H19" s="529">
        <f>SUMIF(80:80,G20,81:81)-SUMIF(80:80,C20,81:81)+100</f>
        <v>100</v>
      </c>
      <c r="I19" s="540"/>
      <c r="J19" s="529">
        <f>SUMIF(80:80,I20,81:81)-SUMIF(80:80,C20,81:81)+100</f>
        <v>100</v>
      </c>
      <c r="K19" s="831">
        <v>2</v>
      </c>
      <c r="L19" s="1864"/>
      <c r="M19" s="1856"/>
      <c r="N19" s="1856"/>
      <c r="O19" s="1863"/>
      <c r="P19" s="3878"/>
      <c r="Q19" s="1384" t="str">
        <f>B19</f>
        <v>公共配套设施</v>
      </c>
      <c r="R19" s="1385" t="s">
        <v>8</v>
      </c>
      <c r="S19" s="1386">
        <f>F19</f>
        <v>100</v>
      </c>
      <c r="T19" s="1385" t="s">
        <v>8</v>
      </c>
      <c r="U19" s="1386">
        <f>H19</f>
        <v>100</v>
      </c>
      <c r="V19" s="1385" t="s">
        <v>8</v>
      </c>
      <c r="W19" s="1386">
        <f>J19</f>
        <v>100</v>
      </c>
      <c r="X19" s="1379"/>
      <c r="Y19" s="3878"/>
      <c r="Z19" s="1387" t="str">
        <f>Q19</f>
        <v>公共配套设施</v>
      </c>
      <c r="AA19" s="1388">
        <f t="shared" si="3"/>
        <v>1</v>
      </c>
      <c r="AB19" s="1388">
        <f t="shared" si="4"/>
        <v>1</v>
      </c>
      <c r="AC19" s="1388">
        <f t="shared" si="5"/>
        <v>1</v>
      </c>
    </row>
    <row r="20" spans="1:29" ht="15">
      <c r="A20" s="502"/>
      <c r="B20" s="565"/>
      <c r="C20" s="546" t="s">
        <v>3270</v>
      </c>
      <c r="D20" s="525"/>
      <c r="E20" s="546" t="s">
        <v>3270</v>
      </c>
      <c r="F20" s="527"/>
      <c r="G20" s="546" t="s">
        <v>3270</v>
      </c>
      <c r="H20" s="525"/>
      <c r="I20" s="546" t="s">
        <v>3270</v>
      </c>
      <c r="J20" s="525"/>
      <c r="K20" s="833"/>
      <c r="L20" s="1864"/>
      <c r="M20" s="1856"/>
      <c r="N20" s="1856"/>
      <c r="O20" s="1863"/>
      <c r="P20" s="3878"/>
      <c r="Q20" s="1384"/>
      <c r="R20" s="1385"/>
      <c r="S20" s="1386"/>
      <c r="T20" s="1385"/>
      <c r="U20" s="1386"/>
      <c r="V20" s="1385"/>
      <c r="W20" s="1386"/>
      <c r="X20" s="1379"/>
      <c r="Y20" s="3878"/>
      <c r="Z20" s="1387"/>
      <c r="AA20" s="1388">
        <v>1</v>
      </c>
      <c r="AB20" s="1388">
        <v>1</v>
      </c>
      <c r="AC20" s="1388">
        <v>1</v>
      </c>
    </row>
    <row r="21" spans="1:29" ht="15">
      <c r="A21" s="502"/>
      <c r="B21" s="2200" t="s">
        <v>1841</v>
      </c>
      <c r="C21" s="835">
        <f>估价对象房地状况!C8</f>
        <v>0</v>
      </c>
      <c r="D21" s="535">
        <v>100</v>
      </c>
      <c r="E21" s="542"/>
      <c r="F21" s="541">
        <f>SUMIF(82:82,E22,83:83)-SUMIF(82:82,C22,83:83)+100</f>
        <v>100</v>
      </c>
      <c r="G21" s="542"/>
      <c r="H21" s="535">
        <f>SUMIF(82:82,G22,83:83)-SUMIF(82:82,C22,83:83)+100</f>
        <v>100</v>
      </c>
      <c r="I21" s="540"/>
      <c r="J21" s="535">
        <f>SUMIF(82:82,I22,83:83)-SUMIF(82:82,C22,83:83)+100</f>
        <v>100</v>
      </c>
      <c r="K21" s="831">
        <v>2</v>
      </c>
      <c r="L21" s="1864"/>
      <c r="M21" s="1856"/>
      <c r="N21" s="1856"/>
      <c r="O21" s="1863"/>
      <c r="P21" s="3878"/>
      <c r="Q21" s="2192" t="str">
        <f>B21</f>
        <v>基础设施水平</v>
      </c>
      <c r="R21" s="1385" t="s">
        <v>8</v>
      </c>
      <c r="S21" s="1386">
        <f>F21</f>
        <v>100</v>
      </c>
      <c r="T21" s="1385" t="s">
        <v>8</v>
      </c>
      <c r="U21" s="1386">
        <f>H21</f>
        <v>100</v>
      </c>
      <c r="V21" s="1385" t="s">
        <v>8</v>
      </c>
      <c r="W21" s="1386">
        <f>J21</f>
        <v>100</v>
      </c>
      <c r="X21" s="2194"/>
      <c r="Y21" s="3878"/>
      <c r="Z21" s="2193" t="str">
        <f>Q21</f>
        <v>基础设施水平</v>
      </c>
      <c r="AA21" s="1388">
        <f>D21/F21</f>
        <v>1</v>
      </c>
      <c r="AB21" s="1388">
        <f>D21/H21</f>
        <v>1</v>
      </c>
      <c r="AC21" s="1388">
        <f>D21/J21</f>
        <v>1</v>
      </c>
    </row>
    <row r="22" spans="1:29" ht="15">
      <c r="A22" s="502"/>
      <c r="B22" s="884"/>
      <c r="C22" s="836" t="s">
        <v>3272</v>
      </c>
      <c r="D22" s="525"/>
      <c r="E22" s="836" t="s">
        <v>3272</v>
      </c>
      <c r="F22" s="527"/>
      <c r="G22" s="836" t="s">
        <v>3272</v>
      </c>
      <c r="H22" s="525"/>
      <c r="I22" s="836" t="s">
        <v>3272</v>
      </c>
      <c r="J22" s="525"/>
      <c r="K22" s="2206"/>
      <c r="L22" s="1864"/>
      <c r="M22" s="1856"/>
      <c r="N22" s="1856"/>
      <c r="O22" s="1863"/>
      <c r="P22" s="3878"/>
      <c r="Q22" s="2192"/>
      <c r="R22" s="1385"/>
      <c r="S22" s="1386"/>
      <c r="T22" s="1385"/>
      <c r="U22" s="1386"/>
      <c r="V22" s="1385"/>
      <c r="W22" s="1386"/>
      <c r="X22" s="2194"/>
      <c r="Y22" s="3878"/>
      <c r="Z22" s="2193"/>
      <c r="AA22" s="1388">
        <v>1</v>
      </c>
      <c r="AB22" s="1388">
        <v>1</v>
      </c>
      <c r="AC22" s="1388">
        <v>1</v>
      </c>
    </row>
    <row r="23" spans="1:29" ht="15">
      <c r="A23" s="502"/>
      <c r="B23" s="834" t="s">
        <v>263</v>
      </c>
      <c r="C23" s="835">
        <f>估价对象房地状况!C9</f>
        <v>0</v>
      </c>
      <c r="D23" s="529">
        <v>100</v>
      </c>
      <c r="E23" s="532"/>
      <c r="F23" s="533">
        <f>SUMIF(84:84,E24,85:85)-SUMIF(84:84,C24,85:85)+100</f>
        <v>100</v>
      </c>
      <c r="G23" s="534"/>
      <c r="H23" s="529">
        <f>SUMIF(84:84,G24,85:85)-SUMIF(84:84,C24,85:85)+100</f>
        <v>100</v>
      </c>
      <c r="I23" s="532"/>
      <c r="J23" s="529">
        <f>SUMIF(84:84,I24,85:85)-SUMIF(84:84,C24,85:85)+100</f>
        <v>100</v>
      </c>
      <c r="K23" s="831">
        <v>2</v>
      </c>
      <c r="L23" s="1864"/>
      <c r="M23" s="1856"/>
      <c r="N23" s="1856"/>
      <c r="O23" s="1863"/>
      <c r="P23" s="3878"/>
      <c r="Q23" s="1384" t="str">
        <f>B23</f>
        <v>自然及人文环境</v>
      </c>
      <c r="R23" s="1385" t="s">
        <v>8</v>
      </c>
      <c r="S23" s="1386">
        <f>F23</f>
        <v>100</v>
      </c>
      <c r="T23" s="1385" t="s">
        <v>8</v>
      </c>
      <c r="U23" s="1386">
        <f>H23</f>
        <v>100</v>
      </c>
      <c r="V23" s="1385" t="s">
        <v>8</v>
      </c>
      <c r="W23" s="1386">
        <f>J23</f>
        <v>100</v>
      </c>
      <c r="X23" s="1379"/>
      <c r="Y23" s="3878"/>
      <c r="Z23" s="1387" t="str">
        <f>Q23</f>
        <v>自然及人文环境</v>
      </c>
      <c r="AA23" s="1388">
        <f t="shared" si="3"/>
        <v>1</v>
      </c>
      <c r="AB23" s="1388">
        <f t="shared" si="4"/>
        <v>1</v>
      </c>
      <c r="AC23" s="1388">
        <f t="shared" si="5"/>
        <v>1</v>
      </c>
    </row>
    <row r="24" spans="1:29" ht="15.75" thickBot="1">
      <c r="A24" s="502"/>
      <c r="B24" s="565"/>
      <c r="C24" s="546" t="s">
        <v>3270</v>
      </c>
      <c r="D24" s="525"/>
      <c r="E24" s="546" t="s">
        <v>3270</v>
      </c>
      <c r="F24" s="527"/>
      <c r="G24" s="546" t="s">
        <v>3270</v>
      </c>
      <c r="H24" s="525"/>
      <c r="I24" s="546" t="s">
        <v>3270</v>
      </c>
      <c r="J24" s="525"/>
      <c r="K24" s="833"/>
      <c r="L24" s="1864"/>
      <c r="M24" s="1856"/>
      <c r="N24" s="1856"/>
      <c r="O24" s="1863"/>
      <c r="P24" s="3878"/>
      <c r="Q24" s="1384"/>
      <c r="R24" s="1385"/>
      <c r="S24" s="1386"/>
      <c r="T24" s="1385"/>
      <c r="U24" s="1386"/>
      <c r="V24" s="1385"/>
      <c r="W24" s="1386"/>
      <c r="X24" s="1379"/>
      <c r="Y24" s="3878"/>
      <c r="Z24" s="1387"/>
      <c r="AA24" s="1388">
        <v>1</v>
      </c>
      <c r="AB24" s="1388">
        <v>1</v>
      </c>
      <c r="AC24" s="1388">
        <v>1</v>
      </c>
    </row>
    <row r="25" spans="1:29" ht="15" hidden="1">
      <c r="A25" s="502"/>
      <c r="B25" s="1650" t="s">
        <v>1615</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878"/>
      <c r="Q25" s="1384" t="str">
        <f t="shared" ref="Q25:Q46" si="8">B25</f>
        <v>楼层-1</v>
      </c>
      <c r="R25" s="1385" t="s">
        <v>8</v>
      </c>
      <c r="S25" s="1386">
        <f>F25</f>
        <v>100</v>
      </c>
      <c r="T25" s="1385" t="s">
        <v>8</v>
      </c>
      <c r="U25" s="1386">
        <f>H25</f>
        <v>100</v>
      </c>
      <c r="V25" s="1385" t="s">
        <v>8</v>
      </c>
      <c r="W25" s="1386">
        <f>J25</f>
        <v>100</v>
      </c>
      <c r="X25" s="1379"/>
      <c r="Y25" s="3878"/>
      <c r="Z25" s="1387" t="str">
        <f>Q25</f>
        <v>楼层-1</v>
      </c>
      <c r="AA25" s="1388">
        <f t="shared" si="3"/>
        <v>1</v>
      </c>
      <c r="AB25" s="1388">
        <f t="shared" si="4"/>
        <v>1</v>
      </c>
      <c r="AC25" s="1388">
        <f t="shared" si="5"/>
        <v>1</v>
      </c>
    </row>
    <row r="26" spans="1:29" ht="15" hidden="1">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878"/>
      <c r="Q26" s="1384" t="str">
        <f t="shared" si="8"/>
        <v>朝向</v>
      </c>
      <c r="R26" s="1385" t="s">
        <v>8</v>
      </c>
      <c r="S26" s="1386">
        <f>F26</f>
        <v>100</v>
      </c>
      <c r="T26" s="1385" t="s">
        <v>8</v>
      </c>
      <c r="U26" s="1386">
        <f>H26</f>
        <v>100</v>
      </c>
      <c r="V26" s="1385" t="s">
        <v>8</v>
      </c>
      <c r="W26" s="1386">
        <f>J26</f>
        <v>100</v>
      </c>
      <c r="X26" s="1379"/>
      <c r="Y26" s="3878"/>
      <c r="Z26" s="1387" t="str">
        <f>Q26</f>
        <v>朝向</v>
      </c>
      <c r="AA26" s="1388">
        <f t="shared" si="3"/>
        <v>1</v>
      </c>
      <c r="AB26" s="1388">
        <f t="shared" si="4"/>
        <v>1</v>
      </c>
      <c r="AC26" s="1388">
        <f t="shared" si="5"/>
        <v>1</v>
      </c>
    </row>
    <row r="27" spans="1:29" s="1117" customFormat="1" ht="15" hidden="1">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878"/>
      <c r="Q27" s="1049" t="str">
        <f t="shared" si="8"/>
        <v>道路级别</v>
      </c>
      <c r="R27" s="1380" t="s">
        <v>8</v>
      </c>
      <c r="S27" s="1381">
        <f>F27</f>
        <v>100</v>
      </c>
      <c r="T27" s="1380" t="s">
        <v>8</v>
      </c>
      <c r="U27" s="1381">
        <f>H27</f>
        <v>100</v>
      </c>
      <c r="V27" s="1380" t="s">
        <v>8</v>
      </c>
      <c r="W27" s="1381">
        <f>J27</f>
        <v>100</v>
      </c>
      <c r="X27" s="1382"/>
      <c r="Y27" s="3878"/>
      <c r="Z27" s="1048" t="str">
        <f>Q27</f>
        <v>道路级别</v>
      </c>
      <c r="AA27" s="1388">
        <f>D27/F27</f>
        <v>1</v>
      </c>
      <c r="AB27" s="1388">
        <f>D27/H27</f>
        <v>1</v>
      </c>
      <c r="AC27" s="1388">
        <f>D27/J27</f>
        <v>1</v>
      </c>
    </row>
    <row r="28" spans="1:29" ht="15" hidden="1">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878"/>
      <c r="Q28" s="1384">
        <f t="shared" si="8"/>
        <v>111</v>
      </c>
      <c r="R28" s="1385" t="s">
        <v>8</v>
      </c>
      <c r="S28" s="1386">
        <f t="shared" ref="S28:S46" si="9">F28</f>
        <v>100</v>
      </c>
      <c r="T28" s="1385" t="s">
        <v>8</v>
      </c>
      <c r="U28" s="1386">
        <f t="shared" ref="U28:U46" si="10">H28</f>
        <v>100</v>
      </c>
      <c r="V28" s="1385" t="s">
        <v>8</v>
      </c>
      <c r="W28" s="1386">
        <f t="shared" ref="W28:W46" si="11">J28</f>
        <v>100</v>
      </c>
      <c r="X28" s="1379"/>
      <c r="Y28" s="3878"/>
      <c r="Z28" s="1387">
        <f t="shared" ref="Z28:Z46" si="12">Q28</f>
        <v>111</v>
      </c>
      <c r="AA28" s="1388">
        <f t="shared" si="3"/>
        <v>1</v>
      </c>
      <c r="AB28" s="1388">
        <f t="shared" si="4"/>
        <v>1</v>
      </c>
      <c r="AC28" s="1388">
        <f t="shared" si="5"/>
        <v>1</v>
      </c>
    </row>
    <row r="29" spans="1:29" ht="15" hidden="1">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878"/>
      <c r="Q29" s="1384">
        <f t="shared" si="8"/>
        <v>111</v>
      </c>
      <c r="R29" s="1385" t="s">
        <v>8</v>
      </c>
      <c r="S29" s="1386">
        <f t="shared" si="9"/>
        <v>100</v>
      </c>
      <c r="T29" s="1385" t="s">
        <v>8</v>
      </c>
      <c r="U29" s="1386">
        <f t="shared" si="10"/>
        <v>100</v>
      </c>
      <c r="V29" s="1385" t="s">
        <v>8</v>
      </c>
      <c r="W29" s="1386">
        <f t="shared" si="11"/>
        <v>100</v>
      </c>
      <c r="X29" s="1379"/>
      <c r="Y29" s="3878"/>
      <c r="Z29" s="1387">
        <f t="shared" si="12"/>
        <v>111</v>
      </c>
      <c r="AA29" s="1388">
        <f t="shared" si="3"/>
        <v>1</v>
      </c>
      <c r="AB29" s="1388">
        <f t="shared" si="4"/>
        <v>1</v>
      </c>
      <c r="AC29" s="1388">
        <f t="shared" si="5"/>
        <v>1</v>
      </c>
    </row>
    <row r="30" spans="1:29" ht="15" hidden="1">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878"/>
      <c r="Q30" s="1384">
        <f t="shared" si="8"/>
        <v>111</v>
      </c>
      <c r="R30" s="1385" t="s">
        <v>8</v>
      </c>
      <c r="S30" s="1386">
        <f t="shared" si="9"/>
        <v>100</v>
      </c>
      <c r="T30" s="1385" t="s">
        <v>8</v>
      </c>
      <c r="U30" s="1386">
        <f t="shared" si="10"/>
        <v>100</v>
      </c>
      <c r="V30" s="1385" t="s">
        <v>8</v>
      </c>
      <c r="W30" s="1386">
        <f t="shared" si="11"/>
        <v>100</v>
      </c>
      <c r="X30" s="1379"/>
      <c r="Y30" s="3878"/>
      <c r="Z30" s="1387">
        <f t="shared" si="12"/>
        <v>111</v>
      </c>
      <c r="AA30" s="1388">
        <f t="shared" si="3"/>
        <v>1</v>
      </c>
      <c r="AB30" s="1388">
        <f t="shared" si="4"/>
        <v>1</v>
      </c>
      <c r="AC30" s="1388">
        <f t="shared" si="5"/>
        <v>1</v>
      </c>
    </row>
    <row r="31" spans="1:29" ht="15.75" hidden="1"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878"/>
      <c r="Q31" s="1384">
        <f t="shared" si="8"/>
        <v>111</v>
      </c>
      <c r="R31" s="1385" t="s">
        <v>8</v>
      </c>
      <c r="S31" s="1386">
        <f t="shared" si="9"/>
        <v>100</v>
      </c>
      <c r="T31" s="1385" t="s">
        <v>8</v>
      </c>
      <c r="U31" s="1386">
        <f t="shared" si="10"/>
        <v>100</v>
      </c>
      <c r="V31" s="1385" t="s">
        <v>8</v>
      </c>
      <c r="W31" s="1386">
        <f t="shared" si="11"/>
        <v>100</v>
      </c>
      <c r="X31" s="1379"/>
      <c r="Y31" s="3878"/>
      <c r="Z31" s="1387">
        <f t="shared" si="12"/>
        <v>111</v>
      </c>
      <c r="AA31" s="1388">
        <f t="shared" si="3"/>
        <v>1</v>
      </c>
      <c r="AB31" s="1388">
        <f t="shared" si="4"/>
        <v>1</v>
      </c>
      <c r="AC31" s="1388">
        <f t="shared" si="5"/>
        <v>1</v>
      </c>
    </row>
    <row r="32" spans="1:29" ht="15">
      <c r="A32" s="2386" t="s">
        <v>2037</v>
      </c>
      <c r="B32" s="165" t="s">
        <v>672</v>
      </c>
      <c r="C32" s="841" t="s">
        <v>3275</v>
      </c>
      <c r="D32" s="567">
        <v>100</v>
      </c>
      <c r="E32" s="841" t="s">
        <v>3275</v>
      </c>
      <c r="F32" s="545">
        <f>SUMIF(100:100,E32,101:101)-SUMIF(100:100,C32,101:101)+100</f>
        <v>100</v>
      </c>
      <c r="G32" s="841" t="s">
        <v>3275</v>
      </c>
      <c r="H32" s="567">
        <f>SUMIF(100:100,G32,101:101)-SUMIF(100:100,C32,101:101)+100</f>
        <v>100</v>
      </c>
      <c r="I32" s="841" t="s">
        <v>3275</v>
      </c>
      <c r="J32" s="510">
        <f>SUMIF(100:100,I32,101:101)-SUMIF(100:100,C32,101:101)+100</f>
        <v>100</v>
      </c>
      <c r="K32" s="827">
        <v>5</v>
      </c>
      <c r="L32" s="1864"/>
      <c r="M32" s="1856"/>
      <c r="N32" s="1856"/>
      <c r="O32" s="1863"/>
      <c r="P32" s="3879" t="s">
        <v>499</v>
      </c>
      <c r="Q32" s="1384" t="str">
        <f t="shared" si="8"/>
        <v>建筑类型</v>
      </c>
      <c r="R32" s="1385" t="s">
        <v>8</v>
      </c>
      <c r="S32" s="1386">
        <f t="shared" si="9"/>
        <v>100</v>
      </c>
      <c r="T32" s="1385" t="s">
        <v>8</v>
      </c>
      <c r="U32" s="1386">
        <f t="shared" si="10"/>
        <v>100</v>
      </c>
      <c r="V32" s="1385" t="s">
        <v>8</v>
      </c>
      <c r="W32" s="1386">
        <f t="shared" si="11"/>
        <v>100</v>
      </c>
      <c r="X32" s="1379"/>
      <c r="Y32" s="3880" t="s">
        <v>499</v>
      </c>
      <c r="Z32" s="1387" t="str">
        <f t="shared" si="12"/>
        <v>建筑类型</v>
      </c>
      <c r="AA32" s="1388">
        <f t="shared" si="3"/>
        <v>1</v>
      </c>
      <c r="AB32" s="1388">
        <f t="shared" si="4"/>
        <v>1</v>
      </c>
      <c r="AC32" s="1388">
        <f t="shared" si="5"/>
        <v>1</v>
      </c>
    </row>
    <row r="33" spans="1:29" s="1199" customFormat="1" ht="15">
      <c r="A33" s="573"/>
      <c r="B33" s="497" t="s">
        <v>673</v>
      </c>
      <c r="C33" s="842">
        <f>'数据-汇总表'!E3</f>
        <v>59771.28</v>
      </c>
      <c r="D33" s="246">
        <v>100</v>
      </c>
      <c r="E33" s="842">
        <v>280168</v>
      </c>
      <c r="F33" s="826">
        <f>LOOKUP(E33,103:103,104:104)-LOOKUP(C33,103:103,104:104)+100</f>
        <v>100</v>
      </c>
      <c r="G33" s="842">
        <v>189989</v>
      </c>
      <c r="H33" s="246">
        <f>LOOKUP(G33,103:103,104:104)-LOOKUP(C33,103:103,104:104)+100</f>
        <v>100</v>
      </c>
      <c r="I33" s="842">
        <v>178342.9</v>
      </c>
      <c r="J33" s="246">
        <f>LOOKUP(I33,103:103,104:104)-LOOKUP(C33,103:103,104:104)+100</f>
        <v>100</v>
      </c>
      <c r="K33" s="828"/>
      <c r="L33" s="1862"/>
      <c r="M33" s="1892"/>
      <c r="N33" s="1892"/>
      <c r="O33" s="1865"/>
      <c r="P33" s="3880"/>
      <c r="Q33" s="1413" t="str">
        <f t="shared" si="8"/>
        <v>项目建筑规模</v>
      </c>
      <c r="R33" s="1389" t="s">
        <v>8</v>
      </c>
      <c r="S33" s="1390">
        <f t="shared" si="9"/>
        <v>100</v>
      </c>
      <c r="T33" s="1389" t="s">
        <v>8</v>
      </c>
      <c r="U33" s="1390">
        <f t="shared" si="10"/>
        <v>100</v>
      </c>
      <c r="V33" s="1389" t="s">
        <v>8</v>
      </c>
      <c r="W33" s="1390">
        <f t="shared" si="11"/>
        <v>100</v>
      </c>
      <c r="X33" s="1391"/>
      <c r="Y33" s="3880"/>
      <c r="Z33" s="1392" t="str">
        <f t="shared" si="12"/>
        <v>项目建筑规模</v>
      </c>
      <c r="AA33" s="1388">
        <f t="shared" si="3"/>
        <v>1</v>
      </c>
      <c r="AB33" s="1388">
        <f t="shared" si="4"/>
        <v>1</v>
      </c>
      <c r="AC33" s="1388">
        <f t="shared" si="5"/>
        <v>1</v>
      </c>
    </row>
    <row r="34" spans="1:29" ht="15">
      <c r="A34" s="564"/>
      <c r="B34" s="497" t="s">
        <v>674</v>
      </c>
      <c r="C34" s="843" t="s">
        <v>3277</v>
      </c>
      <c r="D34" s="510">
        <v>100</v>
      </c>
      <c r="E34" s="843" t="s">
        <v>3277</v>
      </c>
      <c r="F34" s="545">
        <f>SUMIF(105:105,E34,106:106)-SUMIF(105:105,C34,106:106)+100</f>
        <v>100</v>
      </c>
      <c r="G34" s="843" t="s">
        <v>3277</v>
      </c>
      <c r="H34" s="510">
        <f>SUMIF(105:105,G34,106:106)-SUMIF(105:105,C34,106:106)+100</f>
        <v>100</v>
      </c>
      <c r="I34" s="843" t="s">
        <v>3277</v>
      </c>
      <c r="J34" s="510">
        <f>SUMIF(105:105,I34,106:106)-SUMIF(105:105,C34,106:106)+100</f>
        <v>100</v>
      </c>
      <c r="K34" s="827">
        <v>1</v>
      </c>
      <c r="L34" s="1864"/>
      <c r="M34" s="1856"/>
      <c r="N34" s="1856"/>
      <c r="O34" s="1863"/>
      <c r="P34" s="3880"/>
      <c r="Q34" s="1384" t="str">
        <f t="shared" si="8"/>
        <v>建筑结构</v>
      </c>
      <c r="R34" s="1385" t="s">
        <v>8</v>
      </c>
      <c r="S34" s="1386">
        <f t="shared" si="9"/>
        <v>100</v>
      </c>
      <c r="T34" s="1385" t="s">
        <v>8</v>
      </c>
      <c r="U34" s="1386">
        <f t="shared" si="10"/>
        <v>100</v>
      </c>
      <c r="V34" s="1385" t="s">
        <v>8</v>
      </c>
      <c r="W34" s="1386">
        <f t="shared" si="11"/>
        <v>100</v>
      </c>
      <c r="X34" s="1379"/>
      <c r="Y34" s="3880"/>
      <c r="Z34" s="1387" t="str">
        <f t="shared" si="12"/>
        <v>建筑结构</v>
      </c>
      <c r="AA34" s="1388">
        <f t="shared" si="3"/>
        <v>1</v>
      </c>
      <c r="AB34" s="1388">
        <f t="shared" si="4"/>
        <v>1</v>
      </c>
      <c r="AC34" s="1388">
        <f t="shared" si="5"/>
        <v>1</v>
      </c>
    </row>
    <row r="35" spans="1:29" ht="15">
      <c r="A35" s="564"/>
      <c r="B35" s="497" t="s">
        <v>675</v>
      </c>
      <c r="C35" s="569" t="s">
        <v>3279</v>
      </c>
      <c r="D35" s="510">
        <v>100</v>
      </c>
      <c r="E35" s="569" t="s">
        <v>3279</v>
      </c>
      <c r="F35" s="545">
        <f>SUMIF(107:107,E35,108:108)-SUMIF(107:107,C35,108:108)+100</f>
        <v>100</v>
      </c>
      <c r="G35" s="569" t="s">
        <v>3279</v>
      </c>
      <c r="H35" s="510">
        <f>SUMIF(107:107,G35,108:108)-SUMIF(107:107,C35,108:108)+100</f>
        <v>100</v>
      </c>
      <c r="I35" s="569" t="s">
        <v>3279</v>
      </c>
      <c r="J35" s="510">
        <f>SUMIF(107:107,I35,108:108)-SUMIF(107:107,C35,108:108)+100</f>
        <v>100</v>
      </c>
      <c r="K35" s="827">
        <v>1</v>
      </c>
      <c r="L35" s="1864"/>
      <c r="M35" s="1856"/>
      <c r="N35" s="1856"/>
      <c r="O35" s="1863"/>
      <c r="P35" s="3880"/>
      <c r="Q35" s="1384" t="str">
        <f t="shared" si="8"/>
        <v>建筑品质</v>
      </c>
      <c r="R35" s="1385" t="s">
        <v>8</v>
      </c>
      <c r="S35" s="1386">
        <f t="shared" si="9"/>
        <v>100</v>
      </c>
      <c r="T35" s="1385" t="s">
        <v>8</v>
      </c>
      <c r="U35" s="1386">
        <f t="shared" si="10"/>
        <v>100</v>
      </c>
      <c r="V35" s="1385" t="s">
        <v>8</v>
      </c>
      <c r="W35" s="1386">
        <f t="shared" si="11"/>
        <v>100</v>
      </c>
      <c r="X35" s="1379"/>
      <c r="Y35" s="3880"/>
      <c r="Z35" s="1387" t="str">
        <f t="shared" si="12"/>
        <v>建筑品质</v>
      </c>
      <c r="AA35" s="1388">
        <f t="shared" si="3"/>
        <v>1</v>
      </c>
      <c r="AB35" s="1388">
        <f t="shared" si="4"/>
        <v>1</v>
      </c>
      <c r="AC35" s="1388">
        <f t="shared" si="5"/>
        <v>1</v>
      </c>
    </row>
    <row r="36" spans="1:29" ht="15">
      <c r="A36" s="564"/>
      <c r="B36" s="497" t="s">
        <v>676</v>
      </c>
      <c r="C36" s="569"/>
      <c r="D36" s="510">
        <v>100</v>
      </c>
      <c r="E36" s="569"/>
      <c r="F36" s="545">
        <f>SUMIF(109:109,E36,110:110)-SUMIF(109:109,C36,110:110)+100</f>
        <v>100</v>
      </c>
      <c r="G36" s="569"/>
      <c r="H36" s="510">
        <f>SUMIF(109:109,G36,110:110)-SUMIF(109:109,C36,110:110)+100</f>
        <v>100</v>
      </c>
      <c r="I36" s="569"/>
      <c r="J36" s="510">
        <f>SUMIF(109:109,I36,110:110)-SUMIF(109:109,C36,110:110)+100</f>
        <v>100</v>
      </c>
      <c r="K36" s="827">
        <v>1</v>
      </c>
      <c r="L36" s="1864"/>
      <c r="M36" s="1856"/>
      <c r="N36" s="1856"/>
      <c r="O36" s="1863"/>
      <c r="P36" s="3880"/>
      <c r="Q36" s="1384" t="str">
        <f t="shared" si="8"/>
        <v>公共部分装修</v>
      </c>
      <c r="R36" s="1385" t="s">
        <v>8</v>
      </c>
      <c r="S36" s="1386">
        <f t="shared" si="9"/>
        <v>100</v>
      </c>
      <c r="T36" s="1385" t="s">
        <v>8</v>
      </c>
      <c r="U36" s="1386">
        <f t="shared" si="10"/>
        <v>100</v>
      </c>
      <c r="V36" s="1385" t="s">
        <v>8</v>
      </c>
      <c r="W36" s="1386">
        <f t="shared" si="11"/>
        <v>100</v>
      </c>
      <c r="X36" s="1379"/>
      <c r="Y36" s="3880"/>
      <c r="Z36" s="1387" t="str">
        <f t="shared" si="12"/>
        <v>公共部分装修</v>
      </c>
      <c r="AA36" s="1388">
        <f t="shared" si="3"/>
        <v>1</v>
      </c>
      <c r="AB36" s="1388">
        <f t="shared" si="4"/>
        <v>1</v>
      </c>
      <c r="AC36" s="1388">
        <f t="shared" si="5"/>
        <v>1</v>
      </c>
    </row>
    <row r="37" spans="1:29" s="1117" customFormat="1" ht="15">
      <c r="A37" s="570"/>
      <c r="B37" s="497" t="s">
        <v>677</v>
      </c>
      <c r="C37" s="845">
        <v>1</v>
      </c>
      <c r="D37" s="246">
        <v>100</v>
      </c>
      <c r="E37" s="845">
        <v>1</v>
      </c>
      <c r="F37" s="826">
        <f>LOOKUP(E37,112:112,113:113)-LOOKUP(C37,112:112,113:113)+100</f>
        <v>100</v>
      </c>
      <c r="G37" s="845">
        <v>1</v>
      </c>
      <c r="H37" s="246">
        <f>LOOKUP(G37,112:112,113:113)-LOOKUP(C37,112:112,113:113)+100</f>
        <v>100</v>
      </c>
      <c r="I37" s="845">
        <v>1</v>
      </c>
      <c r="J37" s="246">
        <f>LOOKUP(I37,112:112,113:113)-LOOKUP(C37,112:112,113:113)+100</f>
        <v>100</v>
      </c>
      <c r="K37" s="827">
        <v>1</v>
      </c>
      <c r="L37" s="1857"/>
      <c r="M37" s="1858"/>
      <c r="N37" s="1858"/>
      <c r="O37" s="1859"/>
      <c r="P37" s="3880"/>
      <c r="Q37" s="1049" t="str">
        <f t="shared" si="8"/>
        <v>成新度</v>
      </c>
      <c r="R37" s="1380" t="s">
        <v>8</v>
      </c>
      <c r="S37" s="1381">
        <f t="shared" si="9"/>
        <v>100</v>
      </c>
      <c r="T37" s="1380" t="s">
        <v>8</v>
      </c>
      <c r="U37" s="1381">
        <f t="shared" si="10"/>
        <v>100</v>
      </c>
      <c r="V37" s="1380" t="s">
        <v>8</v>
      </c>
      <c r="W37" s="1381">
        <f t="shared" si="11"/>
        <v>100</v>
      </c>
      <c r="X37" s="1382"/>
      <c r="Y37" s="3880"/>
      <c r="Z37" s="1048" t="str">
        <f t="shared" si="12"/>
        <v>成新度</v>
      </c>
      <c r="AA37" s="1383">
        <f t="shared" si="3"/>
        <v>1</v>
      </c>
      <c r="AB37" s="1383">
        <f t="shared" si="4"/>
        <v>1</v>
      </c>
      <c r="AC37" s="1383">
        <f t="shared" si="5"/>
        <v>1</v>
      </c>
    </row>
    <row r="38" spans="1:29" ht="15">
      <c r="A38" s="564"/>
      <c r="B38" s="497" t="s">
        <v>678</v>
      </c>
      <c r="C38" s="569" t="s">
        <v>3282</v>
      </c>
      <c r="D38" s="510">
        <v>100</v>
      </c>
      <c r="E38" s="569" t="s">
        <v>3282</v>
      </c>
      <c r="F38" s="545">
        <f>SUMIF(114:114,E38,115:115)-SUMIF(114:114,C38,115:115)+100</f>
        <v>100</v>
      </c>
      <c r="G38" s="569" t="s">
        <v>3282</v>
      </c>
      <c r="H38" s="510">
        <f>SUMIF(114:114,G38,115:115)-SUMIF(114:114,C38,115:115)+100</f>
        <v>100</v>
      </c>
      <c r="I38" s="569" t="s">
        <v>3282</v>
      </c>
      <c r="J38" s="510">
        <f>SUMIF(114:114,I38,115:115)-SUMIF(114:114,C38,115:115)+100</f>
        <v>100</v>
      </c>
      <c r="K38" s="827">
        <v>1</v>
      </c>
      <c r="L38" s="1864"/>
      <c r="M38" s="1856"/>
      <c r="N38" s="1856"/>
      <c r="O38" s="1863"/>
      <c r="P38" s="3880" t="s">
        <v>499</v>
      </c>
      <c r="Q38" s="1384" t="str">
        <f t="shared" si="8"/>
        <v>物业管理</v>
      </c>
      <c r="R38" s="1385" t="s">
        <v>8</v>
      </c>
      <c r="S38" s="1386">
        <f t="shared" si="9"/>
        <v>100</v>
      </c>
      <c r="T38" s="1385" t="s">
        <v>8</v>
      </c>
      <c r="U38" s="1386">
        <f t="shared" si="10"/>
        <v>100</v>
      </c>
      <c r="V38" s="1385" t="s">
        <v>8</v>
      </c>
      <c r="W38" s="1386">
        <f t="shared" si="11"/>
        <v>100</v>
      </c>
      <c r="X38" s="1379"/>
      <c r="Y38" s="3880" t="s">
        <v>499</v>
      </c>
      <c r="Z38" s="1387" t="str">
        <f t="shared" si="12"/>
        <v>物业管理</v>
      </c>
      <c r="AA38" s="1388">
        <f t="shared" si="3"/>
        <v>1</v>
      </c>
      <c r="AB38" s="1388">
        <f t="shared" si="4"/>
        <v>1</v>
      </c>
      <c r="AC38" s="1388">
        <f t="shared" si="5"/>
        <v>1</v>
      </c>
    </row>
    <row r="39" spans="1:29" ht="15">
      <c r="A39" s="564"/>
      <c r="B39" s="1650" t="s">
        <v>1847</v>
      </c>
      <c r="C39" s="569" t="s">
        <v>3272</v>
      </c>
      <c r="D39" s="510">
        <v>100</v>
      </c>
      <c r="E39" s="569" t="s">
        <v>3272</v>
      </c>
      <c r="F39" s="545">
        <f>SUMIF(116:116,E39,117:117)-SUMIF(116:116,C39,117:117)+100</f>
        <v>100</v>
      </c>
      <c r="G39" s="569" t="s">
        <v>3272</v>
      </c>
      <c r="H39" s="510">
        <f>SUMIF(116:116,G39,117:117)-SUMIF(116:116,C39,117:117)+100</f>
        <v>100</v>
      </c>
      <c r="I39" s="569" t="s">
        <v>3272</v>
      </c>
      <c r="J39" s="510">
        <f>SUMIF(116:116,I39,117:117)-SUMIF(116:116,C39,117:117)+100</f>
        <v>100</v>
      </c>
      <c r="K39" s="827">
        <v>1</v>
      </c>
      <c r="L39" s="1864"/>
      <c r="M39" s="1856"/>
      <c r="N39" s="1856"/>
      <c r="O39" s="1863"/>
      <c r="P39" s="3880"/>
      <c r="Q39" s="1384" t="str">
        <f t="shared" si="8"/>
        <v>市政基础设施</v>
      </c>
      <c r="R39" s="1385" t="s">
        <v>8</v>
      </c>
      <c r="S39" s="1386">
        <f t="shared" si="9"/>
        <v>100</v>
      </c>
      <c r="T39" s="1385" t="s">
        <v>8</v>
      </c>
      <c r="U39" s="1386">
        <f t="shared" si="10"/>
        <v>100</v>
      </c>
      <c r="V39" s="1385" t="s">
        <v>8</v>
      </c>
      <c r="W39" s="1386">
        <f t="shared" si="11"/>
        <v>100</v>
      </c>
      <c r="X39" s="1379"/>
      <c r="Y39" s="3880"/>
      <c r="Z39" s="1387" t="str">
        <f t="shared" si="12"/>
        <v>市政基础设施</v>
      </c>
      <c r="AA39" s="1388">
        <f t="shared" si="3"/>
        <v>1</v>
      </c>
      <c r="AB39" s="1388">
        <f t="shared" si="4"/>
        <v>1</v>
      </c>
      <c r="AC39" s="1388">
        <f t="shared" si="5"/>
        <v>1</v>
      </c>
    </row>
    <row r="40" spans="1:29" ht="15">
      <c r="A40" s="564"/>
      <c r="B40" s="497" t="s">
        <v>679</v>
      </c>
      <c r="C40" s="569" t="s">
        <v>3285</v>
      </c>
      <c r="D40" s="510">
        <v>100</v>
      </c>
      <c r="E40" s="569" t="s">
        <v>3285</v>
      </c>
      <c r="F40" s="545">
        <f>SUMIF(118:118,E40,119:119)-SUMIF(118:118,C40,119:119)+100</f>
        <v>100</v>
      </c>
      <c r="G40" s="569" t="s">
        <v>3285</v>
      </c>
      <c r="H40" s="510">
        <f>SUMIF(118:118,G40,119:119)-SUMIF(118:118,C40,119:119)+100</f>
        <v>100</v>
      </c>
      <c r="I40" s="569" t="s">
        <v>3285</v>
      </c>
      <c r="J40" s="510">
        <f>SUMIF(118:118,I40,119:119)-SUMIF(118:118,C40,119:119)+100</f>
        <v>100</v>
      </c>
      <c r="K40" s="827">
        <v>1</v>
      </c>
      <c r="L40" s="1864"/>
      <c r="M40" s="1856"/>
      <c r="N40" s="1856"/>
      <c r="O40" s="1863"/>
      <c r="P40" s="3880"/>
      <c r="Q40" s="1384" t="str">
        <f t="shared" si="8"/>
        <v>房型</v>
      </c>
      <c r="R40" s="1385" t="s">
        <v>8</v>
      </c>
      <c r="S40" s="1386">
        <f t="shared" si="9"/>
        <v>100</v>
      </c>
      <c r="T40" s="1385" t="s">
        <v>8</v>
      </c>
      <c r="U40" s="1386">
        <f t="shared" si="10"/>
        <v>100</v>
      </c>
      <c r="V40" s="1385" t="s">
        <v>8</v>
      </c>
      <c r="W40" s="1386">
        <f t="shared" si="11"/>
        <v>100</v>
      </c>
      <c r="X40" s="1379"/>
      <c r="Y40" s="3880"/>
      <c r="Z40" s="1387" t="str">
        <f t="shared" si="12"/>
        <v>房型</v>
      </c>
      <c r="AA40" s="1388">
        <f t="shared" si="3"/>
        <v>1</v>
      </c>
      <c r="AB40" s="1388">
        <f t="shared" si="4"/>
        <v>1</v>
      </c>
      <c r="AC40" s="1388">
        <f t="shared" si="5"/>
        <v>1</v>
      </c>
    </row>
    <row r="41" spans="1:29" s="1199" customFormat="1" ht="28.5">
      <c r="A41" s="573"/>
      <c r="B41" s="497" t="s">
        <v>680</v>
      </c>
      <c r="C41" s="842"/>
      <c r="D41" s="246">
        <v>100</v>
      </c>
      <c r="E41" s="842"/>
      <c r="F41" s="826">
        <f>SUMIF(120:120,E41,121:121)-SUMIF(120:120,C41,121:121)+100</f>
        <v>100</v>
      </c>
      <c r="G41" s="842"/>
      <c r="H41" s="246">
        <f>SUMIF(120:120,G41,121:121)-SUMIF(120:120,C41,121:121)+100</f>
        <v>100</v>
      </c>
      <c r="I41" s="842"/>
      <c r="J41" s="510">
        <f>SUMIF(120:120,I41,121:121)-SUMIF(120:120,C41,121:121)+100</f>
        <v>100</v>
      </c>
      <c r="K41" s="828"/>
      <c r="L41" s="1862"/>
      <c r="M41" s="1892"/>
      <c r="N41" s="1892"/>
      <c r="O41" s="1865"/>
      <c r="P41" s="3880"/>
      <c r="Q41" s="1413" t="str">
        <f t="shared" si="8"/>
        <v>单套/主力户型建筑面积</v>
      </c>
      <c r="R41" s="1389" t="s">
        <v>8</v>
      </c>
      <c r="S41" s="1390">
        <f t="shared" si="9"/>
        <v>100</v>
      </c>
      <c r="T41" s="1389" t="s">
        <v>8</v>
      </c>
      <c r="U41" s="1390">
        <f t="shared" si="10"/>
        <v>100</v>
      </c>
      <c r="V41" s="1389" t="s">
        <v>8</v>
      </c>
      <c r="W41" s="1390">
        <f t="shared" si="11"/>
        <v>100</v>
      </c>
      <c r="X41" s="1391"/>
      <c r="Y41" s="3880"/>
      <c r="Z41" s="1392" t="str">
        <f t="shared" si="12"/>
        <v>单套/主力户型建筑面积</v>
      </c>
      <c r="AA41" s="1388">
        <f t="shared" si="3"/>
        <v>1</v>
      </c>
      <c r="AB41" s="1388">
        <f t="shared" si="4"/>
        <v>1</v>
      </c>
      <c r="AC41" s="1388">
        <f t="shared" si="5"/>
        <v>1</v>
      </c>
    </row>
    <row r="42" spans="1:29" ht="15">
      <c r="A42" s="564"/>
      <c r="B42" s="497" t="s">
        <v>681</v>
      </c>
      <c r="C42" s="569" t="s">
        <v>3287</v>
      </c>
      <c r="D42" s="510">
        <v>100</v>
      </c>
      <c r="E42" s="569" t="s">
        <v>3287</v>
      </c>
      <c r="F42" s="545">
        <f>SUMIF(122:122,E42,123:123)-SUMIF(122:122,C42,123:123)+100</f>
        <v>100</v>
      </c>
      <c r="G42" s="569" t="s">
        <v>3287</v>
      </c>
      <c r="H42" s="510">
        <f>SUMIF(122:122,G42,123:123)-SUMIF(122:122,C42,123:123)+100</f>
        <v>100</v>
      </c>
      <c r="I42" s="569" t="s">
        <v>3287</v>
      </c>
      <c r="J42" s="510">
        <f>SUMIF(122:122,I42,123:123)-SUMIF(122:122,C42,123:123)+100</f>
        <v>100</v>
      </c>
      <c r="K42" s="827">
        <v>1</v>
      </c>
      <c r="L42" s="1864"/>
      <c r="M42" s="1856"/>
      <c r="N42" s="1856"/>
      <c r="O42" s="1863"/>
      <c r="P42" s="3880"/>
      <c r="Q42" s="1384" t="str">
        <f t="shared" si="8"/>
        <v>内部装修</v>
      </c>
      <c r="R42" s="1385" t="s">
        <v>8</v>
      </c>
      <c r="S42" s="1386">
        <f t="shared" si="9"/>
        <v>100</v>
      </c>
      <c r="T42" s="1385" t="s">
        <v>8</v>
      </c>
      <c r="U42" s="1386">
        <f t="shared" si="10"/>
        <v>100</v>
      </c>
      <c r="V42" s="1385" t="s">
        <v>8</v>
      </c>
      <c r="W42" s="1386">
        <f t="shared" si="11"/>
        <v>100</v>
      </c>
      <c r="X42" s="1379"/>
      <c r="Y42" s="3880"/>
      <c r="Z42" s="1387" t="str">
        <f t="shared" si="12"/>
        <v>内部装修</v>
      </c>
      <c r="AA42" s="1388">
        <f t="shared" si="3"/>
        <v>1</v>
      </c>
      <c r="AB42" s="1388">
        <f t="shared" si="4"/>
        <v>1</v>
      </c>
      <c r="AC42" s="1388">
        <f t="shared" si="5"/>
        <v>1</v>
      </c>
    </row>
    <row r="43" spans="1:29" ht="27.75" thickBot="1">
      <c r="A43" s="564"/>
      <c r="B43" s="497" t="s">
        <v>682</v>
      </c>
      <c r="C43" s="569" t="s">
        <v>3270</v>
      </c>
      <c r="D43" s="510">
        <v>100</v>
      </c>
      <c r="E43" s="569" t="s">
        <v>3270</v>
      </c>
      <c r="F43" s="545">
        <f>SUMIF(124:124,E43,125:125)-SUMIF(124:124,C43,125:125)+100</f>
        <v>100</v>
      </c>
      <c r="G43" s="569" t="s">
        <v>3270</v>
      </c>
      <c r="H43" s="510">
        <f>SUMIF(124:124,G43,125:125)-SUMIF(124:124,C43,125:125)+100</f>
        <v>100</v>
      </c>
      <c r="I43" s="569" t="s">
        <v>3270</v>
      </c>
      <c r="J43" s="510">
        <f>SUMIF(124:124,I43,125:125)-SUMIF(124:124,C43,125:125)+100</f>
        <v>100</v>
      </c>
      <c r="K43" s="827">
        <v>1</v>
      </c>
      <c r="L43" s="1864"/>
      <c r="M43" s="1856"/>
      <c r="N43" s="1856"/>
      <c r="O43" s="1863"/>
      <c r="P43" s="3880"/>
      <c r="Q43" s="1384" t="str">
        <f t="shared" si="8"/>
        <v>内部装修维护情况</v>
      </c>
      <c r="R43" s="1385" t="s">
        <v>8</v>
      </c>
      <c r="S43" s="1386">
        <f t="shared" si="9"/>
        <v>100</v>
      </c>
      <c r="T43" s="1385" t="s">
        <v>8</v>
      </c>
      <c r="U43" s="1386">
        <f t="shared" si="10"/>
        <v>100</v>
      </c>
      <c r="V43" s="1385" t="s">
        <v>8</v>
      </c>
      <c r="W43" s="1386">
        <f t="shared" si="11"/>
        <v>100</v>
      </c>
      <c r="X43" s="1379"/>
      <c r="Y43" s="3880"/>
      <c r="Z43" s="1387" t="str">
        <f t="shared" si="12"/>
        <v>内部装修维护情况</v>
      </c>
      <c r="AA43" s="1388">
        <f t="shared" si="3"/>
        <v>1</v>
      </c>
      <c r="AB43" s="1388">
        <f t="shared" si="4"/>
        <v>1</v>
      </c>
      <c r="AC43" s="1388">
        <f t="shared" si="5"/>
        <v>1</v>
      </c>
    </row>
    <row r="44" spans="1:29" s="1117" customFormat="1" ht="15" hidden="1">
      <c r="A44" s="570"/>
      <c r="B44" s="840">
        <v>111</v>
      </c>
      <c r="C44" s="842"/>
      <c r="D44" s="246">
        <v>100</v>
      </c>
      <c r="E44" s="842"/>
      <c r="F44" s="826">
        <f>SUMIF(126:126,E44,127:127)-SUMIF(126:126,C44,127:127)+100</f>
        <v>100</v>
      </c>
      <c r="G44" s="842"/>
      <c r="H44" s="246">
        <f>SUMIF(126:126,G44,127:127)-SUMIF(126:126,C44,127:127)+100</f>
        <v>100</v>
      </c>
      <c r="I44" s="842"/>
      <c r="J44" s="246">
        <f>SUMIF(126:126,I44,127:127)-SUMIF(126:126,C44,127:127)+100</f>
        <v>100</v>
      </c>
      <c r="K44" s="828"/>
      <c r="L44" s="1857"/>
      <c r="M44" s="1858"/>
      <c r="N44" s="1858"/>
      <c r="O44" s="1859"/>
      <c r="P44" s="3880"/>
      <c r="Q44" s="1049">
        <f t="shared" si="8"/>
        <v>111</v>
      </c>
      <c r="R44" s="1380" t="s">
        <v>8</v>
      </c>
      <c r="S44" s="1381">
        <f t="shared" si="9"/>
        <v>100</v>
      </c>
      <c r="T44" s="1380" t="s">
        <v>8</v>
      </c>
      <c r="U44" s="1381">
        <f t="shared" si="10"/>
        <v>100</v>
      </c>
      <c r="V44" s="1380" t="s">
        <v>8</v>
      </c>
      <c r="W44" s="1381">
        <f t="shared" si="11"/>
        <v>100</v>
      </c>
      <c r="X44" s="1382"/>
      <c r="Y44" s="3880"/>
      <c r="Z44" s="1048">
        <f t="shared" si="12"/>
        <v>111</v>
      </c>
      <c r="AA44" s="1383">
        <f t="shared" si="3"/>
        <v>1</v>
      </c>
      <c r="AB44" s="1383">
        <f t="shared" si="4"/>
        <v>1</v>
      </c>
      <c r="AC44" s="1383">
        <f t="shared" si="5"/>
        <v>1</v>
      </c>
    </row>
    <row r="45" spans="1:29" ht="15" hidden="1">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880"/>
      <c r="Q45" s="1384">
        <f t="shared" si="8"/>
        <v>111</v>
      </c>
      <c r="R45" s="1385" t="s">
        <v>8</v>
      </c>
      <c r="S45" s="1386">
        <f t="shared" si="9"/>
        <v>100</v>
      </c>
      <c r="T45" s="1385" t="s">
        <v>8</v>
      </c>
      <c r="U45" s="1386">
        <f t="shared" si="10"/>
        <v>100</v>
      </c>
      <c r="V45" s="1385" t="s">
        <v>8</v>
      </c>
      <c r="W45" s="1386">
        <f t="shared" si="11"/>
        <v>100</v>
      </c>
      <c r="X45" s="1379"/>
      <c r="Y45" s="3880"/>
      <c r="Z45" s="1387">
        <f t="shared" si="12"/>
        <v>111</v>
      </c>
      <c r="AA45" s="1388">
        <f t="shared" si="3"/>
        <v>1</v>
      </c>
      <c r="AB45" s="1388">
        <f t="shared" si="4"/>
        <v>1</v>
      </c>
      <c r="AC45" s="1388">
        <f t="shared" si="5"/>
        <v>1</v>
      </c>
    </row>
    <row r="46" spans="1:29" ht="15.75" hidden="1" thickBot="1">
      <c r="A46" s="848"/>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3954"/>
      <c r="Q46" s="1384">
        <f t="shared" si="8"/>
        <v>111</v>
      </c>
      <c r="R46" s="1385" t="s">
        <v>7</v>
      </c>
      <c r="S46" s="1386">
        <f t="shared" si="9"/>
        <v>100</v>
      </c>
      <c r="T46" s="1385" t="s">
        <v>7</v>
      </c>
      <c r="U46" s="1386">
        <f t="shared" si="10"/>
        <v>100</v>
      </c>
      <c r="V46" s="1385" t="s">
        <v>7</v>
      </c>
      <c r="W46" s="1386">
        <f t="shared" si="11"/>
        <v>100</v>
      </c>
      <c r="X46" s="1379"/>
      <c r="Y46" s="3954"/>
      <c r="Z46" s="1387">
        <f t="shared" si="12"/>
        <v>111</v>
      </c>
      <c r="AA46" s="1388">
        <f t="shared" si="3"/>
        <v>1</v>
      </c>
      <c r="AB46" s="1388">
        <f t="shared" si="4"/>
        <v>1</v>
      </c>
      <c r="AC46" s="1388">
        <f t="shared" si="5"/>
        <v>1</v>
      </c>
    </row>
    <row r="47" spans="1:29" ht="15">
      <c r="A47" s="577" t="s">
        <v>683</v>
      </c>
      <c r="B47" s="849"/>
      <c r="C47" s="2233" t="s">
        <v>6</v>
      </c>
      <c r="D47" s="2234"/>
      <c r="E47" s="2235">
        <v>63000</v>
      </c>
      <c r="F47" s="2236"/>
      <c r="G47" s="2237">
        <v>52500</v>
      </c>
      <c r="H47" s="2238"/>
      <c r="I47" s="2235">
        <v>54000</v>
      </c>
      <c r="J47" s="2238"/>
      <c r="K47" s="1414"/>
      <c r="L47" s="1866"/>
      <c r="M47" s="1867"/>
      <c r="N47" s="1856"/>
      <c r="O47" s="1867"/>
      <c r="P47" s="3843" t="str">
        <f>A47</f>
        <v>成交单价（元/平方米）</v>
      </c>
      <c r="Q47" s="3843"/>
      <c r="R47" s="3953">
        <f>E47</f>
        <v>63000</v>
      </c>
      <c r="S47" s="3953"/>
      <c r="T47" s="3953">
        <f>G47</f>
        <v>52500</v>
      </c>
      <c r="U47" s="3953"/>
      <c r="V47" s="3953">
        <f>I47</f>
        <v>54000</v>
      </c>
      <c r="W47" s="3953"/>
      <c r="X47" s="1374"/>
      <c r="Y47" s="1393"/>
      <c r="Z47" s="1374"/>
      <c r="AA47" s="1374"/>
      <c r="AB47" s="1374"/>
      <c r="AC47" s="1374"/>
    </row>
    <row r="48" spans="1:29" ht="15.75" thickBot="1">
      <c r="A48" s="585" t="s">
        <v>2042</v>
      </c>
      <c r="B48" s="850"/>
      <c r="C48" s="2239">
        <f>R49</f>
        <v>56500</v>
      </c>
      <c r="D48" s="2756" t="s">
        <v>2252</v>
      </c>
      <c r="E48" s="2240">
        <f>R48</f>
        <v>63000</v>
      </c>
      <c r="F48" s="2757"/>
      <c r="G48" s="2239">
        <f>T48</f>
        <v>52500</v>
      </c>
      <c r="H48" s="2757"/>
      <c r="I48" s="2240">
        <f>V48</f>
        <v>54000</v>
      </c>
      <c r="J48" s="2757"/>
      <c r="K48" s="2765">
        <f>F48+H48+J48</f>
        <v>0</v>
      </c>
      <c r="L48" s="1866"/>
      <c r="M48" s="1867"/>
      <c r="N48" s="1867"/>
      <c r="O48" s="1867"/>
      <c r="P48" s="3843" t="str">
        <f>A48</f>
        <v>比较价格（元/平方米）</v>
      </c>
      <c r="Q48" s="3843"/>
      <c r="R48" s="3953">
        <f>IF(F1="售价",ROUND(PRODUCT(R47,AA7:AA46),0),ROUND(PRODUCT(R47,AA7:AA46),1))</f>
        <v>63000</v>
      </c>
      <c r="S48" s="3953"/>
      <c r="T48" s="3953">
        <f>IF(F1="售价",ROUND(PRODUCT(T47,AB7:AB46),0),ROUND(PRODUCT(T47,AB7:AB46),1))</f>
        <v>52500</v>
      </c>
      <c r="U48" s="3953"/>
      <c r="V48" s="3953">
        <f>IF(F1="售价",ROUND(PRODUCT(V47,AC7:AC46),0),ROUND(PRODUCT(V47,AC7:AC46),1))</f>
        <v>54000</v>
      </c>
      <c r="W48" s="3953"/>
      <c r="X48" s="1374"/>
      <c r="Y48" s="1374"/>
      <c r="Z48" s="1374"/>
      <c r="AA48" s="1374"/>
      <c r="AB48" s="1374"/>
      <c r="AC48" s="1374"/>
    </row>
    <row r="49" spans="1:29" ht="15.75" thickBot="1">
      <c r="A49" s="589" t="s">
        <v>2189</v>
      </c>
      <c r="B49" s="590"/>
      <c r="C49" s="2241">
        <f>R49</f>
        <v>56500</v>
      </c>
      <c r="D49" s="2241"/>
      <c r="E49" s="2241"/>
      <c r="F49" s="2241"/>
      <c r="G49" s="2241"/>
      <c r="H49" s="2241"/>
      <c r="I49" s="2241"/>
      <c r="J49" s="2241"/>
      <c r="K49" s="1415"/>
      <c r="L49" s="1866"/>
      <c r="M49" s="1867"/>
      <c r="N49" s="1867"/>
      <c r="O49" s="1867"/>
      <c r="P49" s="3881" t="str">
        <f>A49</f>
        <v>估价对象XX用房的比较价格（楼面单价，元/平方米）</v>
      </c>
      <c r="Q49" s="3882"/>
      <c r="R49" s="3952">
        <f>IF(F1="售价",ROUND(IF(D48="简单平均",AVERAGE(R48:V48),R48*F48+T48*H48+V48*J48),0),ROUND(IF(D48="简单平均",AVERAGE(R48:V48),R48*F48+T48*H48+V48*J48),1))</f>
        <v>56500</v>
      </c>
      <c r="S49" s="3952"/>
      <c r="T49" s="3952"/>
      <c r="U49" s="3952"/>
      <c r="V49" s="3952"/>
      <c r="W49" s="3952"/>
      <c r="X49" s="1374"/>
      <c r="Y49" s="1374"/>
      <c r="Z49" s="1374"/>
      <c r="AA49" s="1374"/>
      <c r="AB49" s="1374"/>
      <c r="AC49" s="1374"/>
    </row>
    <row r="50" spans="1:29">
      <c r="A50" s="2956"/>
      <c r="B50" s="2956"/>
      <c r="C50" s="2956"/>
      <c r="D50" s="2956"/>
      <c r="E50" s="2956"/>
      <c r="F50" s="2956"/>
      <c r="G50" s="2958"/>
      <c r="H50" s="2956"/>
      <c r="I50" s="2956"/>
      <c r="J50" s="2956"/>
      <c r="K50" s="2959"/>
      <c r="L50" s="1871"/>
      <c r="M50" s="1867"/>
      <c r="N50" s="1867"/>
      <c r="O50" s="1867"/>
      <c r="P50" s="1867"/>
      <c r="Q50" s="1867"/>
      <c r="R50" s="1867"/>
      <c r="S50" s="1867"/>
      <c r="T50" s="1867"/>
      <c r="U50" s="1867"/>
      <c r="V50" s="1867"/>
      <c r="W50" s="1867"/>
      <c r="X50" s="1867"/>
      <c r="Y50" s="1867"/>
      <c r="Z50" s="1867"/>
      <c r="AA50" s="1867"/>
      <c r="AB50" s="1867"/>
      <c r="AC50" s="1867"/>
    </row>
    <row r="51" spans="1:29">
      <c r="A51" s="2956"/>
      <c r="B51" s="2956"/>
      <c r="C51" s="2956"/>
      <c r="D51" s="2956"/>
      <c r="E51" s="2956"/>
      <c r="F51" s="2956"/>
      <c r="G51" s="2956"/>
      <c r="H51" s="2956"/>
      <c r="I51" s="2956"/>
      <c r="J51" s="2956"/>
      <c r="K51" s="2959"/>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6"/>
      <c r="B52" s="2956"/>
      <c r="C52" s="592" t="s">
        <v>506</v>
      </c>
      <c r="D52" s="593"/>
      <c r="E52" s="594">
        <f>IF(E47&lt;E48,E48/E47-1,E47/E48-1)</f>
        <v>0</v>
      </c>
      <c r="F52" s="595" t="str">
        <f>IF(OR(E52&gt;=0.3,E52&lt;=-0.3),"超过30%","")</f>
        <v/>
      </c>
      <c r="G52" s="594">
        <f>IF(G47&lt;G48,G48/G47-1,G47/G48-1)</f>
        <v>0</v>
      </c>
      <c r="H52" s="595" t="str">
        <f>IF(OR(G52&gt;=0.3,G52&lt;=-0.3),"超过30%","")</f>
        <v/>
      </c>
      <c r="I52" s="594">
        <f>IF(I47&lt;I48,I48/I47-1,I47/I48-1)</f>
        <v>0</v>
      </c>
      <c r="J52" s="595" t="str">
        <f>IF(OR(I52&gt;=0.3,I52&lt;=-0.3),"超过30%","")</f>
        <v/>
      </c>
      <c r="K52" s="2959"/>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6"/>
      <c r="B53" s="2956"/>
      <c r="C53" s="592" t="s">
        <v>507</v>
      </c>
      <c r="D53" s="596"/>
      <c r="E53" s="594">
        <f>IF(E48&lt;G48,G48/E48-1,E48/G48-1)</f>
        <v>0.19999999999999996</v>
      </c>
      <c r="F53" s="595" t="str">
        <f>IF(OR(E53&gt;=0.2,E53&lt;=-0.2),"超过20%","")</f>
        <v>超过20%</v>
      </c>
      <c r="G53" s="594">
        <f>IF(G48&lt;I48,I48/G48-1,G48/I48-1)</f>
        <v>2.857142857142847E-2</v>
      </c>
      <c r="H53" s="595" t="str">
        <f>IF(OR(G53&gt;=0.2,G53&lt;=-0.2),"超过20%","")</f>
        <v/>
      </c>
      <c r="I53" s="594">
        <f>IF(I48&lt;E48,E48/I48-1,I48/E48-1)</f>
        <v>0.16666666666666674</v>
      </c>
      <c r="J53" s="595" t="str">
        <f>IF(OR(I53&gt;=0.2,I53&lt;=-0.2),"超过20%","")</f>
        <v/>
      </c>
      <c r="K53" s="2959"/>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7"/>
      <c r="B54" s="2957"/>
      <c r="C54" s="592" t="s">
        <v>508</v>
      </c>
      <c r="D54" s="596"/>
      <c r="E54" s="594">
        <f>IF(E47&lt;G47,G47/E47-1,E47/G47-1)</f>
        <v>0.19999999999999996</v>
      </c>
      <c r="F54" s="595" t="str">
        <f>IF(OR(E54&gt;=0.3,E54&lt;=-0.3),"超过30%","")</f>
        <v/>
      </c>
      <c r="G54" s="594">
        <f>IF(G47&lt;I47,I47/G47-1,G47/I47-1)</f>
        <v>2.857142857142847E-2</v>
      </c>
      <c r="H54" s="595" t="str">
        <f>IF(OR(G54&gt;=0.3,G54&lt;=-0.3),"超过30%","")</f>
        <v/>
      </c>
      <c r="I54" s="594">
        <f>IF(I47&lt;E47,E47/I47-1,I47/E47-1)</f>
        <v>0.16666666666666674</v>
      </c>
      <c r="J54" s="595" t="str">
        <f>IF(OR(I54&gt;=0.3,I54&lt;=-0.3),"超过30%","")</f>
        <v/>
      </c>
      <c r="K54" s="2960"/>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3" t="s">
        <v>478</v>
      </c>
      <c r="B58" s="614"/>
      <c r="C58" s="2283" t="str">
        <f>YEAR(C7)&amp;"-"&amp;MONTH(C7)</f>
        <v>2023-9</v>
      </c>
      <c r="D58" s="2283">
        <f>EDATE(C58,-1)</f>
        <v>45139</v>
      </c>
      <c r="E58" s="2283">
        <f t="shared" ref="E58:O58" si="13">EDATE(D58,-1)</f>
        <v>45108</v>
      </c>
      <c r="F58" s="2283">
        <f t="shared" si="13"/>
        <v>45078</v>
      </c>
      <c r="G58" s="2283">
        <f t="shared" si="13"/>
        <v>45047</v>
      </c>
      <c r="H58" s="2283">
        <f t="shared" si="13"/>
        <v>45017</v>
      </c>
      <c r="I58" s="2283">
        <f t="shared" si="13"/>
        <v>44986</v>
      </c>
      <c r="J58" s="2283">
        <f t="shared" si="13"/>
        <v>44958</v>
      </c>
      <c r="K58" s="2283">
        <f t="shared" si="13"/>
        <v>44927</v>
      </c>
      <c r="L58" s="2283">
        <f t="shared" si="13"/>
        <v>44896</v>
      </c>
      <c r="M58" s="2283">
        <f t="shared" si="13"/>
        <v>44866</v>
      </c>
      <c r="N58" s="2283">
        <f t="shared" si="13"/>
        <v>44835</v>
      </c>
      <c r="O58" s="2283">
        <f t="shared" si="13"/>
        <v>44805</v>
      </c>
      <c r="P58" s="1881"/>
      <c r="Q58" s="1882"/>
      <c r="R58" s="1882"/>
      <c r="S58" s="1882"/>
      <c r="T58" s="1882"/>
      <c r="U58" s="1882"/>
      <c r="V58" s="1882"/>
      <c r="W58" s="1882"/>
      <c r="X58" s="1882"/>
      <c r="Y58" s="1882"/>
      <c r="Z58" s="1882"/>
      <c r="AA58" s="1882"/>
      <c r="AB58" s="1882"/>
      <c r="AC58" s="1882"/>
    </row>
    <row r="59" spans="1:29" s="1117" customFormat="1" ht="15">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7"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7"/>
      <c r="B62" s="616"/>
      <c r="C62" s="851">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0（含）-1</v>
      </c>
      <c r="D67" s="650" t="str">
        <f t="shared" ref="D67:L67" si="14">D68&amp;"（含）"&amp;"-"&amp;E68</f>
        <v>1（含）-2</v>
      </c>
      <c r="E67" s="650" t="str">
        <f t="shared" si="14"/>
        <v>2（含）-3</v>
      </c>
      <c r="F67" s="650" t="str">
        <f t="shared" si="14"/>
        <v>3（含）-4</v>
      </c>
      <c r="G67" s="650" t="str">
        <f t="shared" si="14"/>
        <v>4（含）-5</v>
      </c>
      <c r="H67" s="650" t="str">
        <f t="shared" si="14"/>
        <v>5（含）-6</v>
      </c>
      <c r="I67" s="650" t="str">
        <f t="shared" si="14"/>
        <v>6（含）-7</v>
      </c>
      <c r="J67" s="650" t="str">
        <f t="shared" si="14"/>
        <v>7（含）-8</v>
      </c>
      <c r="K67" s="650" t="str">
        <f t="shared" si="14"/>
        <v>8（含）-9</v>
      </c>
      <c r="L67" s="650" t="str">
        <f t="shared" si="14"/>
        <v>9（含）-10</v>
      </c>
      <c r="M67" s="525" t="str">
        <f>M68&amp;"（含）"&amp;"-"&amp;P68</f>
        <v>10（含）-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v>0</v>
      </c>
      <c r="D68" s="511">
        <v>1</v>
      </c>
      <c r="E68" s="511">
        <v>2</v>
      </c>
      <c r="F68" s="511">
        <v>3</v>
      </c>
      <c r="G68" s="511">
        <v>4</v>
      </c>
      <c r="H68" s="511">
        <v>5</v>
      </c>
      <c r="I68" s="511">
        <v>6</v>
      </c>
      <c r="J68" s="511">
        <v>7</v>
      </c>
      <c r="K68" s="511">
        <v>8</v>
      </c>
      <c r="L68" s="511">
        <v>9</v>
      </c>
      <c r="M68" s="511">
        <v>10</v>
      </c>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98</v>
      </c>
      <c r="E69" s="647">
        <f t="shared" si="15"/>
        <v>96</v>
      </c>
      <c r="F69" s="647">
        <f t="shared" si="15"/>
        <v>94</v>
      </c>
      <c r="G69" s="647">
        <f t="shared" si="15"/>
        <v>92</v>
      </c>
      <c r="H69" s="647">
        <f t="shared" si="15"/>
        <v>90</v>
      </c>
      <c r="I69" s="647">
        <f t="shared" si="15"/>
        <v>88</v>
      </c>
      <c r="J69" s="647">
        <f t="shared" si="15"/>
        <v>86</v>
      </c>
      <c r="K69" s="647">
        <f t="shared" si="15"/>
        <v>84</v>
      </c>
      <c r="L69" s="647">
        <f t="shared" si="15"/>
        <v>82</v>
      </c>
      <c r="M69" s="648">
        <f t="shared" si="15"/>
        <v>80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98</v>
      </c>
      <c r="E79" s="647">
        <f>D79-$K17</f>
        <v>96</v>
      </c>
      <c r="F79" s="647">
        <f>E79-$K17</f>
        <v>94</v>
      </c>
      <c r="G79" s="647">
        <f>F79-$K17</f>
        <v>92</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98</v>
      </c>
      <c r="E81" s="647">
        <f>D81-$K19</f>
        <v>96</v>
      </c>
      <c r="F81" s="647">
        <f>E81-$K19</f>
        <v>94</v>
      </c>
      <c r="G81" s="647">
        <f>F81-$K19</f>
        <v>92</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98</v>
      </c>
      <c r="E83" s="647">
        <f>D83-$K21</f>
        <v>96</v>
      </c>
      <c r="F83" s="647">
        <f>E83-$K21</f>
        <v>94</v>
      </c>
      <c r="G83" s="647">
        <f>F83-$K21</f>
        <v>92</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98</v>
      </c>
      <c r="E85" s="647">
        <f>D85-$K23</f>
        <v>96</v>
      </c>
      <c r="F85" s="647">
        <f>E85-$K23</f>
        <v>94</v>
      </c>
      <c r="G85" s="647">
        <f>F85-$K23</f>
        <v>92</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7"/>
      <c r="B86" s="1651" t="s">
        <v>1616</v>
      </c>
      <c r="C86" s="656"/>
      <c r="D86" s="656"/>
      <c r="E86" s="656"/>
      <c r="F86" s="656"/>
      <c r="G86" s="656"/>
      <c r="H86" s="656"/>
      <c r="I86" s="656"/>
      <c r="J86" s="656"/>
      <c r="K86" s="656"/>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7"/>
      <c r="B88" s="641" t="s">
        <v>686</v>
      </c>
      <c r="C88" s="656"/>
      <c r="D88" s="656"/>
      <c r="E88" s="656"/>
      <c r="F88" s="854"/>
      <c r="G88" s="656"/>
      <c r="H88" s="656"/>
      <c r="I88" s="656"/>
      <c r="J88" s="656"/>
      <c r="K88" s="656"/>
      <c r="L88" s="656"/>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5"/>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687</v>
      </c>
      <c r="C100" s="3662" t="s">
        <v>3276</v>
      </c>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95</v>
      </c>
      <c r="E101" s="647">
        <f t="shared" si="18"/>
        <v>90</v>
      </c>
      <c r="F101" s="647">
        <f t="shared" si="18"/>
        <v>85</v>
      </c>
      <c r="G101" s="647">
        <f t="shared" si="18"/>
        <v>80</v>
      </c>
      <c r="H101" s="647">
        <f t="shared" si="18"/>
        <v>75</v>
      </c>
      <c r="I101" s="647">
        <f t="shared" si="18"/>
        <v>70</v>
      </c>
      <c r="J101" s="647">
        <f t="shared" si="18"/>
        <v>65</v>
      </c>
      <c r="K101" s="647">
        <f t="shared" si="18"/>
        <v>60</v>
      </c>
      <c r="L101" s="647">
        <f t="shared" si="18"/>
        <v>55</v>
      </c>
      <c r="M101" s="647">
        <f t="shared" si="18"/>
        <v>50</v>
      </c>
      <c r="N101" s="1887"/>
      <c r="O101" s="1887"/>
      <c r="P101" s="1886"/>
      <c r="Q101" s="1879"/>
      <c r="R101" s="1867"/>
      <c r="S101" s="1867"/>
      <c r="T101" s="1867"/>
      <c r="U101" s="1867"/>
      <c r="V101" s="1867"/>
      <c r="W101" s="1867"/>
      <c r="X101" s="1867"/>
      <c r="Y101" s="1867"/>
      <c r="Z101" s="1867"/>
      <c r="AA101" s="1867"/>
      <c r="AB101" s="1867"/>
      <c r="AC101" s="1867"/>
    </row>
    <row r="102" spans="1:29" ht="29.25" thickTop="1">
      <c r="A102" s="637"/>
      <c r="B102" s="641" t="s">
        <v>688</v>
      </c>
      <c r="C102" s="676" t="str">
        <f>C103&amp;"(含)"&amp;"-"&amp;D103</f>
        <v>0(含)-5000</v>
      </c>
      <c r="D102" s="676" t="str">
        <f t="shared" ref="D102:L102" si="19">D103&amp;"(含)"&amp;"-"&amp;E103</f>
        <v>5000(含)-10000</v>
      </c>
      <c r="E102" s="676" t="str">
        <f t="shared" si="19"/>
        <v>10000(含)-15000</v>
      </c>
      <c r="F102" s="676" t="str">
        <f t="shared" si="19"/>
        <v>15000(含)-20000</v>
      </c>
      <c r="G102" s="676" t="str">
        <f t="shared" si="19"/>
        <v>20000(含)-25000</v>
      </c>
      <c r="H102" s="676" t="str">
        <f t="shared" si="19"/>
        <v>25000(含)-30000</v>
      </c>
      <c r="I102" s="676" t="str">
        <f t="shared" si="19"/>
        <v>30000(含)-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v>0</v>
      </c>
      <c r="D103" s="698">
        <v>5000</v>
      </c>
      <c r="E103" s="698">
        <v>10000</v>
      </c>
      <c r="F103" s="698">
        <v>15000</v>
      </c>
      <c r="G103" s="698">
        <v>20000</v>
      </c>
      <c r="H103" s="698">
        <v>25000</v>
      </c>
      <c r="I103" s="698">
        <v>30000</v>
      </c>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6"/>
      <c r="C104" s="660">
        <v>100</v>
      </c>
      <c r="D104" s="639">
        <v>101</v>
      </c>
      <c r="E104" s="660">
        <v>102</v>
      </c>
      <c r="F104" s="639">
        <v>103</v>
      </c>
      <c r="G104" s="660">
        <v>104</v>
      </c>
      <c r="H104" s="639">
        <v>105</v>
      </c>
      <c r="I104" s="660">
        <v>106</v>
      </c>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3664" t="s">
        <v>3278</v>
      </c>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99</v>
      </c>
      <c r="E106" s="647">
        <f t="shared" si="20"/>
        <v>98</v>
      </c>
      <c r="F106" s="647">
        <f t="shared" si="20"/>
        <v>97</v>
      </c>
      <c r="G106" s="647">
        <f t="shared" si="20"/>
        <v>96</v>
      </c>
      <c r="H106" s="647">
        <f t="shared" si="20"/>
        <v>95</v>
      </c>
      <c r="I106" s="647">
        <f t="shared" si="20"/>
        <v>94</v>
      </c>
      <c r="J106" s="647">
        <f t="shared" si="20"/>
        <v>93</v>
      </c>
      <c r="K106" s="647">
        <f t="shared" si="20"/>
        <v>92</v>
      </c>
      <c r="L106" s="647">
        <f t="shared" si="20"/>
        <v>91</v>
      </c>
      <c r="M106" s="647">
        <f t="shared" si="20"/>
        <v>90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3663" t="s">
        <v>3280</v>
      </c>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99</v>
      </c>
      <c r="E108" s="647">
        <f t="shared" si="21"/>
        <v>98</v>
      </c>
      <c r="F108" s="647">
        <f t="shared" si="21"/>
        <v>97</v>
      </c>
      <c r="G108" s="647">
        <f t="shared" si="21"/>
        <v>96</v>
      </c>
      <c r="H108" s="647">
        <f t="shared" si="21"/>
        <v>95</v>
      </c>
      <c r="I108" s="647">
        <f t="shared" si="21"/>
        <v>94</v>
      </c>
      <c r="J108" s="647">
        <f t="shared" si="21"/>
        <v>93</v>
      </c>
      <c r="K108" s="647">
        <f t="shared" si="21"/>
        <v>92</v>
      </c>
      <c r="L108" s="647">
        <f t="shared" si="21"/>
        <v>91</v>
      </c>
      <c r="M108" s="647">
        <f t="shared" si="21"/>
        <v>90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3664" t="s">
        <v>3281</v>
      </c>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99</v>
      </c>
      <c r="E110" s="647">
        <f t="shared" si="22"/>
        <v>98</v>
      </c>
      <c r="F110" s="647">
        <f t="shared" si="22"/>
        <v>97</v>
      </c>
      <c r="G110" s="647">
        <f t="shared" si="22"/>
        <v>96</v>
      </c>
      <c r="H110" s="647">
        <f t="shared" si="22"/>
        <v>95</v>
      </c>
      <c r="I110" s="647">
        <f t="shared" si="22"/>
        <v>94</v>
      </c>
      <c r="J110" s="647">
        <f t="shared" si="22"/>
        <v>93</v>
      </c>
      <c r="K110" s="647">
        <f t="shared" si="22"/>
        <v>92</v>
      </c>
      <c r="L110" s="647">
        <f t="shared" si="22"/>
        <v>91</v>
      </c>
      <c r="M110" s="647">
        <f t="shared" si="22"/>
        <v>90</v>
      </c>
      <c r="N110" s="1887"/>
      <c r="O110" s="1887"/>
      <c r="P110" s="1886"/>
      <c r="Q110" s="1879"/>
      <c r="R110" s="1867"/>
      <c r="S110" s="1867"/>
      <c r="T110" s="1867"/>
      <c r="U110" s="1867"/>
      <c r="V110" s="1867"/>
      <c r="W110" s="1867"/>
      <c r="X110" s="1867"/>
      <c r="Y110" s="1867"/>
      <c r="Z110" s="1867"/>
      <c r="AA110" s="1867"/>
      <c r="AB110" s="1867"/>
      <c r="AC110" s="1867"/>
    </row>
    <row r="111" spans="1:29" s="1199"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199" customFormat="1">
      <c r="A112" s="696"/>
      <c r="B112" s="649"/>
      <c r="C112" s="856">
        <v>0.5</v>
      </c>
      <c r="D112" s="856">
        <v>0.6</v>
      </c>
      <c r="E112" s="856">
        <v>0.7</v>
      </c>
      <c r="F112" s="856">
        <v>0.8</v>
      </c>
      <c r="G112" s="856">
        <v>0.9</v>
      </c>
      <c r="H112" s="856">
        <v>1.0001</v>
      </c>
      <c r="I112" s="856"/>
      <c r="J112" s="857"/>
      <c r="K112" s="857"/>
      <c r="L112" s="858"/>
      <c r="M112" s="859"/>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5"/>
      <c r="B113" s="646"/>
      <c r="C113" s="680">
        <v>100</v>
      </c>
      <c r="D113" s="647">
        <f>C113+$K37</f>
        <v>101</v>
      </c>
      <c r="E113" s="647">
        <f>D113+$K37</f>
        <v>102</v>
      </c>
      <c r="F113" s="647">
        <f>E113+$K37</f>
        <v>103</v>
      </c>
      <c r="G113" s="647">
        <f>F113+$K37</f>
        <v>104</v>
      </c>
      <c r="H113" s="647">
        <f>G113+$K37</f>
        <v>105</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3664" t="s">
        <v>3283</v>
      </c>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99</v>
      </c>
      <c r="E115" s="647">
        <f t="shared" si="23"/>
        <v>98</v>
      </c>
      <c r="F115" s="647">
        <f t="shared" si="23"/>
        <v>97</v>
      </c>
      <c r="G115" s="647">
        <f t="shared" si="23"/>
        <v>96</v>
      </c>
      <c r="H115" s="647">
        <f t="shared" si="23"/>
        <v>95</v>
      </c>
      <c r="I115" s="647">
        <f t="shared" si="23"/>
        <v>94</v>
      </c>
      <c r="J115" s="647">
        <f t="shared" si="23"/>
        <v>93</v>
      </c>
      <c r="K115" s="647">
        <f t="shared" si="23"/>
        <v>92</v>
      </c>
      <c r="L115" s="647">
        <f t="shared" si="23"/>
        <v>91</v>
      </c>
      <c r="M115" s="647">
        <f t="shared" si="23"/>
        <v>90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1839</v>
      </c>
      <c r="C116" s="3664" t="s">
        <v>3284</v>
      </c>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99</v>
      </c>
      <c r="E117" s="647">
        <f>D117-$K39</f>
        <v>98</v>
      </c>
      <c r="F117" s="647">
        <f>E117-$K39</f>
        <v>97</v>
      </c>
      <c r="G117" s="647">
        <f>F117-$K39</f>
        <v>96</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3663" t="s">
        <v>3286</v>
      </c>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99</v>
      </c>
      <c r="E119" s="647">
        <f t="shared" si="24"/>
        <v>98</v>
      </c>
      <c r="F119" s="647">
        <f t="shared" si="24"/>
        <v>97</v>
      </c>
      <c r="G119" s="647">
        <f t="shared" si="24"/>
        <v>96</v>
      </c>
      <c r="H119" s="647">
        <f t="shared" si="24"/>
        <v>95</v>
      </c>
      <c r="I119" s="647">
        <f t="shared" si="24"/>
        <v>94</v>
      </c>
      <c r="J119" s="647">
        <f t="shared" si="24"/>
        <v>93</v>
      </c>
      <c r="K119" s="647">
        <f t="shared" si="24"/>
        <v>92</v>
      </c>
      <c r="L119" s="647">
        <f t="shared" si="24"/>
        <v>91</v>
      </c>
      <c r="M119" s="647">
        <f t="shared" si="24"/>
        <v>90</v>
      </c>
      <c r="N119" s="1887"/>
      <c r="O119" s="1887"/>
      <c r="P119" s="1886"/>
      <c r="Q119" s="1879"/>
      <c r="R119" s="1867"/>
      <c r="S119" s="1867"/>
      <c r="T119" s="1867"/>
      <c r="U119" s="1867"/>
      <c r="V119" s="1867"/>
      <c r="W119" s="1867"/>
      <c r="X119" s="1867"/>
      <c r="Y119" s="1867"/>
      <c r="Z119" s="1867"/>
      <c r="AA119" s="1867"/>
      <c r="AB119" s="1867"/>
      <c r="AC119" s="1867"/>
    </row>
    <row r="120" spans="1:29" s="1199" customFormat="1" ht="28.5" thickTop="1">
      <c r="A120" s="696"/>
      <c r="B120" s="641" t="s">
        <v>680</v>
      </c>
      <c r="C120" s="656"/>
      <c r="D120" s="656"/>
      <c r="E120" s="656"/>
      <c r="F120" s="656"/>
      <c r="G120" s="656"/>
      <c r="H120" s="656"/>
      <c r="I120" s="656"/>
      <c r="J120" s="656"/>
      <c r="K120" s="656"/>
      <c r="L120" s="852"/>
      <c r="M120" s="853"/>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3664" t="s">
        <v>3288</v>
      </c>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99</v>
      </c>
      <c r="E123" s="647">
        <f t="shared" si="25"/>
        <v>98</v>
      </c>
      <c r="F123" s="647">
        <f t="shared" si="25"/>
        <v>97</v>
      </c>
      <c r="G123" s="647">
        <f t="shared" si="25"/>
        <v>96</v>
      </c>
      <c r="H123" s="647">
        <f t="shared" si="25"/>
        <v>95</v>
      </c>
      <c r="I123" s="647">
        <f t="shared" si="25"/>
        <v>94</v>
      </c>
      <c r="J123" s="647">
        <f t="shared" si="25"/>
        <v>93</v>
      </c>
      <c r="K123" s="647">
        <f t="shared" si="25"/>
        <v>92</v>
      </c>
      <c r="L123" s="647">
        <f t="shared" si="25"/>
        <v>91</v>
      </c>
      <c r="M123" s="647">
        <f t="shared" si="25"/>
        <v>90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99</v>
      </c>
      <c r="E125" s="647">
        <f>D125-$K43</f>
        <v>98</v>
      </c>
      <c r="F125" s="647">
        <f>E125-$K43</f>
        <v>97</v>
      </c>
      <c r="G125" s="647">
        <f>F125-$K43</f>
        <v>96</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1617</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1618</v>
      </c>
      <c r="C137" s="1674"/>
      <c r="D137" s="1674"/>
      <c r="E137" s="1674"/>
      <c r="F137" s="1674"/>
      <c r="G137" s="1675"/>
      <c r="H137" s="1676"/>
      <c r="I137" s="1677" t="s">
        <v>1619</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1620</v>
      </c>
      <c r="D138" s="1680" t="s">
        <v>1621</v>
      </c>
      <c r="E138" s="1681" t="s">
        <v>1622</v>
      </c>
      <c r="F138" s="1682" t="s">
        <v>1623</v>
      </c>
      <c r="G138" s="1680" t="s">
        <v>1624</v>
      </c>
      <c r="H138" s="1683" t="s">
        <v>1625</v>
      </c>
      <c r="I138" s="1684"/>
      <c r="J138" s="1680" t="s">
        <v>1626</v>
      </c>
      <c r="K138" s="1683" t="s">
        <v>1627</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1628</v>
      </c>
      <c r="E139" s="1654">
        <v>100</v>
      </c>
      <c r="F139" s="1655">
        <v>102.5</v>
      </c>
      <c r="G139" s="1685" t="s">
        <v>1629</v>
      </c>
      <c r="H139" s="1656">
        <v>105</v>
      </c>
      <c r="I139" s="1686" t="s">
        <v>1630</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1631</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1632</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1633</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1634</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1635</v>
      </c>
      <c r="E144" s="1660">
        <v>102</v>
      </c>
      <c r="F144" s="1666">
        <v>100</v>
      </c>
      <c r="G144" s="1689" t="s">
        <v>1635</v>
      </c>
      <c r="H144" s="1662">
        <v>105</v>
      </c>
      <c r="I144" s="1688" t="s">
        <v>1634</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1636</v>
      </c>
      <c r="C145" s="1667">
        <f>ROUND(MAX(C139:C144)/MIN(C139:C144)-1,3)</f>
        <v>7.2999999999999995E-2</v>
      </c>
      <c r="D145" s="1691"/>
      <c r="E145" s="1691"/>
      <c r="F145" s="1692" t="s">
        <v>1637</v>
      </c>
      <c r="G145" s="1693"/>
      <c r="H145" s="1694"/>
      <c r="I145" s="1695" t="s">
        <v>1634</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1645</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1646</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4" priority="19" stopIfTrue="1" operator="containsText" text="超过">
      <formula>NOT(ISERROR(SEARCH("超过",F52)))</formula>
    </cfRule>
  </conditionalFormatting>
  <conditionalFormatting sqref="J54">
    <cfRule type="containsText" dxfId="123" priority="18" stopIfTrue="1" operator="containsText" text="超过">
      <formula>NOT(ISERROR(SEARCH("超过",J54)))</formula>
    </cfRule>
  </conditionalFormatting>
  <conditionalFormatting sqref="H54">
    <cfRule type="containsText" dxfId="122" priority="17" stopIfTrue="1" operator="containsText" text="超过">
      <formula>NOT(ISERROR(SEARCH("超过",H54)))</formula>
    </cfRule>
  </conditionalFormatting>
  <conditionalFormatting sqref="F54">
    <cfRule type="containsText" dxfId="121" priority="16" stopIfTrue="1" operator="containsText" text="超过">
      <formula>NOT(ISERROR(SEARCH("超过",F54)))</formula>
    </cfRule>
  </conditionalFormatting>
  <conditionalFormatting sqref="F53 H53 J53">
    <cfRule type="containsText" dxfId="120" priority="15" stopIfTrue="1" operator="containsText" text="超过">
      <formula>NOT(ISERROR(SEARCH("超过",F53)))</formula>
    </cfRule>
  </conditionalFormatting>
  <conditionalFormatting sqref="E52">
    <cfRule type="expression" dxfId="119" priority="14" stopIfTrue="1">
      <formula>$F$52="超过30%"</formula>
    </cfRule>
  </conditionalFormatting>
  <conditionalFormatting sqref="G54">
    <cfRule type="expression" dxfId="118" priority="12" stopIfTrue="1">
      <formula>$H$54="超过30%"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I52">
    <cfRule type="expression" dxfId="113" priority="7" stopIfTrue="1">
      <formula>$J$52="超过30%"</formula>
    </cfRule>
  </conditionalFormatting>
  <conditionalFormatting sqref="I53">
    <cfRule type="expression" dxfId="112" priority="6" stopIfTrue="1">
      <formula>$J$53="超过20%"</formula>
    </cfRule>
  </conditionalFormatting>
  <conditionalFormatting sqref="I54">
    <cfRule type="expression" dxfId="111" priority="5" stopIfTrue="1">
      <formula>$J$54="超过30%"</formula>
    </cfRule>
  </conditionalFormatting>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F7:F46 H7:H46 J7:J46">
    <cfRule type="cellIs" dxfId="107" priority="1" operator="notEqual">
      <formula>100</formula>
    </cfRule>
  </conditionalFormatting>
  <dataValidations disablePrompts="1"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D15" sqref="D15"/>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3293</v>
      </c>
      <c r="D1" s="2552" t="s">
        <v>877</v>
      </c>
      <c r="E1" s="2078" t="s">
        <v>1728</v>
      </c>
      <c r="F1" s="2079">
        <f ca="1">J53</f>
        <v>49.93</v>
      </c>
      <c r="G1" s="3000">
        <f>MATCH(C1,'数据-取费表'!A6:A16,0)+5</f>
        <v>7</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0</v>
      </c>
      <c r="C2" s="3005"/>
      <c r="D2" s="3006"/>
      <c r="E2" s="3007"/>
      <c r="F2" s="3007"/>
      <c r="G2" s="3001"/>
      <c r="H2" s="1780"/>
      <c r="I2" s="1780"/>
      <c r="J2" s="1780"/>
      <c r="K2" s="1781"/>
      <c r="L2" s="1780"/>
      <c r="M2" s="1780"/>
    </row>
    <row r="3" spans="1:33" ht="18" customHeight="1" thickBot="1">
      <c r="A3" s="798" t="s">
        <v>1256</v>
      </c>
      <c r="B3" s="799">
        <f ca="1">IF(ISERROR(B2*10000/F43),0,ROUND(B2*10000/F43,0))</f>
        <v>0</v>
      </c>
      <c r="C3" s="3005"/>
      <c r="D3" s="3006"/>
      <c r="E3" s="3007"/>
      <c r="F3" s="3007"/>
      <c r="G3" s="3001"/>
      <c r="H3" s="742" t="s">
        <v>642</v>
      </c>
      <c r="I3" s="1222"/>
      <c r="J3" s="1222"/>
      <c r="K3" s="1403"/>
      <c r="L3" s="1222"/>
      <c r="M3" s="1222"/>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0</v>
      </c>
      <c r="D5" s="2142" t="s">
        <v>1805</v>
      </c>
      <c r="E5" s="2136"/>
      <c r="F5" s="2137"/>
      <c r="G5" s="1785"/>
      <c r="H5" s="747">
        <v>1</v>
      </c>
      <c r="I5" s="748" t="s">
        <v>1802</v>
      </c>
      <c r="J5" s="53">
        <f ca="1">J6+J10+J12</f>
        <v>0</v>
      </c>
      <c r="K5" s="2142" t="s">
        <v>1805</v>
      </c>
      <c r="L5" s="2136"/>
      <c r="M5" s="2137"/>
    </row>
    <row r="6" spans="1:33" ht="18" customHeight="1">
      <c r="A6" s="1616" t="s">
        <v>1353</v>
      </c>
      <c r="B6" s="3946" t="s">
        <v>1807</v>
      </c>
      <c r="C6" s="749">
        <f ca="1">ROUND(F6*F8*F7*(1-F9)/10000,0)</f>
        <v>0</v>
      </c>
      <c r="D6" s="2143" t="s">
        <v>1806</v>
      </c>
      <c r="E6" s="750" t="s">
        <v>1267</v>
      </c>
      <c r="F6" s="751">
        <f ca="1">INDIRECT("'数据-取费表'!u"&amp;$G$1)</f>
        <v>0</v>
      </c>
      <c r="G6" s="1785"/>
      <c r="H6" s="2150" t="s">
        <v>1812</v>
      </c>
      <c r="I6" s="3946" t="s">
        <v>1807</v>
      </c>
      <c r="J6" s="749">
        <f ca="1">ROUND(M6*M8*M7*(1-M9)/10000,0)</f>
        <v>0</v>
      </c>
      <c r="K6" s="332" t="s">
        <v>1266</v>
      </c>
      <c r="L6" s="750" t="s">
        <v>1267</v>
      </c>
      <c r="M6" s="751">
        <f ca="1">INDIRECT("'数据-取费表'!z"&amp;$G$1)</f>
        <v>0</v>
      </c>
    </row>
    <row r="7" spans="1:33" ht="18" customHeight="1">
      <c r="A7" s="2146"/>
      <c r="B7" s="3947"/>
      <c r="C7" s="754"/>
      <c r="D7" s="755"/>
      <c r="E7" s="750" t="s">
        <v>1268</v>
      </c>
      <c r="F7" s="751">
        <f ca="1">IF(INDIRECT("'数据-取费表'!ah"&amp;$G$1)="",INDIRECT("'数据-取费表'!k"&amp;$G$1),INDIRECT("'数据-取费表'!ah"&amp;$G$1))</f>
        <v>412</v>
      </c>
      <c r="G7" s="1785"/>
      <c r="H7" s="2135"/>
      <c r="I7" s="3947"/>
      <c r="J7" s="754"/>
      <c r="K7" s="755"/>
      <c r="L7" s="750" t="s">
        <v>1268</v>
      </c>
      <c r="M7" s="751">
        <f ca="1">F7</f>
        <v>412</v>
      </c>
    </row>
    <row r="8" spans="1:33" ht="18" customHeight="1">
      <c r="A8" s="2139"/>
      <c r="B8" s="3948"/>
      <c r="C8" s="754"/>
      <c r="D8" s="755"/>
      <c r="E8" s="750" t="s">
        <v>1269</v>
      </c>
      <c r="F8" s="751">
        <f ca="1">INDIRECT("'数据-取费表'!ai"&amp;$G$1)</f>
        <v>12</v>
      </c>
      <c r="G8" s="1785"/>
      <c r="H8" s="2135"/>
      <c r="I8" s="3948"/>
      <c r="J8" s="754"/>
      <c r="K8" s="755"/>
      <c r="L8" s="750" t="s">
        <v>1269</v>
      </c>
      <c r="M8" s="751">
        <f ca="1">INDIRECT("'数据-取费表'!ai"&amp;$G$1)</f>
        <v>12</v>
      </c>
    </row>
    <row r="9" spans="1:33" ht="18" customHeight="1">
      <c r="A9" s="752"/>
      <c r="B9" s="3949"/>
      <c r="C9" s="754"/>
      <c r="D9" s="755"/>
      <c r="E9" s="750" t="s">
        <v>1270</v>
      </c>
      <c r="F9" s="760">
        <f ca="1">INDIRECT("'数据-取费表'!w"&amp;$G$1)</f>
        <v>0</v>
      </c>
      <c r="G9" s="1785"/>
      <c r="H9" s="2151"/>
      <c r="I9" s="3948"/>
      <c r="J9" s="754"/>
      <c r="K9" s="755"/>
      <c r="L9" s="761" t="s">
        <v>1270</v>
      </c>
      <c r="M9" s="762">
        <f ca="1">INDIRECT("'数据-取费表'!ab"&amp;$G$1)</f>
        <v>0</v>
      </c>
    </row>
    <row r="10" spans="1:33" ht="18" customHeight="1">
      <c r="A10" s="1616" t="s">
        <v>1810</v>
      </c>
      <c r="B10" s="2140" t="s">
        <v>1803</v>
      </c>
      <c r="C10" s="765">
        <f ca="1">ROUND(IF(F10="押一",C6/12*F11,IF(F10="押二",C6/12*2*F11,IF(F10="押三",C6/12*3*F11,C11*F11))),0)</f>
        <v>0</v>
      </c>
      <c r="D10" s="2147" t="s">
        <v>2223</v>
      </c>
      <c r="E10" s="2144" t="s">
        <v>1808</v>
      </c>
      <c r="F10" s="2228" t="s">
        <v>3298</v>
      </c>
      <c r="G10" s="1785"/>
      <c r="H10" s="2178" t="s">
        <v>1813</v>
      </c>
      <c r="I10" s="2183" t="s">
        <v>1803</v>
      </c>
      <c r="J10" s="749">
        <f ca="1">ROUND(IF(M10="押一",J6/12*M11,IF(M10="押二",J6/12*2*M11,IF(M10="押三",J6/12*3*M11,J11*M11))),0)</f>
        <v>0</v>
      </c>
      <c r="K10" s="2147" t="s">
        <v>2223</v>
      </c>
      <c r="L10" s="2144" t="s">
        <v>1808</v>
      </c>
      <c r="M10" s="2228"/>
    </row>
    <row r="11" spans="1:33" ht="18" customHeight="1">
      <c r="A11" s="756"/>
      <c r="B11" s="2141" t="s">
        <v>1856</v>
      </c>
      <c r="C11" s="2145"/>
      <c r="D11" s="755"/>
      <c r="E11" s="2144" t="s">
        <v>1809</v>
      </c>
      <c r="F11" s="762">
        <f ca="1">'数据-取费表'!B39</f>
        <v>1.4999999999999999E-2</v>
      </c>
      <c r="G11" s="1785"/>
      <c r="H11" s="2179"/>
      <c r="I11" s="2141" t="s">
        <v>1856</v>
      </c>
      <c r="J11" s="2145"/>
      <c r="K11" s="2180"/>
      <c r="L11" s="2144" t="s">
        <v>1809</v>
      </c>
      <c r="M11" s="2138">
        <f ca="1">'数据-取费表'!B39</f>
        <v>1.4999999999999999E-2</v>
      </c>
    </row>
    <row r="12" spans="1:33" ht="18" customHeight="1" thickBot="1">
      <c r="A12" s="2154" t="s">
        <v>1811</v>
      </c>
      <c r="B12" s="2155" t="s">
        <v>1804</v>
      </c>
      <c r="C12" s="2156"/>
      <c r="D12" s="2157"/>
      <c r="E12" s="2158"/>
      <c r="F12" s="2159"/>
      <c r="G12" s="1785"/>
      <c r="H12" s="2168" t="s">
        <v>1814</v>
      </c>
      <c r="I12" s="2181" t="s">
        <v>1804</v>
      </c>
      <c r="J12" s="2182"/>
      <c r="K12" s="2157"/>
      <c r="L12" s="2158"/>
      <c r="M12" s="2171"/>
    </row>
    <row r="13" spans="1:33" ht="18" customHeight="1" thickTop="1">
      <c r="A13" s="1615">
        <v>2</v>
      </c>
      <c r="B13" s="1613" t="s">
        <v>1271</v>
      </c>
      <c r="C13" s="758">
        <f ca="1">ROUND(C29*F13,0)</f>
        <v>0</v>
      </c>
      <c r="D13" s="1620" t="s">
        <v>1654</v>
      </c>
      <c r="E13" s="1620" t="s">
        <v>1273</v>
      </c>
      <c r="F13" s="2153">
        <f ca="1">INDIRECT("'数据-取费表'!y"&amp;$G$1)</f>
        <v>0</v>
      </c>
      <c r="G13" s="1785"/>
      <c r="H13" s="1615">
        <v>2</v>
      </c>
      <c r="I13" s="1613" t="s">
        <v>1271</v>
      </c>
      <c r="J13" s="1605">
        <f ca="1">ROUND(J14*J15,0)</f>
        <v>0</v>
      </c>
      <c r="K13" s="1607" t="s">
        <v>1272</v>
      </c>
      <c r="L13" s="2169"/>
      <c r="M13" s="2170"/>
    </row>
    <row r="14" spans="1:33" ht="18" customHeight="1">
      <c r="A14" s="1452" t="s">
        <v>1409</v>
      </c>
      <c r="B14" s="750" t="s">
        <v>593</v>
      </c>
      <c r="C14" s="770">
        <f ca="1">INDIRECT("'数据-取费表'!m"&amp;$G$1)+INDIRECT("'数据-取费表'!t"&amp;$G$1)</f>
        <v>5632</v>
      </c>
      <c r="D14" s="1733" t="s">
        <v>1274</v>
      </c>
      <c r="E14" s="1734"/>
      <c r="F14" s="771"/>
      <c r="G14" s="1785"/>
      <c r="H14" s="1453" t="s">
        <v>1359</v>
      </c>
      <c r="I14" s="1949" t="s">
        <v>2103</v>
      </c>
      <c r="J14" s="51">
        <f ca="1">C29</f>
        <v>7548</v>
      </c>
      <c r="K14" s="24"/>
      <c r="L14" s="767"/>
      <c r="M14" s="768"/>
    </row>
    <row r="15" spans="1:33" s="1787" customFormat="1" ht="18" customHeight="1" thickBot="1">
      <c r="A15" s="1452" t="s">
        <v>1410</v>
      </c>
      <c r="B15" s="750" t="s">
        <v>595</v>
      </c>
      <c r="C15" s="51">
        <f ca="1">ROUND(C14*F15,0)</f>
        <v>282</v>
      </c>
      <c r="D15" s="772" t="s">
        <v>1275</v>
      </c>
      <c r="E15" s="772" t="s">
        <v>1276</v>
      </c>
      <c r="F15" s="773">
        <f>'数据-取费表'!B33</f>
        <v>0.05</v>
      </c>
      <c r="G15" s="3002"/>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50" t="s">
        <v>598</v>
      </c>
      <c r="C16" s="51">
        <f ca="1">ROUND(INDIRECT("'数据-取费表'!m"&amp;$G$1)*F16,0)</f>
        <v>0</v>
      </c>
      <c r="D16" s="750" t="s">
        <v>1275</v>
      </c>
      <c r="E16" s="750" t="s">
        <v>1276</v>
      </c>
      <c r="F16" s="775">
        <f ca="1">IF(INDIRECT("'数据-取费表'!c"&amp;$G$1)="住宅",'数据-取费表'!B34,0)</f>
        <v>0</v>
      </c>
      <c r="G16" s="1785"/>
      <c r="H16" s="1615" t="s">
        <v>1277</v>
      </c>
      <c r="I16" s="1613" t="s">
        <v>1278</v>
      </c>
      <c r="J16" s="758">
        <f ca="1">ROUND(J17+J22+J23+J24,0)</f>
        <v>1</v>
      </c>
      <c r="K16" s="1607" t="s">
        <v>1279</v>
      </c>
      <c r="L16" s="2132"/>
      <c r="M16" s="2137"/>
    </row>
    <row r="17" spans="1:33" s="1787" customFormat="1" ht="18" customHeight="1">
      <c r="A17" s="1452" t="s">
        <v>1412</v>
      </c>
      <c r="B17" s="750" t="s">
        <v>601</v>
      </c>
      <c r="C17" s="51">
        <f ca="1">ROUND(F17*(F43+INDIRECT("'数据-取费表'!S"&amp;$G$1))/10000,0)</f>
        <v>314</v>
      </c>
      <c r="D17" s="750" t="s">
        <v>1280</v>
      </c>
      <c r="E17" s="750" t="s">
        <v>1281</v>
      </c>
      <c r="F17" s="54">
        <f>'数据-取费表'!B35</f>
        <v>200</v>
      </c>
      <c r="G17" s="3002"/>
      <c r="H17" s="1453" t="s">
        <v>1359</v>
      </c>
      <c r="I17" s="750" t="s">
        <v>604</v>
      </c>
      <c r="J17" s="2761">
        <f ca="1">ROUND(IF(AND(项目基本情况!B11="自然人",项目基本情况!B10="北京市"),J6*M17/(1+'数据-取费表'!C42),J18+J19+J20),2)</f>
        <v>0.72</v>
      </c>
      <c r="K17" s="2131" t="s">
        <v>1282</v>
      </c>
      <c r="L17" s="2130" t="s">
        <v>1283</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84</v>
      </c>
      <c r="D18" s="750" t="s">
        <v>1275</v>
      </c>
      <c r="E18" s="750" t="s">
        <v>1276</v>
      </c>
      <c r="F18" s="775">
        <f>'数据-取费表'!B36</f>
        <v>1.4999999999999999E-2</v>
      </c>
      <c r="G18" s="3002"/>
      <c r="H18" s="1452" t="s">
        <v>1409</v>
      </c>
      <c r="I18" s="750" t="s">
        <v>1284</v>
      </c>
      <c r="J18" s="51">
        <f ca="1">ROUND(J6*M18/(1+'数据-取费表'!C42),2)</f>
        <v>0</v>
      </c>
      <c r="K18" s="2130" t="s">
        <v>1285</v>
      </c>
      <c r="L18" s="750" t="s">
        <v>1276</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50" t="s">
        <v>610</v>
      </c>
      <c r="C19" s="51">
        <f ca="1">SUM(C14:C18)</f>
        <v>6312</v>
      </c>
      <c r="D19" s="252" t="s">
        <v>1286</v>
      </c>
      <c r="E19" s="1736"/>
      <c r="F19" s="54"/>
      <c r="G19" s="1785"/>
      <c r="H19" s="1452" t="s">
        <v>1410</v>
      </c>
      <c r="I19" s="750" t="s">
        <v>1287</v>
      </c>
      <c r="J19" s="51">
        <f ca="1">IF(K19="按租金收入计税",ROUND(J6*M19/(1+'数据-取费表'!C42),1),ROUND(C29*F33*0.7,2))</f>
        <v>0</v>
      </c>
      <c r="K19" s="776" t="s">
        <v>3241</v>
      </c>
      <c r="L19" s="750" t="s">
        <v>1276</v>
      </c>
      <c r="M19" s="775">
        <f>IF(K19="按租金收入计税",'数据-取费表'!B51,'数据-取费表'!B50)</f>
        <v>0.12</v>
      </c>
    </row>
    <row r="20" spans="1:33" s="1787" customFormat="1" ht="18" customHeight="1">
      <c r="A20" s="1453" t="s">
        <v>1414</v>
      </c>
      <c r="B20" s="750" t="s">
        <v>613</v>
      </c>
      <c r="C20" s="51">
        <f ca="1">ROUND(C19*F20,0)</f>
        <v>126</v>
      </c>
      <c r="D20" s="777" t="s">
        <v>1288</v>
      </c>
      <c r="E20" s="750" t="s">
        <v>1276</v>
      </c>
      <c r="F20" s="775">
        <f>'数据-取费表'!B37</f>
        <v>0.02</v>
      </c>
      <c r="G20" s="3002"/>
      <c r="H20" s="1455" t="s">
        <v>1405</v>
      </c>
      <c r="I20" s="332" t="s">
        <v>1289</v>
      </c>
      <c r="J20" s="52">
        <f ca="1">ROUND(M20*M21/10000,2)</f>
        <v>0.72</v>
      </c>
      <c r="K20" s="779" t="s">
        <v>1290</v>
      </c>
      <c r="L20" s="750" t="s">
        <v>1291</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1292</v>
      </c>
      <c r="C21" s="51" t="s">
        <v>1293</v>
      </c>
      <c r="D21" s="777" t="s">
        <v>1655</v>
      </c>
      <c r="E21" s="750" t="s">
        <v>1294</v>
      </c>
      <c r="F21" s="775">
        <f>'数据-取费表'!B38</f>
        <v>0.02</v>
      </c>
      <c r="G21" s="3002"/>
      <c r="H21" s="2152"/>
      <c r="I21" s="759"/>
      <c r="J21" s="67"/>
      <c r="K21" s="781"/>
      <c r="L21" s="750" t="s">
        <v>1295</v>
      </c>
      <c r="M21" s="751">
        <f ca="1">INDIRECT("'数据-取费表'!r"&amp;$G$1)</f>
        <v>4798.1200000000008</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1296</v>
      </c>
      <c r="C22" s="51"/>
      <c r="D22" s="2187" t="str">
        <f>IF(F23&lt;=1,"单利计息。","复利计息。")&amp;"建造成本、管理费用、销售费用产生的利息。"</f>
        <v>复利计息。建造成本、管理费用、销售费用产生的利息。</v>
      </c>
      <c r="E22" s="1736"/>
      <c r="F22" s="54"/>
      <c r="G22" s="1785"/>
      <c r="H22" s="1453" t="s">
        <v>1414</v>
      </c>
      <c r="I22" s="750" t="s">
        <v>1297</v>
      </c>
      <c r="J22" s="51">
        <f ca="1">ROUND(J14*M22,2)</f>
        <v>0</v>
      </c>
      <c r="K22" s="2130" t="s">
        <v>1298</v>
      </c>
      <c r="L22" s="750" t="s">
        <v>1276</v>
      </c>
      <c r="M22" s="782">
        <f ca="1">INDIRECT("'数据-取费表'!Ak"&amp;$G$1)</f>
        <v>0</v>
      </c>
    </row>
    <row r="23" spans="1:33" s="1787" customFormat="1" ht="18" customHeight="1">
      <c r="A23" s="1452" t="s">
        <v>1360</v>
      </c>
      <c r="B23" s="750" t="s">
        <v>1818</v>
      </c>
      <c r="C23" s="51">
        <f ca="1">ROUND(IF('数据-取费表'!B22&lt;=1,(C19+C20)*F24*F23/2,(C19+C20)*(POWER((1+F24),F23/2)-1)),0)</f>
        <v>222</v>
      </c>
      <c r="D23" s="2186" t="str">
        <f>IF(F23&lt;=1,"(建造成本+管理费用)×利率×(建设周期÷2)","(建造成本+管理费用)×((1+利率)^(建设周期÷2)-1)")</f>
        <v>(建造成本+管理费用)×((1+利率)^(建设周期÷2)-1)</v>
      </c>
      <c r="E23" s="750" t="s">
        <v>1299</v>
      </c>
      <c r="F23" s="608">
        <f>'数据-取费表'!B20</f>
        <v>2</v>
      </c>
      <c r="G23" s="3002"/>
      <c r="H23" s="1453" t="s">
        <v>1415</v>
      </c>
      <c r="I23" s="750" t="s">
        <v>626</v>
      </c>
      <c r="J23" s="51">
        <f ca="1">ROUND(J13*M23,2)</f>
        <v>0</v>
      </c>
      <c r="K23" s="2130" t="s">
        <v>1300</v>
      </c>
      <c r="L23" s="750" t="s">
        <v>1276</v>
      </c>
      <c r="M23" s="783">
        <f ca="1">INDIRECT("'数据-取费表'!Al"&amp;$G$1)</f>
        <v>0</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6.9999999999999999E-4</v>
      </c>
      <c r="D24" s="2186" t="str">
        <f>IF(F23&lt;=1,"销售费用×利率×(建设周期÷2)","销售费用×((1+利率)^(建设周期÷2)-1)")</f>
        <v>销售费用×((1+利率)^(建设周期÷2)-1)</v>
      </c>
      <c r="E24" s="750" t="s">
        <v>1302</v>
      </c>
      <c r="F24" s="784">
        <f ca="1">'数据-取费表'!B40</f>
        <v>3.4500000000000003E-2</v>
      </c>
      <c r="G24" s="3002"/>
      <c r="H24" s="2168" t="s">
        <v>1416</v>
      </c>
      <c r="I24" s="2163" t="s">
        <v>613</v>
      </c>
      <c r="J24" s="2161">
        <f ca="1">ROUND(J5*M24,2)</f>
        <v>0</v>
      </c>
      <c r="K24" s="2162" t="s">
        <v>1303</v>
      </c>
      <c r="L24" s="2163" t="s">
        <v>1276</v>
      </c>
      <c r="M24" s="2159">
        <f ca="1">INDIRECT("'数据-取费表'!Am"&amp;$G$1)</f>
        <v>0</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1304</v>
      </c>
      <c r="E25" s="1736"/>
      <c r="F25" s="54"/>
      <c r="G25" s="1785"/>
      <c r="H25" s="1615" t="s">
        <v>1305</v>
      </c>
      <c r="I25" s="2483" t="s">
        <v>2099</v>
      </c>
      <c r="J25" s="758">
        <f ca="1">J5-J16</f>
        <v>-1</v>
      </c>
      <c r="K25" s="2165" t="s">
        <v>1306</v>
      </c>
      <c r="L25" s="2166"/>
      <c r="M25" s="2167"/>
    </row>
    <row r="26" spans="1:33" ht="18" customHeight="1">
      <c r="A26" s="1452" t="s">
        <v>1360</v>
      </c>
      <c r="B26" s="750" t="s">
        <v>1785</v>
      </c>
      <c r="C26" s="51">
        <f ca="1">ROUND((C19+C20)*F26,0)</f>
        <v>322</v>
      </c>
      <c r="D26" s="777" t="s">
        <v>1307</v>
      </c>
      <c r="E26" s="761" t="s">
        <v>1308</v>
      </c>
      <c r="F26" s="760">
        <f ca="1">INDIRECT("'数据-取费表'!q"&amp;$G$1)</f>
        <v>0.05</v>
      </c>
      <c r="G26" s="1785"/>
      <c r="H26" s="2148" t="s">
        <v>1309</v>
      </c>
      <c r="I26" s="1950" t="s">
        <v>2104</v>
      </c>
      <c r="J26" s="749">
        <f ca="1">IF(J5&lt;&gt;0,ROUND(J25*(1-((1+M28)/(1+M26))^M27)/(M26-M28),0),0)</f>
        <v>0</v>
      </c>
      <c r="K26" s="779" t="s">
        <v>1310</v>
      </c>
      <c r="L26" s="750" t="s">
        <v>1773</v>
      </c>
      <c r="M26" s="760">
        <f ca="1">INDIRECT("'数据-取费表'!I"&amp;$G$1)</f>
        <v>5.5E-2</v>
      </c>
    </row>
    <row r="27" spans="1:33" ht="18" customHeight="1">
      <c r="A27" s="1452" t="s">
        <v>1361</v>
      </c>
      <c r="B27" s="750" t="s">
        <v>633</v>
      </c>
      <c r="C27" s="51">
        <f ca="1">ROUND(F21*F26,4)</f>
        <v>1E-3</v>
      </c>
      <c r="D27" s="777" t="s">
        <v>1311</v>
      </c>
      <c r="E27" s="772"/>
      <c r="F27" s="773"/>
      <c r="G27" s="1785"/>
      <c r="H27" s="2149"/>
      <c r="I27" s="753"/>
      <c r="J27" s="754"/>
      <c r="K27" s="786" t="s">
        <v>1312</v>
      </c>
      <c r="L27" s="750" t="s">
        <v>1313</v>
      </c>
      <c r="M27" s="787">
        <f ca="1">INDIRECT("'数据-取费表'!ag"&amp;$G$1)</f>
        <v>0</v>
      </c>
    </row>
    <row r="28" spans="1:33" s="1787" customFormat="1" ht="18" customHeight="1">
      <c r="A28" s="1454" t="s">
        <v>1370</v>
      </c>
      <c r="B28" s="750" t="s">
        <v>634</v>
      </c>
      <c r="C28" s="51">
        <f>ROUND(F28/(1+'数据-取费表'!C42),4)</f>
        <v>5.33E-2</v>
      </c>
      <c r="D28" s="777" t="s">
        <v>1656</v>
      </c>
      <c r="E28" s="750" t="s">
        <v>1314</v>
      </c>
      <c r="F28" s="775">
        <f>'数据-取费表'!B41</f>
        <v>5.6000000000000001E-2</v>
      </c>
      <c r="G28" s="3002"/>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7548</v>
      </c>
      <c r="D29" s="2162"/>
      <c r="E29" s="2163"/>
      <c r="F29" s="2164"/>
      <c r="G29" s="3002"/>
      <c r="H29" s="788" t="s">
        <v>1316</v>
      </c>
      <c r="I29" s="789" t="s">
        <v>1317</v>
      </c>
      <c r="J29" s="790">
        <f ca="1">ROUND(J26/(1+F40)^F41,0)</f>
        <v>0</v>
      </c>
      <c r="K29" s="791" t="s">
        <v>1318</v>
      </c>
      <c r="L29" s="792"/>
      <c r="M29" s="793">
        <f ca="1">INDIRECT("'数据-取费表'!k"&amp;$G$1)</f>
        <v>14080</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1</v>
      </c>
      <c r="D30" s="1607" t="s">
        <v>1320</v>
      </c>
      <c r="E30" s="2132"/>
      <c r="F30" s="2137"/>
      <c r="G30" s="1785"/>
      <c r="H30" s="1788"/>
      <c r="I30" s="1789"/>
      <c r="J30" s="1790"/>
      <c r="K30" s="1791"/>
      <c r="L30" s="1792"/>
      <c r="M30" s="1793"/>
    </row>
    <row r="31" spans="1:33" ht="18" customHeight="1">
      <c r="A31" s="1453" t="s">
        <v>1359</v>
      </c>
      <c r="B31" s="750" t="s">
        <v>604</v>
      </c>
      <c r="C31" s="2761">
        <f ca="1">ROUND(IF(AND(项目基本情况!B11="自然人",项目基本情况!B10="北京市"),C6*F31/(1+'数据-取费表'!C42),C32+C33+C34),2)</f>
        <v>0.72</v>
      </c>
      <c r="D31" s="1733" t="s">
        <v>1321</v>
      </c>
      <c r="E31" s="1731" t="s">
        <v>1322</v>
      </c>
      <c r="F31" s="2760" t="str">
        <f>IF(项目基本情况!B11="企业","——",IF(M47="住宅",IF(F6*F7*F8/12/(1+'数据-取费表'!F30)&gt;100000,4%,2.5%),IF(F6*F7*F8/12/(1+'数据-取费表'!F30)&gt;100000,12%,7%)))</f>
        <v>——</v>
      </c>
      <c r="G31" s="1785"/>
      <c r="H31" s="2999" t="s">
        <v>2275</v>
      </c>
      <c r="I31" s="1789"/>
      <c r="J31" s="1790"/>
      <c r="K31" s="1791"/>
      <c r="L31" s="1792"/>
      <c r="M31" s="1793"/>
    </row>
    <row r="32" spans="1:33" ht="18" customHeight="1">
      <c r="A32" s="1452" t="s">
        <v>1360</v>
      </c>
      <c r="B32" s="750" t="s">
        <v>1323</v>
      </c>
      <c r="C32" s="51">
        <f ca="1">ROUND(C6*F32/(1+'数据-取费表'!C42),2)</f>
        <v>0</v>
      </c>
      <c r="D32" s="1731" t="s">
        <v>1324</v>
      </c>
      <c r="E32" s="750" t="s">
        <v>1325</v>
      </c>
      <c r="F32" s="775">
        <f>'数据-取费表'!B41</f>
        <v>5.6000000000000001E-2</v>
      </c>
      <c r="G32" s="1785"/>
      <c r="H32" s="1794"/>
      <c r="I32" s="1795"/>
      <c r="J32" s="1796"/>
      <c r="K32" s="1797"/>
      <c r="L32" s="1798"/>
      <c r="M32" s="1799"/>
    </row>
    <row r="33" spans="1:18" ht="18" customHeight="1">
      <c r="A33" s="1452" t="s">
        <v>1361</v>
      </c>
      <c r="B33" s="750" t="s">
        <v>1326</v>
      </c>
      <c r="C33" s="51">
        <f ca="1">IF(D33="按租金收入计税",ROUND(C6*F33/(1+'数据-取费表'!C42),2),IF(D33="按房产原值计税",ROUND(C29*F33*0.7,2),INDIRECT("'数据-取费表'!Aj"&amp;$G$1)))</f>
        <v>0</v>
      </c>
      <c r="D33" s="776" t="s">
        <v>3241</v>
      </c>
      <c r="E33" s="750" t="s">
        <v>1325</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0.72</v>
      </c>
      <c r="D34" s="779" t="s">
        <v>1328</v>
      </c>
      <c r="E34" s="750" t="s">
        <v>1329</v>
      </c>
      <c r="F34" s="608">
        <f>'数据-取费表'!B52</f>
        <v>1.5</v>
      </c>
      <c r="G34" s="1785"/>
      <c r="H34" s="1788"/>
      <c r="I34" s="800" t="s">
        <v>1342</v>
      </c>
      <c r="J34" s="801"/>
      <c r="K34" s="1803"/>
      <c r="L34" s="1802"/>
      <c r="M34" s="1802"/>
    </row>
    <row r="35" spans="1:18" ht="18" customHeight="1">
      <c r="A35" s="780"/>
      <c r="B35" s="759"/>
      <c r="C35" s="67"/>
      <c r="D35" s="781"/>
      <c r="E35" s="750" t="s">
        <v>1330</v>
      </c>
      <c r="F35" s="751">
        <f ca="1">INDIRECT("'数据-取费表'!r"&amp;$G$1)</f>
        <v>4798.1200000000008</v>
      </c>
      <c r="G35" s="1785"/>
      <c r="H35" s="1788"/>
      <c r="I35" s="802" t="s">
        <v>1343</v>
      </c>
      <c r="J35" s="803">
        <f ca="1">ROUND(C13*J36,0)</f>
        <v>0</v>
      </c>
      <c r="K35" s="1801"/>
      <c r="L35" s="1800"/>
      <c r="M35" s="1800"/>
    </row>
    <row r="36" spans="1:18" ht="18" customHeight="1">
      <c r="A36" s="1453" t="s">
        <v>1414</v>
      </c>
      <c r="B36" s="750" t="s">
        <v>1331</v>
      </c>
      <c r="C36" s="51">
        <f ca="1">ROUND(C29*F36,2)</f>
        <v>0</v>
      </c>
      <c r="D36" s="1731" t="s">
        <v>1332</v>
      </c>
      <c r="E36" s="750" t="s">
        <v>1325</v>
      </c>
      <c r="F36" s="782">
        <f ca="1">INDIRECT("'数据-取费表'!Ak"&amp;$G$1)</f>
        <v>0</v>
      </c>
      <c r="G36" s="1785"/>
      <c r="H36" s="1800"/>
      <c r="I36" s="804" t="s">
        <v>1344</v>
      </c>
      <c r="J36" s="805">
        <f ca="1">INDIRECT("'数据-取费表'!j"&amp;$G$1)</f>
        <v>7.4999999999999997E-2</v>
      </c>
      <c r="K36" s="1804"/>
      <c r="L36" s="1800"/>
      <c r="M36" s="1800"/>
    </row>
    <row r="37" spans="1:18" ht="18" customHeight="1">
      <c r="A37" s="1453" t="s">
        <v>1415</v>
      </c>
      <c r="B37" s="750" t="s">
        <v>626</v>
      </c>
      <c r="C37" s="51">
        <f ca="1">ROUND(C13*F37,2)</f>
        <v>0</v>
      </c>
      <c r="D37" s="1731" t="s">
        <v>1333</v>
      </c>
      <c r="E37" s="750" t="s">
        <v>1325</v>
      </c>
      <c r="F37" s="783">
        <f ca="1">INDIRECT("'数据-取费表'!Al"&amp;$G$1)</f>
        <v>0</v>
      </c>
      <c r="G37" s="1785"/>
      <c r="H37" s="1800"/>
      <c r="I37" s="806" t="s">
        <v>1345</v>
      </c>
      <c r="J37" s="807"/>
      <c r="K37" s="1804"/>
      <c r="L37" s="1800"/>
      <c r="M37" s="1800"/>
    </row>
    <row r="38" spans="1:18" ht="18" customHeight="1" thickBot="1">
      <c r="A38" s="2168" t="s">
        <v>1416</v>
      </c>
      <c r="B38" s="2163" t="s">
        <v>613</v>
      </c>
      <c r="C38" s="2161">
        <f ca="1">ROUND(C5*F38,2)</f>
        <v>0</v>
      </c>
      <c r="D38" s="2162" t="s">
        <v>1334</v>
      </c>
      <c r="E38" s="2163" t="s">
        <v>1325</v>
      </c>
      <c r="F38" s="2159">
        <f ca="1">INDIRECT("'数据-取费表'!Am"&amp;$G$1)</f>
        <v>0</v>
      </c>
      <c r="G38" s="1785"/>
      <c r="H38" s="1800"/>
      <c r="I38" s="808" t="s">
        <v>1346</v>
      </c>
      <c r="J38" s="809"/>
      <c r="K38" s="1805"/>
      <c r="L38" s="1800"/>
      <c r="M38" s="1800"/>
    </row>
    <row r="39" spans="1:18" ht="24.6" customHeight="1" thickTop="1">
      <c r="A39" s="1615" t="s">
        <v>1419</v>
      </c>
      <c r="B39" s="2483" t="s">
        <v>2099</v>
      </c>
      <c r="C39" s="758">
        <f ca="1">C5-C30</f>
        <v>-1</v>
      </c>
      <c r="D39" s="2165" t="s">
        <v>1335</v>
      </c>
      <c r="E39" s="2166"/>
      <c r="F39" s="2167"/>
      <c r="G39" s="1785"/>
      <c r="H39" s="1800"/>
      <c r="I39" s="802" t="s">
        <v>1347</v>
      </c>
      <c r="J39" s="810">
        <f ca="1">ROUND(J35/C39,3)</f>
        <v>0</v>
      </c>
      <c r="K39" s="1805"/>
      <c r="L39" s="1800"/>
      <c r="M39" s="1800"/>
    </row>
    <row r="40" spans="1:18" ht="18" customHeight="1">
      <c r="A40" s="747" t="s">
        <v>1420</v>
      </c>
      <c r="B40" s="1950" t="s">
        <v>1658</v>
      </c>
      <c r="C40" s="749">
        <f ca="1">ROUND(C39*(1-((1+F42)/(1+F40))^F41)/(F40-F42),0)</f>
        <v>0</v>
      </c>
      <c r="D40" s="779" t="s">
        <v>1336</v>
      </c>
      <c r="E40" s="750" t="s">
        <v>1773</v>
      </c>
      <c r="F40" s="760">
        <f ca="1">INDIRECT("'数据-取费表'!I"&amp;$G$1)</f>
        <v>5.5E-2</v>
      </c>
      <c r="G40" s="1785"/>
      <c r="H40" s="1785"/>
      <c r="I40" s="802" t="s">
        <v>1348</v>
      </c>
      <c r="J40" s="810">
        <f ca="1">1-J39</f>
        <v>1</v>
      </c>
      <c r="K40" s="1805"/>
      <c r="L40" s="1785"/>
      <c r="M40" s="1785"/>
    </row>
    <row r="41" spans="1:18" ht="18" customHeight="1">
      <c r="A41" s="752"/>
      <c r="B41" s="753"/>
      <c r="C41" s="754"/>
      <c r="D41" s="786" t="s">
        <v>1337</v>
      </c>
      <c r="E41" s="750" t="s">
        <v>2215</v>
      </c>
      <c r="F41" s="787">
        <f ca="1">IF(INDIRECT("'数据-取费表'!af"&amp;$G$1)=0,INDIRECT("'数据-取费表'!ae"&amp;$G$1),INDIRECT("'数据-取费表'!af"&amp;$G$1))</f>
        <v>0</v>
      </c>
      <c r="G41" s="1785"/>
      <c r="H41" s="1740"/>
      <c r="I41" s="808" t="s">
        <v>1349</v>
      </c>
      <c r="J41" s="811"/>
      <c r="K41" s="1804"/>
      <c r="L41" s="1740"/>
      <c r="M41" s="1740"/>
    </row>
    <row r="42" spans="1:18" ht="18" customHeight="1">
      <c r="A42" s="756"/>
      <c r="B42" s="757"/>
      <c r="C42" s="758"/>
      <c r="D42" s="781"/>
      <c r="E42" s="750" t="s">
        <v>1338</v>
      </c>
      <c r="F42" s="760">
        <f ca="1">INDIRECT("'数据-取费表'!v"&amp;$G$1)</f>
        <v>0</v>
      </c>
      <c r="G42" s="1785"/>
      <c r="H42" s="1740"/>
      <c r="I42" s="812" t="s">
        <v>1350</v>
      </c>
      <c r="J42" s="810" t="e">
        <f ca="1">ROUND(C13/C40,3)</f>
        <v>#DIV/0!</v>
      </c>
      <c r="K42" s="1804"/>
      <c r="L42" s="1740"/>
      <c r="M42" s="1740"/>
    </row>
    <row r="43" spans="1:18" ht="18" customHeight="1" thickBot="1">
      <c r="A43" s="788" t="s">
        <v>1316</v>
      </c>
      <c r="B43" s="789" t="s">
        <v>1339</v>
      </c>
      <c r="C43" s="790">
        <f ca="1">ROUND(C40*10000/F43,0)</f>
        <v>0</v>
      </c>
      <c r="D43" s="791" t="s">
        <v>1340</v>
      </c>
      <c r="E43" s="792" t="s">
        <v>1341</v>
      </c>
      <c r="F43" s="793">
        <f ca="1">INDIRECT("'数据-取费表'!k"&amp;$G$1)</f>
        <v>14080</v>
      </c>
      <c r="G43" s="1785"/>
      <c r="H43" s="1740"/>
      <c r="I43" s="812" t="s">
        <v>1351</v>
      </c>
      <c r="J43" s="813" t="e">
        <f ca="1">1-J42</f>
        <v>#DIV/0!</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0</v>
      </c>
      <c r="D46" s="3003"/>
      <c r="E46" s="3003"/>
      <c r="F46" s="3003"/>
      <c r="I46" s="2069" t="s">
        <v>1697</v>
      </c>
      <c r="J46" s="2070"/>
      <c r="K46" s="2071"/>
      <c r="L46" s="2565" t="str">
        <f ca="1">IF(OR(M47="住宅",D1="土地（套用方法）"),0,IF(L48&gt;J51,L60,J60))</f>
        <v>0</v>
      </c>
      <c r="M46" s="3004"/>
      <c r="O46" s="2085" t="s">
        <v>1764</v>
      </c>
      <c r="P46" s="1404"/>
      <c r="Q46" s="1412"/>
      <c r="R46" s="1404"/>
    </row>
    <row r="47" spans="1:18" s="1782" customFormat="1" ht="18" customHeight="1" thickBot="1">
      <c r="A47" s="3654">
        <v>1</v>
      </c>
      <c r="B47" s="3655" t="s">
        <v>583</v>
      </c>
      <c r="C47" s="3656">
        <f ca="1">C48+C52+C54</f>
        <v>0</v>
      </c>
      <c r="D47" s="3657"/>
      <c r="E47" s="3657"/>
      <c r="F47" s="3658"/>
      <c r="I47" s="2556" t="s">
        <v>1698</v>
      </c>
      <c r="J47" s="2072" t="s">
        <v>3277</v>
      </c>
      <c r="K47" s="2562" t="s">
        <v>1703</v>
      </c>
      <c r="L47" s="2566">
        <f ca="1">INDIRECT("'数据-取费表'!d"&amp;$G$1)</f>
        <v>50</v>
      </c>
      <c r="M47" s="1412" t="str">
        <f>IF(ISNUMBER(FIND("住宅",C1)),"住宅","非住宅")</f>
        <v>非住宅</v>
      </c>
      <c r="O47" s="2086" t="s">
        <v>1729</v>
      </c>
      <c r="P47" s="2087" t="s">
        <v>1730</v>
      </c>
      <c r="Q47" s="2088" t="s">
        <v>1731</v>
      </c>
      <c r="R47" s="2087" t="s">
        <v>1732</v>
      </c>
    </row>
    <row r="48" spans="1:18" s="1782" customFormat="1" ht="18" customHeight="1" thickBot="1">
      <c r="A48" s="2247" t="s">
        <v>1820</v>
      </c>
      <c r="B48" s="2248" t="s">
        <v>1821</v>
      </c>
      <c r="C48" s="2065">
        <f ca="1">ROUND(F48*F50*F49*(1-F51)/10000,0)</f>
        <v>0</v>
      </c>
      <c r="D48" s="2066" t="s">
        <v>584</v>
      </c>
      <c r="E48" s="2067" t="s">
        <v>1653</v>
      </c>
      <c r="F48" s="2068">
        <f ca="1">M6</f>
        <v>0</v>
      </c>
      <c r="G48" s="1812"/>
      <c r="I48" s="2553" t="s">
        <v>1699</v>
      </c>
      <c r="J48" s="2073" t="s">
        <v>1704</v>
      </c>
      <c r="K48" s="2563" t="s">
        <v>1705</v>
      </c>
      <c r="L48" s="1663">
        <f ca="1">INDIRECT("'数据-取费表'!f"&amp;$G$1)</f>
        <v>49.93</v>
      </c>
      <c r="M48" s="3004"/>
      <c r="O48" s="2089" t="s">
        <v>1733</v>
      </c>
      <c r="P48" s="2090" t="s">
        <v>1759</v>
      </c>
      <c r="Q48" s="2091">
        <f ca="1">C40+J29</f>
        <v>0</v>
      </c>
      <c r="R48" s="2090" t="s">
        <v>1734</v>
      </c>
    </row>
    <row r="49" spans="1:18" s="1782" customFormat="1" ht="18" customHeight="1" thickBot="1">
      <c r="A49" s="752"/>
      <c r="B49" s="753"/>
      <c r="C49" s="754"/>
      <c r="D49" s="755"/>
      <c r="E49" s="750" t="s">
        <v>1268</v>
      </c>
      <c r="F49" s="751">
        <f ca="1">F7</f>
        <v>412</v>
      </c>
      <c r="G49" s="1812"/>
      <c r="H49" s="1815"/>
      <c r="I49" s="2553" t="s">
        <v>1700</v>
      </c>
      <c r="J49" s="2074"/>
      <c r="K49" s="2564" t="s">
        <v>1706</v>
      </c>
      <c r="L49" s="2075"/>
      <c r="M49" s="3004"/>
      <c r="O49" s="2089" t="s">
        <v>1735</v>
      </c>
      <c r="P49" s="2090" t="s">
        <v>1760</v>
      </c>
      <c r="Q49" s="2091" t="str">
        <f ca="1">J60</f>
        <v>0</v>
      </c>
      <c r="R49" s="2090" t="s">
        <v>1736</v>
      </c>
    </row>
    <row r="50" spans="1:18" s="1782" customFormat="1" ht="18" customHeight="1" thickBot="1">
      <c r="A50" s="752"/>
      <c r="B50" s="753"/>
      <c r="C50" s="754"/>
      <c r="D50" s="755"/>
      <c r="E50" s="750" t="s">
        <v>1269</v>
      </c>
      <c r="F50" s="751">
        <f ca="1">F8</f>
        <v>12</v>
      </c>
      <c r="G50" s="1817"/>
      <c r="H50" s="1815"/>
      <c r="I50" s="2553" t="s">
        <v>1701</v>
      </c>
      <c r="J50" s="2560">
        <f>SUMPRODUCT((I63:I65=J47)*(J62:L62=J48)*(J63:L65))</f>
        <v>60</v>
      </c>
      <c r="K50" s="2564" t="s">
        <v>1707</v>
      </c>
      <c r="L50" s="2075"/>
      <c r="M50" s="3004"/>
      <c r="O50" s="2092" t="s">
        <v>1737</v>
      </c>
      <c r="P50" s="2090" t="s">
        <v>1761</v>
      </c>
      <c r="Q50" s="2091">
        <f ca="1">C29</f>
        <v>7548</v>
      </c>
      <c r="R50" s="2090" t="s">
        <v>1734</v>
      </c>
    </row>
    <row r="51" spans="1:18" s="1782" customFormat="1" ht="18" customHeight="1" thickBot="1">
      <c r="A51" s="752"/>
      <c r="B51" s="753"/>
      <c r="C51" s="754"/>
      <c r="D51" s="755"/>
      <c r="E51" s="750" t="s">
        <v>588</v>
      </c>
      <c r="F51" s="2064"/>
      <c r="H51" s="1815"/>
      <c r="I51" s="2557" t="s">
        <v>1702</v>
      </c>
      <c r="J51" s="2561">
        <f>IF(J49="",J50,J49+J50-YEAR('数据-取费表'!B2))</f>
        <v>60</v>
      </c>
      <c r="K51" s="2553" t="s">
        <v>1708</v>
      </c>
      <c r="L51" s="2567">
        <f ca="1">ROUND(-PV(INDIRECT("'数据-取费表'!h"&amp;$G$1),J51,(C39-C13*J36),0),0)</f>
        <v>-19</v>
      </c>
      <c r="M51" s="3004"/>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2224</v>
      </c>
      <c r="E52" s="2144" t="s">
        <v>1808</v>
      </c>
      <c r="F52" s="2228"/>
      <c r="I52" s="2558" t="s">
        <v>1775</v>
      </c>
      <c r="J52" s="2076">
        <v>0.08</v>
      </c>
      <c r="K52" s="2558" t="s">
        <v>1774</v>
      </c>
      <c r="L52" s="2076"/>
      <c r="M52" s="3004"/>
      <c r="O52" s="2092" t="s">
        <v>1740</v>
      </c>
      <c r="P52" s="2090" t="s">
        <v>1741</v>
      </c>
      <c r="Q52" s="2093">
        <f>J52</f>
        <v>0.08</v>
      </c>
      <c r="R52" s="2094"/>
    </row>
    <row r="53" spans="1:18" s="1782" customFormat="1" ht="39.75" customHeight="1" thickBot="1">
      <c r="A53" s="752"/>
      <c r="B53" s="2141" t="s">
        <v>1856</v>
      </c>
      <c r="C53" s="2145"/>
      <c r="D53" s="2147"/>
      <c r="E53" s="2144"/>
      <c r="F53" s="766"/>
      <c r="I53" s="2559" t="s">
        <v>2227</v>
      </c>
      <c r="J53" s="2610">
        <f ca="1">IF(M47="住宅",IF(D1="——",MAX(J51,L48),MAX(J51,L48-'数据-取费表'!B20)),IF(D1="——",MIN(J51,L48),MIN(J51,L48-'数据-取费表'!B20)))</f>
        <v>49.93</v>
      </c>
      <c r="K53" s="3956" t="s">
        <v>2217</v>
      </c>
      <c r="L53" s="3957"/>
      <c r="M53" s="3004"/>
      <c r="O53" s="2092" t="s">
        <v>1742</v>
      </c>
      <c r="P53" s="2090" t="s">
        <v>1743</v>
      </c>
      <c r="Q53" s="2091">
        <f ca="1">J53</f>
        <v>49.93</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4"/>
      <c r="O54" s="2089" t="s">
        <v>1745</v>
      </c>
      <c r="P54" s="2090" t="s">
        <v>1762</v>
      </c>
      <c r="Q54" s="2091">
        <f ca="1">Q48+Q49</f>
        <v>0</v>
      </c>
      <c r="R54" s="2094" t="s">
        <v>1746</v>
      </c>
    </row>
    <row r="55" spans="1:18" s="1782" customFormat="1" ht="18" customHeight="1" thickTop="1" thickBot="1">
      <c r="A55" s="763">
        <v>2</v>
      </c>
      <c r="B55" s="764" t="s">
        <v>592</v>
      </c>
      <c r="C55" s="765">
        <f ca="1">C13</f>
        <v>0</v>
      </c>
      <c r="D55" s="761"/>
      <c r="E55" s="761"/>
      <c r="F55" s="766"/>
      <c r="I55" s="2570" t="s">
        <v>1709</v>
      </c>
      <c r="J55" s="2542" t="e">
        <f ca="1">ROUND(IF(J47="钢混",J57/J50,1-(1-2%)*(J50-J57)/J50),3)</f>
        <v>#VALUE!</v>
      </c>
      <c r="K55" s="2571" t="s">
        <v>1710</v>
      </c>
      <c r="L55" s="2077"/>
      <c r="M55" s="3004"/>
      <c r="O55" s="2095" t="s">
        <v>1765</v>
      </c>
      <c r="P55" s="1404"/>
      <c r="Q55" s="1412"/>
      <c r="R55" s="1404"/>
    </row>
    <row r="56" spans="1:18" s="1782" customFormat="1" ht="42.75" customHeight="1" thickBot="1">
      <c r="A56" s="1454"/>
      <c r="B56" s="1949" t="s">
        <v>1659</v>
      </c>
      <c r="C56" s="51">
        <f ca="1">C29</f>
        <v>7548</v>
      </c>
      <c r="D56" s="2244"/>
      <c r="E56" s="750"/>
      <c r="F56" s="775"/>
      <c r="I56" s="2572" t="s">
        <v>1711</v>
      </c>
      <c r="J56" s="2582" t="s">
        <v>3256</v>
      </c>
      <c r="K56" s="2553" t="s">
        <v>1716</v>
      </c>
      <c r="L56" s="1663" t="str">
        <f ca="1">IF(L48&lt;J51,"——",L48-J51)</f>
        <v>——</v>
      </c>
      <c r="M56" s="3004"/>
      <c r="O56" s="2086" t="s">
        <v>1729</v>
      </c>
      <c r="P56" s="2087" t="s">
        <v>1730</v>
      </c>
      <c r="Q56" s="2088" t="s">
        <v>1731</v>
      </c>
      <c r="R56" s="2087" t="s">
        <v>1732</v>
      </c>
    </row>
    <row r="57" spans="1:18" s="1782" customFormat="1" ht="28.5" customHeight="1" thickBot="1">
      <c r="A57" s="763" t="s">
        <v>1277</v>
      </c>
      <c r="B57" s="764" t="s">
        <v>599</v>
      </c>
      <c r="C57" s="765">
        <f ca="1">ROUND(C58+C63+C64+C65,0)</f>
        <v>1</v>
      </c>
      <c r="D57" s="24" t="s">
        <v>1279</v>
      </c>
      <c r="E57" s="2245"/>
      <c r="F57" s="54"/>
      <c r="I57" s="2573" t="s">
        <v>1712</v>
      </c>
      <c r="J57" s="2574" t="str">
        <f ca="1">IF(OR(M47="住宅",J51&lt;L48,J56="是"),"——",J51-L48)</f>
        <v>——</v>
      </c>
      <c r="K57" s="2553" t="s">
        <v>1717</v>
      </c>
      <c r="L57" s="1663" t="str">
        <f ca="1">IF(L48&lt;J51,"——",IF(L55="比较法",L49,IF(L55="基准地价",L50,L51)))</f>
        <v>——</v>
      </c>
      <c r="M57" s="3004"/>
      <c r="O57" s="2089" t="s">
        <v>1733</v>
      </c>
      <c r="P57" s="2090" t="s">
        <v>1763</v>
      </c>
      <c r="Q57" s="2091">
        <f ca="1">C40+J29</f>
        <v>0</v>
      </c>
      <c r="R57" s="2090" t="s">
        <v>1734</v>
      </c>
    </row>
    <row r="58" spans="1:18" s="1782" customFormat="1" ht="28.5" customHeight="1" thickBot="1">
      <c r="A58" s="1453" t="s">
        <v>1353</v>
      </c>
      <c r="B58" s="750" t="s">
        <v>604</v>
      </c>
      <c r="C58" s="2761">
        <f ca="1">ROUND(IF(AND(项目基本情况!B11="自然人",项目基本情况!B10="北京市"),C48*F58/(1+'数据-取费表'!C42),C59+C60+C61),2)</f>
        <v>0.72</v>
      </c>
      <c r="D58" s="2243" t="s">
        <v>605</v>
      </c>
      <c r="E58" s="2244" t="s">
        <v>637</v>
      </c>
      <c r="F58" s="2760" t="str">
        <f>IF(项目基本情况!B11="企业","——",IF('数据-取费表'!B10="住宅",IF(F48*F49*F50/12/(1+'数据-取费表'!F30)&gt;100000,4%,2.5%),IF(F48*F49*F50/12/(1+'数据-取费表'!F30)&gt;100000,12%,7%)))</f>
        <v>——</v>
      </c>
      <c r="I58" s="2573" t="s">
        <v>1713</v>
      </c>
      <c r="J58" s="2543" t="e">
        <f ca="1">IF(J55&lt;0.4,0.4,J55)</f>
        <v>#VALUE!</v>
      </c>
      <c r="K58" s="2553" t="s">
        <v>1718</v>
      </c>
      <c r="L58" s="1663" t="e">
        <f ca="1">ROUND(POWER(1+L52,L47-L48)*(POWER(1+L52,L48)-1)/(POWER(1+L52,L47)-1),4)</f>
        <v>#DIV/0!</v>
      </c>
      <c r="M58" s="3004"/>
      <c r="O58" s="2089" t="s">
        <v>1735</v>
      </c>
      <c r="P58" s="2090" t="s">
        <v>1766</v>
      </c>
      <c r="Q58" s="2091">
        <f ca="1">L60</f>
        <v>0</v>
      </c>
      <c r="R58" s="2094" t="s">
        <v>1768</v>
      </c>
    </row>
    <row r="59" spans="1:18" s="1782" customFormat="1" ht="28.5" customHeight="1" thickBot="1">
      <c r="A59" s="1452" t="s">
        <v>1360</v>
      </c>
      <c r="B59" s="750" t="s">
        <v>608</v>
      </c>
      <c r="C59" s="51">
        <f ca="1">ROUND(C47*F59/1.05,2)</f>
        <v>0</v>
      </c>
      <c r="D59" s="2244" t="s">
        <v>1285</v>
      </c>
      <c r="E59" s="750" t="s">
        <v>1276</v>
      </c>
      <c r="F59" s="775">
        <f t="shared" ref="F59:F65" si="0">F32</f>
        <v>5.6000000000000001E-2</v>
      </c>
      <c r="I59" s="2573" t="s">
        <v>1714</v>
      </c>
      <c r="J59" s="2574" t="str">
        <f ca="1">IF(OR(M47="住宅",J51&lt;L48,J56="是"),"——",ROUND(C29*J58,0))</f>
        <v>——</v>
      </c>
      <c r="K59" s="2553" t="str">
        <f>IF(D1="——","建筑物剩余耐用年限下的土地年期修正系数Kn","建设期及建筑物耐用年限下的土地年期修正系数Kn")</f>
        <v>建筑物剩余耐用年限下的土地年期修正系数Kn</v>
      </c>
      <c r="L59" s="1663" t="e">
        <f ca="1">ROUND(IF(D1="土地（套用方法）",POWER(1+L52,L47-(J51+'数据-取费表'!B20))*(POWER(1+L52,(J51+'数据-取费表'!B20))-1)/(POWER(1+L52,L47)-1),POWER(1+L52,L47-J51)*(POWER(1+L52,J51)-1)/(POWER(1+L52,L47)-1)),4)</f>
        <v>#DIV/0!</v>
      </c>
      <c r="M59" s="3004"/>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2244" t="str">
        <f>D33</f>
        <v>按租金收入计税</v>
      </c>
      <c r="E60" s="750" t="s">
        <v>1276</v>
      </c>
      <c r="F60" s="775">
        <f t="shared" si="0"/>
        <v>0.12</v>
      </c>
      <c r="I60" s="2575" t="s">
        <v>1715</v>
      </c>
      <c r="J60" s="2576" t="str">
        <f ca="1">IF(OR(M47="住宅",J51&lt;L48,J56="是"),"0",ROUND(J59/(1+J52)^J53,0))</f>
        <v>0</v>
      </c>
      <c r="K60" s="2577" t="s">
        <v>1720</v>
      </c>
      <c r="L60" s="2576">
        <f ca="1">IF(OR(M47="住宅",L48&lt;J51),0,ROUND(L57*(L58/L59-1),0))</f>
        <v>0</v>
      </c>
      <c r="M60" s="3004"/>
      <c r="O60" s="2092" t="s">
        <v>1738</v>
      </c>
      <c r="P60" s="2090" t="s">
        <v>1747</v>
      </c>
      <c r="Q60" s="2093">
        <f>L52</f>
        <v>0</v>
      </c>
      <c r="R60" s="2094"/>
    </row>
    <row r="61" spans="1:18" s="1782" customFormat="1" ht="18" customHeight="1" thickBot="1">
      <c r="A61" s="1455" t="s">
        <v>1362</v>
      </c>
      <c r="B61" s="332" t="s">
        <v>615</v>
      </c>
      <c r="C61" s="52">
        <f ca="1">ROUND(F61*F62/10000,2)</f>
        <v>0.72</v>
      </c>
      <c r="D61" s="779" t="s">
        <v>616</v>
      </c>
      <c r="E61" s="750" t="s">
        <v>617</v>
      </c>
      <c r="F61" s="608">
        <f t="shared" si="0"/>
        <v>1.5</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4798.1200000000008</v>
      </c>
      <c r="I62" s="2578" t="s">
        <v>1721</v>
      </c>
      <c r="J62" s="2579" t="s">
        <v>1722</v>
      </c>
      <c r="K62" s="2579" t="s">
        <v>1723</v>
      </c>
      <c r="L62" s="2579" t="s">
        <v>1704</v>
      </c>
      <c r="M62" s="2580" t="s">
        <v>2196</v>
      </c>
      <c r="O62" s="2092" t="s">
        <v>1742</v>
      </c>
      <c r="P62" s="2090" t="str">
        <f>K59</f>
        <v>建筑物剩余耐用年限下的土地年期修正系数Kn</v>
      </c>
      <c r="Q62" s="2091" t="e">
        <f ca="1">L59</f>
        <v>#DIV/0!</v>
      </c>
      <c r="R62" s="2094" t="s">
        <v>1751</v>
      </c>
    </row>
    <row r="63" spans="1:18" s="1782" customFormat="1" ht="15.75" thickBot="1">
      <c r="A63" s="1453" t="s">
        <v>1414</v>
      </c>
      <c r="B63" s="750" t="s">
        <v>623</v>
      </c>
      <c r="C63" s="51">
        <f ca="1">ROUND(C56*F63,2)</f>
        <v>0</v>
      </c>
      <c r="D63" s="2244" t="s">
        <v>1332</v>
      </c>
      <c r="E63" s="750" t="s">
        <v>1276</v>
      </c>
      <c r="F63" s="782">
        <f t="shared" ca="1" si="0"/>
        <v>0</v>
      </c>
      <c r="I63" s="2578" t="s">
        <v>1724</v>
      </c>
      <c r="J63" s="2579">
        <v>70</v>
      </c>
      <c r="K63" s="2579">
        <v>50</v>
      </c>
      <c r="L63" s="2579">
        <v>80</v>
      </c>
      <c r="M63" s="2581">
        <v>0.02</v>
      </c>
      <c r="O63" s="2089" t="s">
        <v>1745</v>
      </c>
      <c r="P63" s="2090" t="s">
        <v>1762</v>
      </c>
      <c r="Q63" s="2091">
        <f ca="1">Q57+Q58</f>
        <v>0</v>
      </c>
      <c r="R63" s="2094" t="s">
        <v>1746</v>
      </c>
    </row>
    <row r="64" spans="1:18" s="1782" customFormat="1" ht="16.5" thickBot="1">
      <c r="A64" s="1453" t="s">
        <v>1415</v>
      </c>
      <c r="B64" s="750" t="s">
        <v>626</v>
      </c>
      <c r="C64" s="51">
        <f ca="1">ROUND(C55*F64,2)</f>
        <v>0</v>
      </c>
      <c r="D64" s="2244" t="s">
        <v>627</v>
      </c>
      <c r="E64" s="750" t="s">
        <v>1276</v>
      </c>
      <c r="F64" s="783">
        <f t="shared" ca="1" si="0"/>
        <v>0</v>
      </c>
      <c r="I64" s="2578" t="s">
        <v>1725</v>
      </c>
      <c r="J64" s="2579">
        <v>50</v>
      </c>
      <c r="K64" s="2579">
        <v>35</v>
      </c>
      <c r="L64" s="2579">
        <v>60</v>
      </c>
      <c r="M64" s="811">
        <v>0</v>
      </c>
      <c r="O64" s="2095" t="s">
        <v>1769</v>
      </c>
      <c r="P64" s="1404"/>
      <c r="Q64" s="1412"/>
      <c r="R64" s="1404"/>
    </row>
    <row r="65" spans="1:18" s="1782" customFormat="1" ht="15.75" thickBot="1">
      <c r="A65" s="1453" t="s">
        <v>1416</v>
      </c>
      <c r="B65" s="750" t="s">
        <v>613</v>
      </c>
      <c r="C65" s="51">
        <f ca="1">ROUND(C47*F65,2)</f>
        <v>0</v>
      </c>
      <c r="D65" s="2244" t="s">
        <v>630</v>
      </c>
      <c r="E65" s="750" t="s">
        <v>1276</v>
      </c>
      <c r="F65" s="760">
        <f t="shared" ca="1" si="0"/>
        <v>0</v>
      </c>
      <c r="I65" s="2578" t="s">
        <v>1726</v>
      </c>
      <c r="J65" s="2579">
        <v>40</v>
      </c>
      <c r="K65" s="2579">
        <v>30</v>
      </c>
      <c r="L65" s="2579">
        <v>50</v>
      </c>
      <c r="M65" s="2581">
        <v>0.02</v>
      </c>
      <c r="O65" s="2086" t="s">
        <v>1729</v>
      </c>
      <c r="P65" s="2087" t="s">
        <v>1730</v>
      </c>
      <c r="Q65" s="2088" t="s">
        <v>1731</v>
      </c>
      <c r="R65" s="2087" t="s">
        <v>1732</v>
      </c>
    </row>
    <row r="66" spans="1:18" s="1782" customFormat="1" ht="24.75" thickBot="1">
      <c r="A66" s="763" t="s">
        <v>1305</v>
      </c>
      <c r="B66" s="2484" t="s">
        <v>2099</v>
      </c>
      <c r="C66" s="765">
        <f ca="1">C47-C57</f>
        <v>-1</v>
      </c>
      <c r="D66" s="2243" t="s">
        <v>647</v>
      </c>
      <c r="E66" s="2242"/>
      <c r="F66" s="785"/>
      <c r="K66" s="1808"/>
      <c r="O66" s="2089" t="s">
        <v>1733</v>
      </c>
      <c r="P66" s="2090" t="s">
        <v>1763</v>
      </c>
      <c r="Q66" s="2091">
        <f ca="1">C40+J29</f>
        <v>0</v>
      </c>
      <c r="R66" s="2090" t="s">
        <v>1734</v>
      </c>
    </row>
    <row r="67" spans="1:18" s="1782" customFormat="1" ht="20.25" thickBot="1">
      <c r="A67" s="747" t="s">
        <v>1309</v>
      </c>
      <c r="B67" s="1950" t="s">
        <v>1658</v>
      </c>
      <c r="C67" s="749">
        <f ca="1">ROUND(C66*(1-((1+F69)/(1+F67))^F68)/(F67-F69),0)</f>
        <v>0</v>
      </c>
      <c r="D67" s="779" t="s">
        <v>651</v>
      </c>
      <c r="E67" s="750" t="s">
        <v>652</v>
      </c>
      <c r="F67" s="760">
        <f ca="1">F40</f>
        <v>5.5E-2</v>
      </c>
      <c r="K67" s="1808"/>
      <c r="O67" s="2089" t="s">
        <v>1735</v>
      </c>
      <c r="P67" s="2090" t="s">
        <v>1766</v>
      </c>
      <c r="Q67" s="2091">
        <f ca="1">L60</f>
        <v>0</v>
      </c>
      <c r="R67" s="2094" t="s">
        <v>1768</v>
      </c>
    </row>
    <row r="68" spans="1:18" ht="21.75" thickBot="1">
      <c r="A68" s="752"/>
      <c r="B68" s="753"/>
      <c r="C68" s="754"/>
      <c r="D68" s="786" t="s">
        <v>1337</v>
      </c>
      <c r="E68" s="750" t="s">
        <v>1313</v>
      </c>
      <c r="F68" s="787">
        <f ca="1">F41</f>
        <v>0</v>
      </c>
      <c r="O68" s="2092" t="s">
        <v>1737</v>
      </c>
      <c r="P68" s="2090" t="s">
        <v>1767</v>
      </c>
      <c r="Q68" s="2096">
        <f ca="1">L51</f>
        <v>-19</v>
      </c>
      <c r="R68" s="2097" t="s">
        <v>1770</v>
      </c>
    </row>
    <row r="69" spans="1:18" ht="20.25" thickBot="1">
      <c r="A69" s="756"/>
      <c r="B69" s="757"/>
      <c r="C69" s="758"/>
      <c r="D69" s="781"/>
      <c r="E69" s="750" t="s">
        <v>657</v>
      </c>
      <c r="F69" s="2064"/>
      <c r="O69" s="2092" t="s">
        <v>1738</v>
      </c>
      <c r="P69" s="2098" t="s">
        <v>1752</v>
      </c>
      <c r="Q69" s="2091">
        <f ca="1">ROUND(Q70-Q71*Q72,0)</f>
        <v>-1</v>
      </c>
      <c r="R69" s="2094"/>
    </row>
    <row r="70" spans="1:18" ht="15.75" thickBot="1">
      <c r="A70" s="788" t="s">
        <v>1316</v>
      </c>
      <c r="B70" s="789" t="s">
        <v>1339</v>
      </c>
      <c r="C70" s="790">
        <f ca="1">ROUND(C67*10000/F70,0)</f>
        <v>0</v>
      </c>
      <c r="D70" s="791" t="s">
        <v>1340</v>
      </c>
      <c r="E70" s="792" t="s">
        <v>1341</v>
      </c>
      <c r="F70" s="793">
        <f ca="1">F43</f>
        <v>14080</v>
      </c>
      <c r="O70" s="2092" t="s">
        <v>1753</v>
      </c>
      <c r="P70" s="2098" t="s">
        <v>1754</v>
      </c>
      <c r="Q70" s="2091">
        <f ca="1">C39</f>
        <v>-1</v>
      </c>
      <c r="R70" s="2090" t="s">
        <v>1734</v>
      </c>
    </row>
    <row r="71" spans="1:18" ht="15.75" thickBot="1">
      <c r="O71" s="2092" t="s">
        <v>1755</v>
      </c>
      <c r="P71" s="2098" t="s">
        <v>1756</v>
      </c>
      <c r="Q71" s="2091">
        <f ca="1">C13</f>
        <v>0</v>
      </c>
      <c r="R71" s="2090" t="s">
        <v>1734</v>
      </c>
    </row>
    <row r="72" spans="1:18" ht="15.75" thickBot="1">
      <c r="O72" s="2092" t="s">
        <v>1757</v>
      </c>
      <c r="P72" s="2098" t="s">
        <v>1758</v>
      </c>
      <c r="Q72" s="2093">
        <f ca="1">J36</f>
        <v>7.4999999999999997E-2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建筑物剩余耐用年限下的土地年期修正系数Kn</v>
      </c>
      <c r="Q75" s="2091" t="e">
        <f ca="1">L59</f>
        <v>#DIV/0!</v>
      </c>
      <c r="R75" s="2094" t="s">
        <v>1751</v>
      </c>
    </row>
    <row r="76" spans="1:18" ht="15.75" thickBot="1">
      <c r="O76" s="2089" t="s">
        <v>1745</v>
      </c>
      <c r="P76" s="2090" t="s">
        <v>1762</v>
      </c>
      <c r="Q76" s="2091">
        <f ca="1">Q66+Q67</f>
        <v>0</v>
      </c>
      <c r="R76" s="2094"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6" priority="7">
      <formula>$L$48&gt;$J$51</formula>
    </cfRule>
  </conditionalFormatting>
  <conditionalFormatting sqref="I55">
    <cfRule type="expression" dxfId="105" priority="8">
      <formula>$J$51&gt;$L$48</formula>
    </cfRule>
  </conditionalFormatting>
  <conditionalFormatting sqref="I60">
    <cfRule type="expression" dxfId="104" priority="6">
      <formula>$J$51&gt;$L$48</formula>
    </cfRule>
  </conditionalFormatting>
  <conditionalFormatting sqref="K60">
    <cfRule type="expression" dxfId="103" priority="5">
      <formula>$L$48&gt;$J$51</formula>
    </cfRule>
  </conditionalFormatting>
  <conditionalFormatting sqref="C11">
    <cfRule type="expression" dxfId="102" priority="4">
      <formula>$F$10="自定义"</formula>
    </cfRule>
  </conditionalFormatting>
  <conditionalFormatting sqref="J11">
    <cfRule type="expression" dxfId="101" priority="2">
      <formula>$M$10="自定义"</formula>
    </cfRule>
  </conditionalFormatting>
  <conditionalFormatting sqref="C53">
    <cfRule type="expression" dxfId="10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3"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8" customWidth="1"/>
    <col min="2" max="2" width="8.875" style="3068"/>
    <col min="3" max="5" width="12.875" style="3068" customWidth="1"/>
    <col min="6" max="6" width="47.5" style="3068" customWidth="1"/>
    <col min="7" max="7" width="13" style="3228" customWidth="1"/>
    <col min="8" max="8" width="8.875" style="3062"/>
    <col min="9" max="9" width="8.875" style="3063"/>
    <col min="10" max="10" width="5.75" style="3229" customWidth="1"/>
    <col min="11" max="11" width="11.75" style="3229" customWidth="1"/>
    <col min="12" max="13" width="10.75" style="3229" customWidth="1"/>
    <col min="14" max="14" width="10" style="3229" customWidth="1"/>
    <col min="15" max="16" width="10.5" style="3229" bestFit="1" customWidth="1"/>
    <col min="17" max="17" width="10" style="3229" customWidth="1"/>
    <col min="18" max="18" width="10.125" style="3229" customWidth="1"/>
    <col min="19" max="19" width="10" style="3229" customWidth="1"/>
    <col min="20" max="20" width="26.125" style="3229" customWidth="1"/>
    <col min="21" max="21" width="8.875" style="3229"/>
    <col min="22" max="22" width="8.875" style="3063"/>
    <col min="23" max="256" width="8.875" style="3068"/>
    <col min="257" max="257" width="9.5" style="3068" customWidth="1"/>
    <col min="258" max="258" width="8.875" style="3068"/>
    <col min="259" max="261" width="12.875" style="3068" customWidth="1"/>
    <col min="262" max="262" width="47.5" style="3068" customWidth="1"/>
    <col min="263" max="263" width="13" style="3068" customWidth="1"/>
    <col min="264" max="265" width="8.875" style="3068"/>
    <col min="266" max="266" width="5.75" style="3068" customWidth="1"/>
    <col min="267" max="267" width="11.75" style="3068" customWidth="1"/>
    <col min="268" max="269" width="10.75" style="3068" customWidth="1"/>
    <col min="270" max="270" width="10" style="3068" customWidth="1"/>
    <col min="271" max="272" width="10.5" style="3068" bestFit="1" customWidth="1"/>
    <col min="273" max="273" width="10" style="3068" customWidth="1"/>
    <col min="274" max="274" width="10.125" style="3068" customWidth="1"/>
    <col min="275" max="275" width="10" style="3068" customWidth="1"/>
    <col min="276" max="276" width="26.125" style="3068" customWidth="1"/>
    <col min="277" max="512" width="8.875" style="3068"/>
    <col min="513" max="513" width="9.5" style="3068" customWidth="1"/>
    <col min="514" max="514" width="8.875" style="3068"/>
    <col min="515" max="517" width="12.875" style="3068" customWidth="1"/>
    <col min="518" max="518" width="47.5" style="3068" customWidth="1"/>
    <col min="519" max="519" width="13" style="3068" customWidth="1"/>
    <col min="520" max="521" width="8.875" style="3068"/>
    <col min="522" max="522" width="5.75" style="3068" customWidth="1"/>
    <col min="523" max="523" width="11.75" style="3068" customWidth="1"/>
    <col min="524" max="525" width="10.75" style="3068" customWidth="1"/>
    <col min="526" max="526" width="10" style="3068" customWidth="1"/>
    <col min="527" max="528" width="10.5" style="3068" bestFit="1" customWidth="1"/>
    <col min="529" max="529" width="10" style="3068" customWidth="1"/>
    <col min="530" max="530" width="10.125" style="3068" customWidth="1"/>
    <col min="531" max="531" width="10" style="3068" customWidth="1"/>
    <col min="532" max="532" width="26.125" style="3068" customWidth="1"/>
    <col min="533" max="768" width="8.875" style="3068"/>
    <col min="769" max="769" width="9.5" style="3068" customWidth="1"/>
    <col min="770" max="770" width="8.875" style="3068"/>
    <col min="771" max="773" width="12.875" style="3068" customWidth="1"/>
    <col min="774" max="774" width="47.5" style="3068" customWidth="1"/>
    <col min="775" max="775" width="13" style="3068" customWidth="1"/>
    <col min="776" max="777" width="8.875" style="3068"/>
    <col min="778" max="778" width="5.75" style="3068" customWidth="1"/>
    <col min="779" max="779" width="11.75" style="3068" customWidth="1"/>
    <col min="780" max="781" width="10.75" style="3068" customWidth="1"/>
    <col min="782" max="782" width="10" style="3068" customWidth="1"/>
    <col min="783" max="784" width="10.5" style="3068" bestFit="1" customWidth="1"/>
    <col min="785" max="785" width="10" style="3068" customWidth="1"/>
    <col min="786" max="786" width="10.125" style="3068" customWidth="1"/>
    <col min="787" max="787" width="10" style="3068" customWidth="1"/>
    <col min="788" max="788" width="26.125" style="3068" customWidth="1"/>
    <col min="789" max="1024" width="8.875" style="3068"/>
    <col min="1025" max="1025" width="9.5" style="3068" customWidth="1"/>
    <col min="1026" max="1026" width="8.875" style="3068"/>
    <col min="1027" max="1029" width="12.875" style="3068" customWidth="1"/>
    <col min="1030" max="1030" width="47.5" style="3068" customWidth="1"/>
    <col min="1031" max="1031" width="13" style="3068" customWidth="1"/>
    <col min="1032" max="1033" width="8.875" style="3068"/>
    <col min="1034" max="1034" width="5.75" style="3068" customWidth="1"/>
    <col min="1035" max="1035" width="11.75" style="3068" customWidth="1"/>
    <col min="1036" max="1037" width="10.75" style="3068" customWidth="1"/>
    <col min="1038" max="1038" width="10" style="3068" customWidth="1"/>
    <col min="1039" max="1040" width="10.5" style="3068" bestFit="1" customWidth="1"/>
    <col min="1041" max="1041" width="10" style="3068" customWidth="1"/>
    <col min="1042" max="1042" width="10.125" style="3068" customWidth="1"/>
    <col min="1043" max="1043" width="10" style="3068" customWidth="1"/>
    <col min="1044" max="1044" width="26.125" style="3068" customWidth="1"/>
    <col min="1045" max="1280" width="8.875" style="3068"/>
    <col min="1281" max="1281" width="9.5" style="3068" customWidth="1"/>
    <col min="1282" max="1282" width="8.875" style="3068"/>
    <col min="1283" max="1285" width="12.875" style="3068" customWidth="1"/>
    <col min="1286" max="1286" width="47.5" style="3068" customWidth="1"/>
    <col min="1287" max="1287" width="13" style="3068" customWidth="1"/>
    <col min="1288" max="1289" width="8.875" style="3068"/>
    <col min="1290" max="1290" width="5.75" style="3068" customWidth="1"/>
    <col min="1291" max="1291" width="11.75" style="3068" customWidth="1"/>
    <col min="1292" max="1293" width="10.75" style="3068" customWidth="1"/>
    <col min="1294" max="1294" width="10" style="3068" customWidth="1"/>
    <col min="1295" max="1296" width="10.5" style="3068" bestFit="1" customWidth="1"/>
    <col min="1297" max="1297" width="10" style="3068" customWidth="1"/>
    <col min="1298" max="1298" width="10.125" style="3068" customWidth="1"/>
    <col min="1299" max="1299" width="10" style="3068" customWidth="1"/>
    <col min="1300" max="1300" width="26.125" style="3068" customWidth="1"/>
    <col min="1301" max="1536" width="8.875" style="3068"/>
    <col min="1537" max="1537" width="9.5" style="3068" customWidth="1"/>
    <col min="1538" max="1538" width="8.875" style="3068"/>
    <col min="1539" max="1541" width="12.875" style="3068" customWidth="1"/>
    <col min="1542" max="1542" width="47.5" style="3068" customWidth="1"/>
    <col min="1543" max="1543" width="13" style="3068" customWidth="1"/>
    <col min="1544" max="1545" width="8.875" style="3068"/>
    <col min="1546" max="1546" width="5.75" style="3068" customWidth="1"/>
    <col min="1547" max="1547" width="11.75" style="3068" customWidth="1"/>
    <col min="1548" max="1549" width="10.75" style="3068" customWidth="1"/>
    <col min="1550" max="1550" width="10" style="3068" customWidth="1"/>
    <col min="1551" max="1552" width="10.5" style="3068" bestFit="1" customWidth="1"/>
    <col min="1553" max="1553" width="10" style="3068" customWidth="1"/>
    <col min="1554" max="1554" width="10.125" style="3068" customWidth="1"/>
    <col min="1555" max="1555" width="10" style="3068" customWidth="1"/>
    <col min="1556" max="1556" width="26.125" style="3068" customWidth="1"/>
    <col min="1557" max="1792" width="8.875" style="3068"/>
    <col min="1793" max="1793" width="9.5" style="3068" customWidth="1"/>
    <col min="1794" max="1794" width="8.875" style="3068"/>
    <col min="1795" max="1797" width="12.875" style="3068" customWidth="1"/>
    <col min="1798" max="1798" width="47.5" style="3068" customWidth="1"/>
    <col min="1799" max="1799" width="13" style="3068" customWidth="1"/>
    <col min="1800" max="1801" width="8.875" style="3068"/>
    <col min="1802" max="1802" width="5.75" style="3068" customWidth="1"/>
    <col min="1803" max="1803" width="11.75" style="3068" customWidth="1"/>
    <col min="1804" max="1805" width="10.75" style="3068" customWidth="1"/>
    <col min="1806" max="1806" width="10" style="3068" customWidth="1"/>
    <col min="1807" max="1808" width="10.5" style="3068" bestFit="1" customWidth="1"/>
    <col min="1809" max="1809" width="10" style="3068" customWidth="1"/>
    <col min="1810" max="1810" width="10.125" style="3068" customWidth="1"/>
    <col min="1811" max="1811" width="10" style="3068" customWidth="1"/>
    <col min="1812" max="1812" width="26.125" style="3068" customWidth="1"/>
    <col min="1813" max="2048" width="8.875" style="3068"/>
    <col min="2049" max="2049" width="9.5" style="3068" customWidth="1"/>
    <col min="2050" max="2050" width="8.875" style="3068"/>
    <col min="2051" max="2053" width="12.875" style="3068" customWidth="1"/>
    <col min="2054" max="2054" width="47.5" style="3068" customWidth="1"/>
    <col min="2055" max="2055" width="13" style="3068" customWidth="1"/>
    <col min="2056" max="2057" width="8.875" style="3068"/>
    <col min="2058" max="2058" width="5.75" style="3068" customWidth="1"/>
    <col min="2059" max="2059" width="11.75" style="3068" customWidth="1"/>
    <col min="2060" max="2061" width="10.75" style="3068" customWidth="1"/>
    <col min="2062" max="2062" width="10" style="3068" customWidth="1"/>
    <col min="2063" max="2064" width="10.5" style="3068" bestFit="1" customWidth="1"/>
    <col min="2065" max="2065" width="10" style="3068" customWidth="1"/>
    <col min="2066" max="2066" width="10.125" style="3068" customWidth="1"/>
    <col min="2067" max="2067" width="10" style="3068" customWidth="1"/>
    <col min="2068" max="2068" width="26.125" style="3068" customWidth="1"/>
    <col min="2069" max="2304" width="8.875" style="3068"/>
    <col min="2305" max="2305" width="9.5" style="3068" customWidth="1"/>
    <col min="2306" max="2306" width="8.875" style="3068"/>
    <col min="2307" max="2309" width="12.875" style="3068" customWidth="1"/>
    <col min="2310" max="2310" width="47.5" style="3068" customWidth="1"/>
    <col min="2311" max="2311" width="13" style="3068" customWidth="1"/>
    <col min="2312" max="2313" width="8.875" style="3068"/>
    <col min="2314" max="2314" width="5.75" style="3068" customWidth="1"/>
    <col min="2315" max="2315" width="11.75" style="3068" customWidth="1"/>
    <col min="2316" max="2317" width="10.75" style="3068" customWidth="1"/>
    <col min="2318" max="2318" width="10" style="3068" customWidth="1"/>
    <col min="2319" max="2320" width="10.5" style="3068" bestFit="1" customWidth="1"/>
    <col min="2321" max="2321" width="10" style="3068" customWidth="1"/>
    <col min="2322" max="2322" width="10.125" style="3068" customWidth="1"/>
    <col min="2323" max="2323" width="10" style="3068" customWidth="1"/>
    <col min="2324" max="2324" width="26.125" style="3068" customWidth="1"/>
    <col min="2325" max="2560" width="8.875" style="3068"/>
    <col min="2561" max="2561" width="9.5" style="3068" customWidth="1"/>
    <col min="2562" max="2562" width="8.875" style="3068"/>
    <col min="2563" max="2565" width="12.875" style="3068" customWidth="1"/>
    <col min="2566" max="2566" width="47.5" style="3068" customWidth="1"/>
    <col min="2567" max="2567" width="13" style="3068" customWidth="1"/>
    <col min="2568" max="2569" width="8.875" style="3068"/>
    <col min="2570" max="2570" width="5.75" style="3068" customWidth="1"/>
    <col min="2571" max="2571" width="11.75" style="3068" customWidth="1"/>
    <col min="2572" max="2573" width="10.75" style="3068" customWidth="1"/>
    <col min="2574" max="2574" width="10" style="3068" customWidth="1"/>
    <col min="2575" max="2576" width="10.5" style="3068" bestFit="1" customWidth="1"/>
    <col min="2577" max="2577" width="10" style="3068" customWidth="1"/>
    <col min="2578" max="2578" width="10.125" style="3068" customWidth="1"/>
    <col min="2579" max="2579" width="10" style="3068" customWidth="1"/>
    <col min="2580" max="2580" width="26.125" style="3068" customWidth="1"/>
    <col min="2581" max="2816" width="8.875" style="3068"/>
    <col min="2817" max="2817" width="9.5" style="3068" customWidth="1"/>
    <col min="2818" max="2818" width="8.875" style="3068"/>
    <col min="2819" max="2821" width="12.875" style="3068" customWidth="1"/>
    <col min="2822" max="2822" width="47.5" style="3068" customWidth="1"/>
    <col min="2823" max="2823" width="13" style="3068" customWidth="1"/>
    <col min="2824" max="2825" width="8.875" style="3068"/>
    <col min="2826" max="2826" width="5.75" style="3068" customWidth="1"/>
    <col min="2827" max="2827" width="11.75" style="3068" customWidth="1"/>
    <col min="2828" max="2829" width="10.75" style="3068" customWidth="1"/>
    <col min="2830" max="2830" width="10" style="3068" customWidth="1"/>
    <col min="2831" max="2832" width="10.5" style="3068" bestFit="1" customWidth="1"/>
    <col min="2833" max="2833" width="10" style="3068" customWidth="1"/>
    <col min="2834" max="2834" width="10.125" style="3068" customWidth="1"/>
    <col min="2835" max="2835" width="10" style="3068" customWidth="1"/>
    <col min="2836" max="2836" width="26.125" style="3068" customWidth="1"/>
    <col min="2837" max="3072" width="8.875" style="3068"/>
    <col min="3073" max="3073" width="9.5" style="3068" customWidth="1"/>
    <col min="3074" max="3074" width="8.875" style="3068"/>
    <col min="3075" max="3077" width="12.875" style="3068" customWidth="1"/>
    <col min="3078" max="3078" width="47.5" style="3068" customWidth="1"/>
    <col min="3079" max="3079" width="13" style="3068" customWidth="1"/>
    <col min="3080" max="3081" width="8.875" style="3068"/>
    <col min="3082" max="3082" width="5.75" style="3068" customWidth="1"/>
    <col min="3083" max="3083" width="11.75" style="3068" customWidth="1"/>
    <col min="3084" max="3085" width="10.75" style="3068" customWidth="1"/>
    <col min="3086" max="3086" width="10" style="3068" customWidth="1"/>
    <col min="3087" max="3088" width="10.5" style="3068" bestFit="1" customWidth="1"/>
    <col min="3089" max="3089" width="10" style="3068" customWidth="1"/>
    <col min="3090" max="3090" width="10.125" style="3068" customWidth="1"/>
    <col min="3091" max="3091" width="10" style="3068" customWidth="1"/>
    <col min="3092" max="3092" width="26.125" style="3068" customWidth="1"/>
    <col min="3093" max="3328" width="8.875" style="3068"/>
    <col min="3329" max="3329" width="9.5" style="3068" customWidth="1"/>
    <col min="3330" max="3330" width="8.875" style="3068"/>
    <col min="3331" max="3333" width="12.875" style="3068" customWidth="1"/>
    <col min="3334" max="3334" width="47.5" style="3068" customWidth="1"/>
    <col min="3335" max="3335" width="13" style="3068" customWidth="1"/>
    <col min="3336" max="3337" width="8.875" style="3068"/>
    <col min="3338" max="3338" width="5.75" style="3068" customWidth="1"/>
    <col min="3339" max="3339" width="11.75" style="3068" customWidth="1"/>
    <col min="3340" max="3341" width="10.75" style="3068" customWidth="1"/>
    <col min="3342" max="3342" width="10" style="3068" customWidth="1"/>
    <col min="3343" max="3344" width="10.5" style="3068" bestFit="1" customWidth="1"/>
    <col min="3345" max="3345" width="10" style="3068" customWidth="1"/>
    <col min="3346" max="3346" width="10.125" style="3068" customWidth="1"/>
    <col min="3347" max="3347" width="10" style="3068" customWidth="1"/>
    <col min="3348" max="3348" width="26.125" style="3068" customWidth="1"/>
    <col min="3349" max="3584" width="8.875" style="3068"/>
    <col min="3585" max="3585" width="9.5" style="3068" customWidth="1"/>
    <col min="3586" max="3586" width="8.875" style="3068"/>
    <col min="3587" max="3589" width="12.875" style="3068" customWidth="1"/>
    <col min="3590" max="3590" width="47.5" style="3068" customWidth="1"/>
    <col min="3591" max="3591" width="13" style="3068" customWidth="1"/>
    <col min="3592" max="3593" width="8.875" style="3068"/>
    <col min="3594" max="3594" width="5.75" style="3068" customWidth="1"/>
    <col min="3595" max="3595" width="11.75" style="3068" customWidth="1"/>
    <col min="3596" max="3597" width="10.75" style="3068" customWidth="1"/>
    <col min="3598" max="3598" width="10" style="3068" customWidth="1"/>
    <col min="3599" max="3600" width="10.5" style="3068" bestFit="1" customWidth="1"/>
    <col min="3601" max="3601" width="10" style="3068" customWidth="1"/>
    <col min="3602" max="3602" width="10.125" style="3068" customWidth="1"/>
    <col min="3603" max="3603" width="10" style="3068" customWidth="1"/>
    <col min="3604" max="3604" width="26.125" style="3068" customWidth="1"/>
    <col min="3605" max="3840" width="8.875" style="3068"/>
    <col min="3841" max="3841" width="9.5" style="3068" customWidth="1"/>
    <col min="3842" max="3842" width="8.875" style="3068"/>
    <col min="3843" max="3845" width="12.875" style="3068" customWidth="1"/>
    <col min="3846" max="3846" width="47.5" style="3068" customWidth="1"/>
    <col min="3847" max="3847" width="13" style="3068" customWidth="1"/>
    <col min="3848" max="3849" width="8.875" style="3068"/>
    <col min="3850" max="3850" width="5.75" style="3068" customWidth="1"/>
    <col min="3851" max="3851" width="11.75" style="3068" customWidth="1"/>
    <col min="3852" max="3853" width="10.75" style="3068" customWidth="1"/>
    <col min="3854" max="3854" width="10" style="3068" customWidth="1"/>
    <col min="3855" max="3856" width="10.5" style="3068" bestFit="1" customWidth="1"/>
    <col min="3857" max="3857" width="10" style="3068" customWidth="1"/>
    <col min="3858" max="3858" width="10.125" style="3068" customWidth="1"/>
    <col min="3859" max="3859" width="10" style="3068" customWidth="1"/>
    <col min="3860" max="3860" width="26.125" style="3068" customWidth="1"/>
    <col min="3861" max="4096" width="8.875" style="3068"/>
    <col min="4097" max="4097" width="9.5" style="3068" customWidth="1"/>
    <col min="4098" max="4098" width="8.875" style="3068"/>
    <col min="4099" max="4101" width="12.875" style="3068" customWidth="1"/>
    <col min="4102" max="4102" width="47.5" style="3068" customWidth="1"/>
    <col min="4103" max="4103" width="13" style="3068" customWidth="1"/>
    <col min="4104" max="4105" width="8.875" style="3068"/>
    <col min="4106" max="4106" width="5.75" style="3068" customWidth="1"/>
    <col min="4107" max="4107" width="11.75" style="3068" customWidth="1"/>
    <col min="4108" max="4109" width="10.75" style="3068" customWidth="1"/>
    <col min="4110" max="4110" width="10" style="3068" customWidth="1"/>
    <col min="4111" max="4112" width="10.5" style="3068" bestFit="1" customWidth="1"/>
    <col min="4113" max="4113" width="10" style="3068" customWidth="1"/>
    <col min="4114" max="4114" width="10.125" style="3068" customWidth="1"/>
    <col min="4115" max="4115" width="10" style="3068" customWidth="1"/>
    <col min="4116" max="4116" width="26.125" style="3068" customWidth="1"/>
    <col min="4117" max="4352" width="8.875" style="3068"/>
    <col min="4353" max="4353" width="9.5" style="3068" customWidth="1"/>
    <col min="4354" max="4354" width="8.875" style="3068"/>
    <col min="4355" max="4357" width="12.875" style="3068" customWidth="1"/>
    <col min="4358" max="4358" width="47.5" style="3068" customWidth="1"/>
    <col min="4359" max="4359" width="13" style="3068" customWidth="1"/>
    <col min="4360" max="4361" width="8.875" style="3068"/>
    <col min="4362" max="4362" width="5.75" style="3068" customWidth="1"/>
    <col min="4363" max="4363" width="11.75" style="3068" customWidth="1"/>
    <col min="4364" max="4365" width="10.75" style="3068" customWidth="1"/>
    <col min="4366" max="4366" width="10" style="3068" customWidth="1"/>
    <col min="4367" max="4368" width="10.5" style="3068" bestFit="1" customWidth="1"/>
    <col min="4369" max="4369" width="10" style="3068" customWidth="1"/>
    <col min="4370" max="4370" width="10.125" style="3068" customWidth="1"/>
    <col min="4371" max="4371" width="10" style="3068" customWidth="1"/>
    <col min="4372" max="4372" width="26.125" style="3068" customWidth="1"/>
    <col min="4373" max="4608" width="8.875" style="3068"/>
    <col min="4609" max="4609" width="9.5" style="3068" customWidth="1"/>
    <col min="4610" max="4610" width="8.875" style="3068"/>
    <col min="4611" max="4613" width="12.875" style="3068" customWidth="1"/>
    <col min="4614" max="4614" width="47.5" style="3068" customWidth="1"/>
    <col min="4615" max="4615" width="13" style="3068" customWidth="1"/>
    <col min="4616" max="4617" width="8.875" style="3068"/>
    <col min="4618" max="4618" width="5.75" style="3068" customWidth="1"/>
    <col min="4619" max="4619" width="11.75" style="3068" customWidth="1"/>
    <col min="4620" max="4621" width="10.75" style="3068" customWidth="1"/>
    <col min="4622" max="4622" width="10" style="3068" customWidth="1"/>
    <col min="4623" max="4624" width="10.5" style="3068" bestFit="1" customWidth="1"/>
    <col min="4625" max="4625" width="10" style="3068" customWidth="1"/>
    <col min="4626" max="4626" width="10.125" style="3068" customWidth="1"/>
    <col min="4627" max="4627" width="10" style="3068" customWidth="1"/>
    <col min="4628" max="4628" width="26.125" style="3068" customWidth="1"/>
    <col min="4629" max="4864" width="8.875" style="3068"/>
    <col min="4865" max="4865" width="9.5" style="3068" customWidth="1"/>
    <col min="4866" max="4866" width="8.875" style="3068"/>
    <col min="4867" max="4869" width="12.875" style="3068" customWidth="1"/>
    <col min="4870" max="4870" width="47.5" style="3068" customWidth="1"/>
    <col min="4871" max="4871" width="13" style="3068" customWidth="1"/>
    <col min="4872" max="4873" width="8.875" style="3068"/>
    <col min="4874" max="4874" width="5.75" style="3068" customWidth="1"/>
    <col min="4875" max="4875" width="11.75" style="3068" customWidth="1"/>
    <col min="4876" max="4877" width="10.75" style="3068" customWidth="1"/>
    <col min="4878" max="4878" width="10" style="3068" customWidth="1"/>
    <col min="4879" max="4880" width="10.5" style="3068" bestFit="1" customWidth="1"/>
    <col min="4881" max="4881" width="10" style="3068" customWidth="1"/>
    <col min="4882" max="4882" width="10.125" style="3068" customWidth="1"/>
    <col min="4883" max="4883" width="10" style="3068" customWidth="1"/>
    <col min="4884" max="4884" width="26.125" style="3068" customWidth="1"/>
    <col min="4885" max="5120" width="8.875" style="3068"/>
    <col min="5121" max="5121" width="9.5" style="3068" customWidth="1"/>
    <col min="5122" max="5122" width="8.875" style="3068"/>
    <col min="5123" max="5125" width="12.875" style="3068" customWidth="1"/>
    <col min="5126" max="5126" width="47.5" style="3068" customWidth="1"/>
    <col min="5127" max="5127" width="13" style="3068" customWidth="1"/>
    <col min="5128" max="5129" width="8.875" style="3068"/>
    <col min="5130" max="5130" width="5.75" style="3068" customWidth="1"/>
    <col min="5131" max="5131" width="11.75" style="3068" customWidth="1"/>
    <col min="5132" max="5133" width="10.75" style="3068" customWidth="1"/>
    <col min="5134" max="5134" width="10" style="3068" customWidth="1"/>
    <col min="5135" max="5136" width="10.5" style="3068" bestFit="1" customWidth="1"/>
    <col min="5137" max="5137" width="10" style="3068" customWidth="1"/>
    <col min="5138" max="5138" width="10.125" style="3068" customWidth="1"/>
    <col min="5139" max="5139" width="10" style="3068" customWidth="1"/>
    <col min="5140" max="5140" width="26.125" style="3068" customWidth="1"/>
    <col min="5141" max="5376" width="8.875" style="3068"/>
    <col min="5377" max="5377" width="9.5" style="3068" customWidth="1"/>
    <col min="5378" max="5378" width="8.875" style="3068"/>
    <col min="5379" max="5381" width="12.875" style="3068" customWidth="1"/>
    <col min="5382" max="5382" width="47.5" style="3068" customWidth="1"/>
    <col min="5383" max="5383" width="13" style="3068" customWidth="1"/>
    <col min="5384" max="5385" width="8.875" style="3068"/>
    <col min="5386" max="5386" width="5.75" style="3068" customWidth="1"/>
    <col min="5387" max="5387" width="11.75" style="3068" customWidth="1"/>
    <col min="5388" max="5389" width="10.75" style="3068" customWidth="1"/>
    <col min="5390" max="5390" width="10" style="3068" customWidth="1"/>
    <col min="5391" max="5392" width="10.5" style="3068" bestFit="1" customWidth="1"/>
    <col min="5393" max="5393" width="10" style="3068" customWidth="1"/>
    <col min="5394" max="5394" width="10.125" style="3068" customWidth="1"/>
    <col min="5395" max="5395" width="10" style="3068" customWidth="1"/>
    <col min="5396" max="5396" width="26.125" style="3068" customWidth="1"/>
    <col min="5397" max="5632" width="8.875" style="3068"/>
    <col min="5633" max="5633" width="9.5" style="3068" customWidth="1"/>
    <col min="5634" max="5634" width="8.875" style="3068"/>
    <col min="5635" max="5637" width="12.875" style="3068" customWidth="1"/>
    <col min="5638" max="5638" width="47.5" style="3068" customWidth="1"/>
    <col min="5639" max="5639" width="13" style="3068" customWidth="1"/>
    <col min="5640" max="5641" width="8.875" style="3068"/>
    <col min="5642" max="5642" width="5.75" style="3068" customWidth="1"/>
    <col min="5643" max="5643" width="11.75" style="3068" customWidth="1"/>
    <col min="5644" max="5645" width="10.75" style="3068" customWidth="1"/>
    <col min="5646" max="5646" width="10" style="3068" customWidth="1"/>
    <col min="5647" max="5648" width="10.5" style="3068" bestFit="1" customWidth="1"/>
    <col min="5649" max="5649" width="10" style="3068" customWidth="1"/>
    <col min="5650" max="5650" width="10.125" style="3068" customWidth="1"/>
    <col min="5651" max="5651" width="10" style="3068" customWidth="1"/>
    <col min="5652" max="5652" width="26.125" style="3068" customWidth="1"/>
    <col min="5653" max="5888" width="8.875" style="3068"/>
    <col min="5889" max="5889" width="9.5" style="3068" customWidth="1"/>
    <col min="5890" max="5890" width="8.875" style="3068"/>
    <col min="5891" max="5893" width="12.875" style="3068" customWidth="1"/>
    <col min="5894" max="5894" width="47.5" style="3068" customWidth="1"/>
    <col min="5895" max="5895" width="13" style="3068" customWidth="1"/>
    <col min="5896" max="5897" width="8.875" style="3068"/>
    <col min="5898" max="5898" width="5.75" style="3068" customWidth="1"/>
    <col min="5899" max="5899" width="11.75" style="3068" customWidth="1"/>
    <col min="5900" max="5901" width="10.75" style="3068" customWidth="1"/>
    <col min="5902" max="5902" width="10" style="3068" customWidth="1"/>
    <col min="5903" max="5904" width="10.5" style="3068" bestFit="1" customWidth="1"/>
    <col min="5905" max="5905" width="10" style="3068" customWidth="1"/>
    <col min="5906" max="5906" width="10.125" style="3068" customWidth="1"/>
    <col min="5907" max="5907" width="10" style="3068" customWidth="1"/>
    <col min="5908" max="5908" width="26.125" style="3068" customWidth="1"/>
    <col min="5909" max="6144" width="8.875" style="3068"/>
    <col min="6145" max="6145" width="9.5" style="3068" customWidth="1"/>
    <col min="6146" max="6146" width="8.875" style="3068"/>
    <col min="6147" max="6149" width="12.875" style="3068" customWidth="1"/>
    <col min="6150" max="6150" width="47.5" style="3068" customWidth="1"/>
    <col min="6151" max="6151" width="13" style="3068" customWidth="1"/>
    <col min="6152" max="6153" width="8.875" style="3068"/>
    <col min="6154" max="6154" width="5.75" style="3068" customWidth="1"/>
    <col min="6155" max="6155" width="11.75" style="3068" customWidth="1"/>
    <col min="6156" max="6157" width="10.75" style="3068" customWidth="1"/>
    <col min="6158" max="6158" width="10" style="3068" customWidth="1"/>
    <col min="6159" max="6160" width="10.5" style="3068" bestFit="1" customWidth="1"/>
    <col min="6161" max="6161" width="10" style="3068" customWidth="1"/>
    <col min="6162" max="6162" width="10.125" style="3068" customWidth="1"/>
    <col min="6163" max="6163" width="10" style="3068" customWidth="1"/>
    <col min="6164" max="6164" width="26.125" style="3068" customWidth="1"/>
    <col min="6165" max="6400" width="8.875" style="3068"/>
    <col min="6401" max="6401" width="9.5" style="3068" customWidth="1"/>
    <col min="6402" max="6402" width="8.875" style="3068"/>
    <col min="6403" max="6405" width="12.875" style="3068" customWidth="1"/>
    <col min="6406" max="6406" width="47.5" style="3068" customWidth="1"/>
    <col min="6407" max="6407" width="13" style="3068" customWidth="1"/>
    <col min="6408" max="6409" width="8.875" style="3068"/>
    <col min="6410" max="6410" width="5.75" style="3068" customWidth="1"/>
    <col min="6411" max="6411" width="11.75" style="3068" customWidth="1"/>
    <col min="6412" max="6413" width="10.75" style="3068" customWidth="1"/>
    <col min="6414" max="6414" width="10" style="3068" customWidth="1"/>
    <col min="6415" max="6416" width="10.5" style="3068" bestFit="1" customWidth="1"/>
    <col min="6417" max="6417" width="10" style="3068" customWidth="1"/>
    <col min="6418" max="6418" width="10.125" style="3068" customWidth="1"/>
    <col min="6419" max="6419" width="10" style="3068" customWidth="1"/>
    <col min="6420" max="6420" width="26.125" style="3068" customWidth="1"/>
    <col min="6421" max="6656" width="8.875" style="3068"/>
    <col min="6657" max="6657" width="9.5" style="3068" customWidth="1"/>
    <col min="6658" max="6658" width="8.875" style="3068"/>
    <col min="6659" max="6661" width="12.875" style="3068" customWidth="1"/>
    <col min="6662" max="6662" width="47.5" style="3068" customWidth="1"/>
    <col min="6663" max="6663" width="13" style="3068" customWidth="1"/>
    <col min="6664" max="6665" width="8.875" style="3068"/>
    <col min="6666" max="6666" width="5.75" style="3068" customWidth="1"/>
    <col min="6667" max="6667" width="11.75" style="3068" customWidth="1"/>
    <col min="6668" max="6669" width="10.75" style="3068" customWidth="1"/>
    <col min="6670" max="6670" width="10" style="3068" customWidth="1"/>
    <col min="6671" max="6672" width="10.5" style="3068" bestFit="1" customWidth="1"/>
    <col min="6673" max="6673" width="10" style="3068" customWidth="1"/>
    <col min="6674" max="6674" width="10.125" style="3068" customWidth="1"/>
    <col min="6675" max="6675" width="10" style="3068" customWidth="1"/>
    <col min="6676" max="6676" width="26.125" style="3068" customWidth="1"/>
    <col min="6677" max="6912" width="8.875" style="3068"/>
    <col min="6913" max="6913" width="9.5" style="3068" customWidth="1"/>
    <col min="6914" max="6914" width="8.875" style="3068"/>
    <col min="6915" max="6917" width="12.875" style="3068" customWidth="1"/>
    <col min="6918" max="6918" width="47.5" style="3068" customWidth="1"/>
    <col min="6919" max="6919" width="13" style="3068" customWidth="1"/>
    <col min="6920" max="6921" width="8.875" style="3068"/>
    <col min="6922" max="6922" width="5.75" style="3068" customWidth="1"/>
    <col min="6923" max="6923" width="11.75" style="3068" customWidth="1"/>
    <col min="6924" max="6925" width="10.75" style="3068" customWidth="1"/>
    <col min="6926" max="6926" width="10" style="3068" customWidth="1"/>
    <col min="6927" max="6928" width="10.5" style="3068" bestFit="1" customWidth="1"/>
    <col min="6929" max="6929" width="10" style="3068" customWidth="1"/>
    <col min="6930" max="6930" width="10.125" style="3068" customWidth="1"/>
    <col min="6931" max="6931" width="10" style="3068" customWidth="1"/>
    <col min="6932" max="6932" width="26.125" style="3068" customWidth="1"/>
    <col min="6933" max="7168" width="8.875" style="3068"/>
    <col min="7169" max="7169" width="9.5" style="3068" customWidth="1"/>
    <col min="7170" max="7170" width="8.875" style="3068"/>
    <col min="7171" max="7173" width="12.875" style="3068" customWidth="1"/>
    <col min="7174" max="7174" width="47.5" style="3068" customWidth="1"/>
    <col min="7175" max="7175" width="13" style="3068" customWidth="1"/>
    <col min="7176" max="7177" width="8.875" style="3068"/>
    <col min="7178" max="7178" width="5.75" style="3068" customWidth="1"/>
    <col min="7179" max="7179" width="11.75" style="3068" customWidth="1"/>
    <col min="7180" max="7181" width="10.75" style="3068" customWidth="1"/>
    <col min="7182" max="7182" width="10" style="3068" customWidth="1"/>
    <col min="7183" max="7184" width="10.5" style="3068" bestFit="1" customWidth="1"/>
    <col min="7185" max="7185" width="10" style="3068" customWidth="1"/>
    <col min="7186" max="7186" width="10.125" style="3068" customWidth="1"/>
    <col min="7187" max="7187" width="10" style="3068" customWidth="1"/>
    <col min="7188" max="7188" width="26.125" style="3068" customWidth="1"/>
    <col min="7189" max="7424" width="8.875" style="3068"/>
    <col min="7425" max="7425" width="9.5" style="3068" customWidth="1"/>
    <col min="7426" max="7426" width="8.875" style="3068"/>
    <col min="7427" max="7429" width="12.875" style="3068" customWidth="1"/>
    <col min="7430" max="7430" width="47.5" style="3068" customWidth="1"/>
    <col min="7431" max="7431" width="13" style="3068" customWidth="1"/>
    <col min="7432" max="7433" width="8.875" style="3068"/>
    <col min="7434" max="7434" width="5.75" style="3068" customWidth="1"/>
    <col min="7435" max="7435" width="11.75" style="3068" customWidth="1"/>
    <col min="7436" max="7437" width="10.75" style="3068" customWidth="1"/>
    <col min="7438" max="7438" width="10" style="3068" customWidth="1"/>
    <col min="7439" max="7440" width="10.5" style="3068" bestFit="1" customWidth="1"/>
    <col min="7441" max="7441" width="10" style="3068" customWidth="1"/>
    <col min="7442" max="7442" width="10.125" style="3068" customWidth="1"/>
    <col min="7443" max="7443" width="10" style="3068" customWidth="1"/>
    <col min="7444" max="7444" width="26.125" style="3068" customWidth="1"/>
    <col min="7445" max="7680" width="8.875" style="3068"/>
    <col min="7681" max="7681" width="9.5" style="3068" customWidth="1"/>
    <col min="7682" max="7682" width="8.875" style="3068"/>
    <col min="7683" max="7685" width="12.875" style="3068" customWidth="1"/>
    <col min="7686" max="7686" width="47.5" style="3068" customWidth="1"/>
    <col min="7687" max="7687" width="13" style="3068" customWidth="1"/>
    <col min="7688" max="7689" width="8.875" style="3068"/>
    <col min="7690" max="7690" width="5.75" style="3068" customWidth="1"/>
    <col min="7691" max="7691" width="11.75" style="3068" customWidth="1"/>
    <col min="7692" max="7693" width="10.75" style="3068" customWidth="1"/>
    <col min="7694" max="7694" width="10" style="3068" customWidth="1"/>
    <col min="7695" max="7696" width="10.5" style="3068" bestFit="1" customWidth="1"/>
    <col min="7697" max="7697" width="10" style="3068" customWidth="1"/>
    <col min="7698" max="7698" width="10.125" style="3068" customWidth="1"/>
    <col min="7699" max="7699" width="10" style="3068" customWidth="1"/>
    <col min="7700" max="7700" width="26.125" style="3068" customWidth="1"/>
    <col min="7701" max="7936" width="8.875" style="3068"/>
    <col min="7937" max="7937" width="9.5" style="3068" customWidth="1"/>
    <col min="7938" max="7938" width="8.875" style="3068"/>
    <col min="7939" max="7941" width="12.875" style="3068" customWidth="1"/>
    <col min="7942" max="7942" width="47.5" style="3068" customWidth="1"/>
    <col min="7943" max="7943" width="13" style="3068" customWidth="1"/>
    <col min="7944" max="7945" width="8.875" style="3068"/>
    <col min="7946" max="7946" width="5.75" style="3068" customWidth="1"/>
    <col min="7947" max="7947" width="11.75" style="3068" customWidth="1"/>
    <col min="7948" max="7949" width="10.75" style="3068" customWidth="1"/>
    <col min="7950" max="7950" width="10" style="3068" customWidth="1"/>
    <col min="7951" max="7952" width="10.5" style="3068" bestFit="1" customWidth="1"/>
    <col min="7953" max="7953" width="10" style="3068" customWidth="1"/>
    <col min="7954" max="7954" width="10.125" style="3068" customWidth="1"/>
    <col min="7955" max="7955" width="10" style="3068" customWidth="1"/>
    <col min="7956" max="7956" width="26.125" style="3068" customWidth="1"/>
    <col min="7957" max="8192" width="8.875" style="3068"/>
    <col min="8193" max="8193" width="9.5" style="3068" customWidth="1"/>
    <col min="8194" max="8194" width="8.875" style="3068"/>
    <col min="8195" max="8197" width="12.875" style="3068" customWidth="1"/>
    <col min="8198" max="8198" width="47.5" style="3068" customWidth="1"/>
    <col min="8199" max="8199" width="13" style="3068" customWidth="1"/>
    <col min="8200" max="8201" width="8.875" style="3068"/>
    <col min="8202" max="8202" width="5.75" style="3068" customWidth="1"/>
    <col min="8203" max="8203" width="11.75" style="3068" customWidth="1"/>
    <col min="8204" max="8205" width="10.75" style="3068" customWidth="1"/>
    <col min="8206" max="8206" width="10" style="3068" customWidth="1"/>
    <col min="8207" max="8208" width="10.5" style="3068" bestFit="1" customWidth="1"/>
    <col min="8209" max="8209" width="10" style="3068" customWidth="1"/>
    <col min="8210" max="8210" width="10.125" style="3068" customWidth="1"/>
    <col min="8211" max="8211" width="10" style="3068" customWidth="1"/>
    <col min="8212" max="8212" width="26.125" style="3068" customWidth="1"/>
    <col min="8213" max="8448" width="8.875" style="3068"/>
    <col min="8449" max="8449" width="9.5" style="3068" customWidth="1"/>
    <col min="8450" max="8450" width="8.875" style="3068"/>
    <col min="8451" max="8453" width="12.875" style="3068" customWidth="1"/>
    <col min="8454" max="8454" width="47.5" style="3068" customWidth="1"/>
    <col min="8455" max="8455" width="13" style="3068" customWidth="1"/>
    <col min="8456" max="8457" width="8.875" style="3068"/>
    <col min="8458" max="8458" width="5.75" style="3068" customWidth="1"/>
    <col min="8459" max="8459" width="11.75" style="3068" customWidth="1"/>
    <col min="8460" max="8461" width="10.75" style="3068" customWidth="1"/>
    <col min="8462" max="8462" width="10" style="3068" customWidth="1"/>
    <col min="8463" max="8464" width="10.5" style="3068" bestFit="1" customWidth="1"/>
    <col min="8465" max="8465" width="10" style="3068" customWidth="1"/>
    <col min="8466" max="8466" width="10.125" style="3068" customWidth="1"/>
    <col min="8467" max="8467" width="10" style="3068" customWidth="1"/>
    <col min="8468" max="8468" width="26.125" style="3068" customWidth="1"/>
    <col min="8469" max="8704" width="8.875" style="3068"/>
    <col min="8705" max="8705" width="9.5" style="3068" customWidth="1"/>
    <col min="8706" max="8706" width="8.875" style="3068"/>
    <col min="8707" max="8709" width="12.875" style="3068" customWidth="1"/>
    <col min="8710" max="8710" width="47.5" style="3068" customWidth="1"/>
    <col min="8711" max="8711" width="13" style="3068" customWidth="1"/>
    <col min="8712" max="8713" width="8.875" style="3068"/>
    <col min="8714" max="8714" width="5.75" style="3068" customWidth="1"/>
    <col min="8715" max="8715" width="11.75" style="3068" customWidth="1"/>
    <col min="8716" max="8717" width="10.75" style="3068" customWidth="1"/>
    <col min="8718" max="8718" width="10" style="3068" customWidth="1"/>
    <col min="8719" max="8720" width="10.5" style="3068" bestFit="1" customWidth="1"/>
    <col min="8721" max="8721" width="10" style="3068" customWidth="1"/>
    <col min="8722" max="8722" width="10.125" style="3068" customWidth="1"/>
    <col min="8723" max="8723" width="10" style="3068" customWidth="1"/>
    <col min="8724" max="8724" width="26.125" style="3068" customWidth="1"/>
    <col min="8725" max="8960" width="8.875" style="3068"/>
    <col min="8961" max="8961" width="9.5" style="3068" customWidth="1"/>
    <col min="8962" max="8962" width="8.875" style="3068"/>
    <col min="8963" max="8965" width="12.875" style="3068" customWidth="1"/>
    <col min="8966" max="8966" width="47.5" style="3068" customWidth="1"/>
    <col min="8967" max="8967" width="13" style="3068" customWidth="1"/>
    <col min="8968" max="8969" width="8.875" style="3068"/>
    <col min="8970" max="8970" width="5.75" style="3068" customWidth="1"/>
    <col min="8971" max="8971" width="11.75" style="3068" customWidth="1"/>
    <col min="8972" max="8973" width="10.75" style="3068" customWidth="1"/>
    <col min="8974" max="8974" width="10" style="3068" customWidth="1"/>
    <col min="8975" max="8976" width="10.5" style="3068" bestFit="1" customWidth="1"/>
    <col min="8977" max="8977" width="10" style="3068" customWidth="1"/>
    <col min="8978" max="8978" width="10.125" style="3068" customWidth="1"/>
    <col min="8979" max="8979" width="10" style="3068" customWidth="1"/>
    <col min="8980" max="8980" width="26.125" style="3068" customWidth="1"/>
    <col min="8981" max="9216" width="8.875" style="3068"/>
    <col min="9217" max="9217" width="9.5" style="3068" customWidth="1"/>
    <col min="9218" max="9218" width="8.875" style="3068"/>
    <col min="9219" max="9221" width="12.875" style="3068" customWidth="1"/>
    <col min="9222" max="9222" width="47.5" style="3068" customWidth="1"/>
    <col min="9223" max="9223" width="13" style="3068" customWidth="1"/>
    <col min="9224" max="9225" width="8.875" style="3068"/>
    <col min="9226" max="9226" width="5.75" style="3068" customWidth="1"/>
    <col min="9227" max="9227" width="11.75" style="3068" customWidth="1"/>
    <col min="9228" max="9229" width="10.75" style="3068" customWidth="1"/>
    <col min="9230" max="9230" width="10" style="3068" customWidth="1"/>
    <col min="9231" max="9232" width="10.5" style="3068" bestFit="1" customWidth="1"/>
    <col min="9233" max="9233" width="10" style="3068" customWidth="1"/>
    <col min="9234" max="9234" width="10.125" style="3068" customWidth="1"/>
    <col min="9235" max="9235" width="10" style="3068" customWidth="1"/>
    <col min="9236" max="9236" width="26.125" style="3068" customWidth="1"/>
    <col min="9237" max="9472" width="8.875" style="3068"/>
    <col min="9473" max="9473" width="9.5" style="3068" customWidth="1"/>
    <col min="9474" max="9474" width="8.875" style="3068"/>
    <col min="9475" max="9477" width="12.875" style="3068" customWidth="1"/>
    <col min="9478" max="9478" width="47.5" style="3068" customWidth="1"/>
    <col min="9479" max="9479" width="13" style="3068" customWidth="1"/>
    <col min="9480" max="9481" width="8.875" style="3068"/>
    <col min="9482" max="9482" width="5.75" style="3068" customWidth="1"/>
    <col min="9483" max="9483" width="11.75" style="3068" customWidth="1"/>
    <col min="9484" max="9485" width="10.75" style="3068" customWidth="1"/>
    <col min="9486" max="9486" width="10" style="3068" customWidth="1"/>
    <col min="9487" max="9488" width="10.5" style="3068" bestFit="1" customWidth="1"/>
    <col min="9489" max="9489" width="10" style="3068" customWidth="1"/>
    <col min="9490" max="9490" width="10.125" style="3068" customWidth="1"/>
    <col min="9491" max="9491" width="10" style="3068" customWidth="1"/>
    <col min="9492" max="9492" width="26.125" style="3068" customWidth="1"/>
    <col min="9493" max="9728" width="8.875" style="3068"/>
    <col min="9729" max="9729" width="9.5" style="3068" customWidth="1"/>
    <col min="9730" max="9730" width="8.875" style="3068"/>
    <col min="9731" max="9733" width="12.875" style="3068" customWidth="1"/>
    <col min="9734" max="9734" width="47.5" style="3068" customWidth="1"/>
    <col min="9735" max="9735" width="13" style="3068" customWidth="1"/>
    <col min="9736" max="9737" width="8.875" style="3068"/>
    <col min="9738" max="9738" width="5.75" style="3068" customWidth="1"/>
    <col min="9739" max="9739" width="11.75" style="3068" customWidth="1"/>
    <col min="9740" max="9741" width="10.75" style="3068" customWidth="1"/>
    <col min="9742" max="9742" width="10" style="3068" customWidth="1"/>
    <col min="9743" max="9744" width="10.5" style="3068" bestFit="1" customWidth="1"/>
    <col min="9745" max="9745" width="10" style="3068" customWidth="1"/>
    <col min="9746" max="9746" width="10.125" style="3068" customWidth="1"/>
    <col min="9747" max="9747" width="10" style="3068" customWidth="1"/>
    <col min="9748" max="9748" width="26.125" style="3068" customWidth="1"/>
    <col min="9749" max="9984" width="8.875" style="3068"/>
    <col min="9985" max="9985" width="9.5" style="3068" customWidth="1"/>
    <col min="9986" max="9986" width="8.875" style="3068"/>
    <col min="9987" max="9989" width="12.875" style="3068" customWidth="1"/>
    <col min="9990" max="9990" width="47.5" style="3068" customWidth="1"/>
    <col min="9991" max="9991" width="13" style="3068" customWidth="1"/>
    <col min="9992" max="9993" width="8.875" style="3068"/>
    <col min="9994" max="9994" width="5.75" style="3068" customWidth="1"/>
    <col min="9995" max="9995" width="11.75" style="3068" customWidth="1"/>
    <col min="9996" max="9997" width="10.75" style="3068" customWidth="1"/>
    <col min="9998" max="9998" width="10" style="3068" customWidth="1"/>
    <col min="9999" max="10000" width="10.5" style="3068" bestFit="1" customWidth="1"/>
    <col min="10001" max="10001" width="10" style="3068" customWidth="1"/>
    <col min="10002" max="10002" width="10.125" style="3068" customWidth="1"/>
    <col min="10003" max="10003" width="10" style="3068" customWidth="1"/>
    <col min="10004" max="10004" width="26.125" style="3068" customWidth="1"/>
    <col min="10005" max="10240" width="8.875" style="3068"/>
    <col min="10241" max="10241" width="9.5" style="3068" customWidth="1"/>
    <col min="10242" max="10242" width="8.875" style="3068"/>
    <col min="10243" max="10245" width="12.875" style="3068" customWidth="1"/>
    <col min="10246" max="10246" width="47.5" style="3068" customWidth="1"/>
    <col min="10247" max="10247" width="13" style="3068" customWidth="1"/>
    <col min="10248" max="10249" width="8.875" style="3068"/>
    <col min="10250" max="10250" width="5.75" style="3068" customWidth="1"/>
    <col min="10251" max="10251" width="11.75" style="3068" customWidth="1"/>
    <col min="10252" max="10253" width="10.75" style="3068" customWidth="1"/>
    <col min="10254" max="10254" width="10" style="3068" customWidth="1"/>
    <col min="10255" max="10256" width="10.5" style="3068" bestFit="1" customWidth="1"/>
    <col min="10257" max="10257" width="10" style="3068" customWidth="1"/>
    <col min="10258" max="10258" width="10.125" style="3068" customWidth="1"/>
    <col min="10259" max="10259" width="10" style="3068" customWidth="1"/>
    <col min="10260" max="10260" width="26.125" style="3068" customWidth="1"/>
    <col min="10261" max="10496" width="8.875" style="3068"/>
    <col min="10497" max="10497" width="9.5" style="3068" customWidth="1"/>
    <col min="10498" max="10498" width="8.875" style="3068"/>
    <col min="10499" max="10501" width="12.875" style="3068" customWidth="1"/>
    <col min="10502" max="10502" width="47.5" style="3068" customWidth="1"/>
    <col min="10503" max="10503" width="13" style="3068" customWidth="1"/>
    <col min="10504" max="10505" width="8.875" style="3068"/>
    <col min="10506" max="10506" width="5.75" style="3068" customWidth="1"/>
    <col min="10507" max="10507" width="11.75" style="3068" customWidth="1"/>
    <col min="10508" max="10509" width="10.75" style="3068" customWidth="1"/>
    <col min="10510" max="10510" width="10" style="3068" customWidth="1"/>
    <col min="10511" max="10512" width="10.5" style="3068" bestFit="1" customWidth="1"/>
    <col min="10513" max="10513" width="10" style="3068" customWidth="1"/>
    <col min="10514" max="10514" width="10.125" style="3068" customWidth="1"/>
    <col min="10515" max="10515" width="10" style="3068" customWidth="1"/>
    <col min="10516" max="10516" width="26.125" style="3068" customWidth="1"/>
    <col min="10517" max="10752" width="8.875" style="3068"/>
    <col min="10753" max="10753" width="9.5" style="3068" customWidth="1"/>
    <col min="10754" max="10754" width="8.875" style="3068"/>
    <col min="10755" max="10757" width="12.875" style="3068" customWidth="1"/>
    <col min="10758" max="10758" width="47.5" style="3068" customWidth="1"/>
    <col min="10759" max="10759" width="13" style="3068" customWidth="1"/>
    <col min="10760" max="10761" width="8.875" style="3068"/>
    <col min="10762" max="10762" width="5.75" style="3068" customWidth="1"/>
    <col min="10763" max="10763" width="11.75" style="3068" customWidth="1"/>
    <col min="10764" max="10765" width="10.75" style="3068" customWidth="1"/>
    <col min="10766" max="10766" width="10" style="3068" customWidth="1"/>
    <col min="10767" max="10768" width="10.5" style="3068" bestFit="1" customWidth="1"/>
    <col min="10769" max="10769" width="10" style="3068" customWidth="1"/>
    <col min="10770" max="10770" width="10.125" style="3068" customWidth="1"/>
    <col min="10771" max="10771" width="10" style="3068" customWidth="1"/>
    <col min="10772" max="10772" width="26.125" style="3068" customWidth="1"/>
    <col min="10773" max="11008" width="8.875" style="3068"/>
    <col min="11009" max="11009" width="9.5" style="3068" customWidth="1"/>
    <col min="11010" max="11010" width="8.875" style="3068"/>
    <col min="11011" max="11013" width="12.875" style="3068" customWidth="1"/>
    <col min="11014" max="11014" width="47.5" style="3068" customWidth="1"/>
    <col min="11015" max="11015" width="13" style="3068" customWidth="1"/>
    <col min="11016" max="11017" width="8.875" style="3068"/>
    <col min="11018" max="11018" width="5.75" style="3068" customWidth="1"/>
    <col min="11019" max="11019" width="11.75" style="3068" customWidth="1"/>
    <col min="11020" max="11021" width="10.75" style="3068" customWidth="1"/>
    <col min="11022" max="11022" width="10" style="3068" customWidth="1"/>
    <col min="11023" max="11024" width="10.5" style="3068" bestFit="1" customWidth="1"/>
    <col min="11025" max="11025" width="10" style="3068" customWidth="1"/>
    <col min="11026" max="11026" width="10.125" style="3068" customWidth="1"/>
    <col min="11027" max="11027" width="10" style="3068" customWidth="1"/>
    <col min="11028" max="11028" width="26.125" style="3068" customWidth="1"/>
    <col min="11029" max="11264" width="8.875" style="3068"/>
    <col min="11265" max="11265" width="9.5" style="3068" customWidth="1"/>
    <col min="11266" max="11266" width="8.875" style="3068"/>
    <col min="11267" max="11269" width="12.875" style="3068" customWidth="1"/>
    <col min="11270" max="11270" width="47.5" style="3068" customWidth="1"/>
    <col min="11271" max="11271" width="13" style="3068" customWidth="1"/>
    <col min="11272" max="11273" width="8.875" style="3068"/>
    <col min="11274" max="11274" width="5.75" style="3068" customWidth="1"/>
    <col min="11275" max="11275" width="11.75" style="3068" customWidth="1"/>
    <col min="11276" max="11277" width="10.75" style="3068" customWidth="1"/>
    <col min="11278" max="11278" width="10" style="3068" customWidth="1"/>
    <col min="11279" max="11280" width="10.5" style="3068" bestFit="1" customWidth="1"/>
    <col min="11281" max="11281" width="10" style="3068" customWidth="1"/>
    <col min="11282" max="11282" width="10.125" style="3068" customWidth="1"/>
    <col min="11283" max="11283" width="10" style="3068" customWidth="1"/>
    <col min="11284" max="11284" width="26.125" style="3068" customWidth="1"/>
    <col min="11285" max="11520" width="8.875" style="3068"/>
    <col min="11521" max="11521" width="9.5" style="3068" customWidth="1"/>
    <col min="11522" max="11522" width="8.875" style="3068"/>
    <col min="11523" max="11525" width="12.875" style="3068" customWidth="1"/>
    <col min="11526" max="11526" width="47.5" style="3068" customWidth="1"/>
    <col min="11527" max="11527" width="13" style="3068" customWidth="1"/>
    <col min="11528" max="11529" width="8.875" style="3068"/>
    <col min="11530" max="11530" width="5.75" style="3068" customWidth="1"/>
    <col min="11531" max="11531" width="11.75" style="3068" customWidth="1"/>
    <col min="11532" max="11533" width="10.75" style="3068" customWidth="1"/>
    <col min="11534" max="11534" width="10" style="3068" customWidth="1"/>
    <col min="11535" max="11536" width="10.5" style="3068" bestFit="1" customWidth="1"/>
    <col min="11537" max="11537" width="10" style="3068" customWidth="1"/>
    <col min="11538" max="11538" width="10.125" style="3068" customWidth="1"/>
    <col min="11539" max="11539" width="10" style="3068" customWidth="1"/>
    <col min="11540" max="11540" width="26.125" style="3068" customWidth="1"/>
    <col min="11541" max="11776" width="8.875" style="3068"/>
    <col min="11777" max="11777" width="9.5" style="3068" customWidth="1"/>
    <col min="11778" max="11778" width="8.875" style="3068"/>
    <col min="11779" max="11781" width="12.875" style="3068" customWidth="1"/>
    <col min="11782" max="11782" width="47.5" style="3068" customWidth="1"/>
    <col min="11783" max="11783" width="13" style="3068" customWidth="1"/>
    <col min="11784" max="11785" width="8.875" style="3068"/>
    <col min="11786" max="11786" width="5.75" style="3068" customWidth="1"/>
    <col min="11787" max="11787" width="11.75" style="3068" customWidth="1"/>
    <col min="11788" max="11789" width="10.75" style="3068" customWidth="1"/>
    <col min="11790" max="11790" width="10" style="3068" customWidth="1"/>
    <col min="11791" max="11792" width="10.5" style="3068" bestFit="1" customWidth="1"/>
    <col min="11793" max="11793" width="10" style="3068" customWidth="1"/>
    <col min="11794" max="11794" width="10.125" style="3068" customWidth="1"/>
    <col min="11795" max="11795" width="10" style="3068" customWidth="1"/>
    <col min="11796" max="11796" width="26.125" style="3068" customWidth="1"/>
    <col min="11797" max="12032" width="8.875" style="3068"/>
    <col min="12033" max="12033" width="9.5" style="3068" customWidth="1"/>
    <col min="12034" max="12034" width="8.875" style="3068"/>
    <col min="12035" max="12037" width="12.875" style="3068" customWidth="1"/>
    <col min="12038" max="12038" width="47.5" style="3068" customWidth="1"/>
    <col min="12039" max="12039" width="13" style="3068" customWidth="1"/>
    <col min="12040" max="12041" width="8.875" style="3068"/>
    <col min="12042" max="12042" width="5.75" style="3068" customWidth="1"/>
    <col min="12043" max="12043" width="11.75" style="3068" customWidth="1"/>
    <col min="12044" max="12045" width="10.75" style="3068" customWidth="1"/>
    <col min="12046" max="12046" width="10" style="3068" customWidth="1"/>
    <col min="12047" max="12048" width="10.5" style="3068" bestFit="1" customWidth="1"/>
    <col min="12049" max="12049" width="10" style="3068" customWidth="1"/>
    <col min="12050" max="12050" width="10.125" style="3068" customWidth="1"/>
    <col min="12051" max="12051" width="10" style="3068" customWidth="1"/>
    <col min="12052" max="12052" width="26.125" style="3068" customWidth="1"/>
    <col min="12053" max="12288" width="8.875" style="3068"/>
    <col min="12289" max="12289" width="9.5" style="3068" customWidth="1"/>
    <col min="12290" max="12290" width="8.875" style="3068"/>
    <col min="12291" max="12293" width="12.875" style="3068" customWidth="1"/>
    <col min="12294" max="12294" width="47.5" style="3068" customWidth="1"/>
    <col min="12295" max="12295" width="13" style="3068" customWidth="1"/>
    <col min="12296" max="12297" width="8.875" style="3068"/>
    <col min="12298" max="12298" width="5.75" style="3068" customWidth="1"/>
    <col min="12299" max="12299" width="11.75" style="3068" customWidth="1"/>
    <col min="12300" max="12301" width="10.75" style="3068" customWidth="1"/>
    <col min="12302" max="12302" width="10" style="3068" customWidth="1"/>
    <col min="12303" max="12304" width="10.5" style="3068" bestFit="1" customWidth="1"/>
    <col min="12305" max="12305" width="10" style="3068" customWidth="1"/>
    <col min="12306" max="12306" width="10.125" style="3068" customWidth="1"/>
    <col min="12307" max="12307" width="10" style="3068" customWidth="1"/>
    <col min="12308" max="12308" width="26.125" style="3068" customWidth="1"/>
    <col min="12309" max="12544" width="8.875" style="3068"/>
    <col min="12545" max="12545" width="9.5" style="3068" customWidth="1"/>
    <col min="12546" max="12546" width="8.875" style="3068"/>
    <col min="12547" max="12549" width="12.875" style="3068" customWidth="1"/>
    <col min="12550" max="12550" width="47.5" style="3068" customWidth="1"/>
    <col min="12551" max="12551" width="13" style="3068" customWidth="1"/>
    <col min="12552" max="12553" width="8.875" style="3068"/>
    <col min="12554" max="12554" width="5.75" style="3068" customWidth="1"/>
    <col min="12555" max="12555" width="11.75" style="3068" customWidth="1"/>
    <col min="12556" max="12557" width="10.75" style="3068" customWidth="1"/>
    <col min="12558" max="12558" width="10" style="3068" customWidth="1"/>
    <col min="12559" max="12560" width="10.5" style="3068" bestFit="1" customWidth="1"/>
    <col min="12561" max="12561" width="10" style="3068" customWidth="1"/>
    <col min="12562" max="12562" width="10.125" style="3068" customWidth="1"/>
    <col min="12563" max="12563" width="10" style="3068" customWidth="1"/>
    <col min="12564" max="12564" width="26.125" style="3068" customWidth="1"/>
    <col min="12565" max="12800" width="8.875" style="3068"/>
    <col min="12801" max="12801" width="9.5" style="3068" customWidth="1"/>
    <col min="12802" max="12802" width="8.875" style="3068"/>
    <col min="12803" max="12805" width="12.875" style="3068" customWidth="1"/>
    <col min="12806" max="12806" width="47.5" style="3068" customWidth="1"/>
    <col min="12807" max="12807" width="13" style="3068" customWidth="1"/>
    <col min="12808" max="12809" width="8.875" style="3068"/>
    <col min="12810" max="12810" width="5.75" style="3068" customWidth="1"/>
    <col min="12811" max="12811" width="11.75" style="3068" customWidth="1"/>
    <col min="12812" max="12813" width="10.75" style="3068" customWidth="1"/>
    <col min="12814" max="12814" width="10" style="3068" customWidth="1"/>
    <col min="12815" max="12816" width="10.5" style="3068" bestFit="1" customWidth="1"/>
    <col min="12817" max="12817" width="10" style="3068" customWidth="1"/>
    <col min="12818" max="12818" width="10.125" style="3068" customWidth="1"/>
    <col min="12819" max="12819" width="10" style="3068" customWidth="1"/>
    <col min="12820" max="12820" width="26.125" style="3068" customWidth="1"/>
    <col min="12821" max="13056" width="8.875" style="3068"/>
    <col min="13057" max="13057" width="9.5" style="3068" customWidth="1"/>
    <col min="13058" max="13058" width="8.875" style="3068"/>
    <col min="13059" max="13061" width="12.875" style="3068" customWidth="1"/>
    <col min="13062" max="13062" width="47.5" style="3068" customWidth="1"/>
    <col min="13063" max="13063" width="13" style="3068" customWidth="1"/>
    <col min="13064" max="13065" width="8.875" style="3068"/>
    <col min="13066" max="13066" width="5.75" style="3068" customWidth="1"/>
    <col min="13067" max="13067" width="11.75" style="3068" customWidth="1"/>
    <col min="13068" max="13069" width="10.75" style="3068" customWidth="1"/>
    <col min="13070" max="13070" width="10" style="3068" customWidth="1"/>
    <col min="13071" max="13072" width="10.5" style="3068" bestFit="1" customWidth="1"/>
    <col min="13073" max="13073" width="10" style="3068" customWidth="1"/>
    <col min="13074" max="13074" width="10.125" style="3068" customWidth="1"/>
    <col min="13075" max="13075" width="10" style="3068" customWidth="1"/>
    <col min="13076" max="13076" width="26.125" style="3068" customWidth="1"/>
    <col min="13077" max="13312" width="8.875" style="3068"/>
    <col min="13313" max="13313" width="9.5" style="3068" customWidth="1"/>
    <col min="13314" max="13314" width="8.875" style="3068"/>
    <col min="13315" max="13317" width="12.875" style="3068" customWidth="1"/>
    <col min="13318" max="13318" width="47.5" style="3068" customWidth="1"/>
    <col min="13319" max="13319" width="13" style="3068" customWidth="1"/>
    <col min="13320" max="13321" width="8.875" style="3068"/>
    <col min="13322" max="13322" width="5.75" style="3068" customWidth="1"/>
    <col min="13323" max="13323" width="11.75" style="3068" customWidth="1"/>
    <col min="13324" max="13325" width="10.75" style="3068" customWidth="1"/>
    <col min="13326" max="13326" width="10" style="3068" customWidth="1"/>
    <col min="13327" max="13328" width="10.5" style="3068" bestFit="1" customWidth="1"/>
    <col min="13329" max="13329" width="10" style="3068" customWidth="1"/>
    <col min="13330" max="13330" width="10.125" style="3068" customWidth="1"/>
    <col min="13331" max="13331" width="10" style="3068" customWidth="1"/>
    <col min="13332" max="13332" width="26.125" style="3068" customWidth="1"/>
    <col min="13333" max="13568" width="8.875" style="3068"/>
    <col min="13569" max="13569" width="9.5" style="3068" customWidth="1"/>
    <col min="13570" max="13570" width="8.875" style="3068"/>
    <col min="13571" max="13573" width="12.875" style="3068" customWidth="1"/>
    <col min="13574" max="13574" width="47.5" style="3068" customWidth="1"/>
    <col min="13575" max="13575" width="13" style="3068" customWidth="1"/>
    <col min="13576" max="13577" width="8.875" style="3068"/>
    <col min="13578" max="13578" width="5.75" style="3068" customWidth="1"/>
    <col min="13579" max="13579" width="11.75" style="3068" customWidth="1"/>
    <col min="13580" max="13581" width="10.75" style="3068" customWidth="1"/>
    <col min="13582" max="13582" width="10" style="3068" customWidth="1"/>
    <col min="13583" max="13584" width="10.5" style="3068" bestFit="1" customWidth="1"/>
    <col min="13585" max="13585" width="10" style="3068" customWidth="1"/>
    <col min="13586" max="13586" width="10.125" style="3068" customWidth="1"/>
    <col min="13587" max="13587" width="10" style="3068" customWidth="1"/>
    <col min="13588" max="13588" width="26.125" style="3068" customWidth="1"/>
    <col min="13589" max="13824" width="8.875" style="3068"/>
    <col min="13825" max="13825" width="9.5" style="3068" customWidth="1"/>
    <col min="13826" max="13826" width="8.875" style="3068"/>
    <col min="13827" max="13829" width="12.875" style="3068" customWidth="1"/>
    <col min="13830" max="13830" width="47.5" style="3068" customWidth="1"/>
    <col min="13831" max="13831" width="13" style="3068" customWidth="1"/>
    <col min="13832" max="13833" width="8.875" style="3068"/>
    <col min="13834" max="13834" width="5.75" style="3068" customWidth="1"/>
    <col min="13835" max="13835" width="11.75" style="3068" customWidth="1"/>
    <col min="13836" max="13837" width="10.75" style="3068" customWidth="1"/>
    <col min="13838" max="13838" width="10" style="3068" customWidth="1"/>
    <col min="13839" max="13840" width="10.5" style="3068" bestFit="1" customWidth="1"/>
    <col min="13841" max="13841" width="10" style="3068" customWidth="1"/>
    <col min="13842" max="13842" width="10.125" style="3068" customWidth="1"/>
    <col min="13843" max="13843" width="10" style="3068" customWidth="1"/>
    <col min="13844" max="13844" width="26.125" style="3068" customWidth="1"/>
    <col min="13845" max="14080" width="8.875" style="3068"/>
    <col min="14081" max="14081" width="9.5" style="3068" customWidth="1"/>
    <col min="14082" max="14082" width="8.875" style="3068"/>
    <col min="14083" max="14085" width="12.875" style="3068" customWidth="1"/>
    <col min="14086" max="14086" width="47.5" style="3068" customWidth="1"/>
    <col min="14087" max="14087" width="13" style="3068" customWidth="1"/>
    <col min="14088" max="14089" width="8.875" style="3068"/>
    <col min="14090" max="14090" width="5.75" style="3068" customWidth="1"/>
    <col min="14091" max="14091" width="11.75" style="3068" customWidth="1"/>
    <col min="14092" max="14093" width="10.75" style="3068" customWidth="1"/>
    <col min="14094" max="14094" width="10" style="3068" customWidth="1"/>
    <col min="14095" max="14096" width="10.5" style="3068" bestFit="1" customWidth="1"/>
    <col min="14097" max="14097" width="10" style="3068" customWidth="1"/>
    <col min="14098" max="14098" width="10.125" style="3068" customWidth="1"/>
    <col min="14099" max="14099" width="10" style="3068" customWidth="1"/>
    <col min="14100" max="14100" width="26.125" style="3068" customWidth="1"/>
    <col min="14101" max="14336" width="8.875" style="3068"/>
    <col min="14337" max="14337" width="9.5" style="3068" customWidth="1"/>
    <col min="14338" max="14338" width="8.875" style="3068"/>
    <col min="14339" max="14341" width="12.875" style="3068" customWidth="1"/>
    <col min="14342" max="14342" width="47.5" style="3068" customWidth="1"/>
    <col min="14343" max="14343" width="13" style="3068" customWidth="1"/>
    <col min="14344" max="14345" width="8.875" style="3068"/>
    <col min="14346" max="14346" width="5.75" style="3068" customWidth="1"/>
    <col min="14347" max="14347" width="11.75" style="3068" customWidth="1"/>
    <col min="14348" max="14349" width="10.75" style="3068" customWidth="1"/>
    <col min="14350" max="14350" width="10" style="3068" customWidth="1"/>
    <col min="14351" max="14352" width="10.5" style="3068" bestFit="1" customWidth="1"/>
    <col min="14353" max="14353" width="10" style="3068" customWidth="1"/>
    <col min="14354" max="14354" width="10.125" style="3068" customWidth="1"/>
    <col min="14355" max="14355" width="10" style="3068" customWidth="1"/>
    <col min="14356" max="14356" width="26.125" style="3068" customWidth="1"/>
    <col min="14357" max="14592" width="8.875" style="3068"/>
    <col min="14593" max="14593" width="9.5" style="3068" customWidth="1"/>
    <col min="14594" max="14594" width="8.875" style="3068"/>
    <col min="14595" max="14597" width="12.875" style="3068" customWidth="1"/>
    <col min="14598" max="14598" width="47.5" style="3068" customWidth="1"/>
    <col min="14599" max="14599" width="13" style="3068" customWidth="1"/>
    <col min="14600" max="14601" width="8.875" style="3068"/>
    <col min="14602" max="14602" width="5.75" style="3068" customWidth="1"/>
    <col min="14603" max="14603" width="11.75" style="3068" customWidth="1"/>
    <col min="14604" max="14605" width="10.75" style="3068" customWidth="1"/>
    <col min="14606" max="14606" width="10" style="3068" customWidth="1"/>
    <col min="14607" max="14608" width="10.5" style="3068" bestFit="1" customWidth="1"/>
    <col min="14609" max="14609" width="10" style="3068" customWidth="1"/>
    <col min="14610" max="14610" width="10.125" style="3068" customWidth="1"/>
    <col min="14611" max="14611" width="10" style="3068" customWidth="1"/>
    <col min="14612" max="14612" width="26.125" style="3068" customWidth="1"/>
    <col min="14613" max="14848" width="8.875" style="3068"/>
    <col min="14849" max="14849" width="9.5" style="3068" customWidth="1"/>
    <col min="14850" max="14850" width="8.875" style="3068"/>
    <col min="14851" max="14853" width="12.875" style="3068" customWidth="1"/>
    <col min="14854" max="14854" width="47.5" style="3068" customWidth="1"/>
    <col min="14855" max="14855" width="13" style="3068" customWidth="1"/>
    <col min="14856" max="14857" width="8.875" style="3068"/>
    <col min="14858" max="14858" width="5.75" style="3068" customWidth="1"/>
    <col min="14859" max="14859" width="11.75" style="3068" customWidth="1"/>
    <col min="14860" max="14861" width="10.75" style="3068" customWidth="1"/>
    <col min="14862" max="14862" width="10" style="3068" customWidth="1"/>
    <col min="14863" max="14864" width="10.5" style="3068" bestFit="1" customWidth="1"/>
    <col min="14865" max="14865" width="10" style="3068" customWidth="1"/>
    <col min="14866" max="14866" width="10.125" style="3068" customWidth="1"/>
    <col min="14867" max="14867" width="10" style="3068" customWidth="1"/>
    <col min="14868" max="14868" width="26.125" style="3068" customWidth="1"/>
    <col min="14869" max="15104" width="8.875" style="3068"/>
    <col min="15105" max="15105" width="9.5" style="3068" customWidth="1"/>
    <col min="15106" max="15106" width="8.875" style="3068"/>
    <col min="15107" max="15109" width="12.875" style="3068" customWidth="1"/>
    <col min="15110" max="15110" width="47.5" style="3068" customWidth="1"/>
    <col min="15111" max="15111" width="13" style="3068" customWidth="1"/>
    <col min="15112" max="15113" width="8.875" style="3068"/>
    <col min="15114" max="15114" width="5.75" style="3068" customWidth="1"/>
    <col min="15115" max="15115" width="11.75" style="3068" customWidth="1"/>
    <col min="15116" max="15117" width="10.75" style="3068" customWidth="1"/>
    <col min="15118" max="15118" width="10" style="3068" customWidth="1"/>
    <col min="15119" max="15120" width="10.5" style="3068" bestFit="1" customWidth="1"/>
    <col min="15121" max="15121" width="10" style="3068" customWidth="1"/>
    <col min="15122" max="15122" width="10.125" style="3068" customWidth="1"/>
    <col min="15123" max="15123" width="10" style="3068" customWidth="1"/>
    <col min="15124" max="15124" width="26.125" style="3068" customWidth="1"/>
    <col min="15125" max="15360" width="8.875" style="3068"/>
    <col min="15361" max="15361" width="9.5" style="3068" customWidth="1"/>
    <col min="15362" max="15362" width="8.875" style="3068"/>
    <col min="15363" max="15365" width="12.875" style="3068" customWidth="1"/>
    <col min="15366" max="15366" width="47.5" style="3068" customWidth="1"/>
    <col min="15367" max="15367" width="13" style="3068" customWidth="1"/>
    <col min="15368" max="15369" width="8.875" style="3068"/>
    <col min="15370" max="15370" width="5.75" style="3068" customWidth="1"/>
    <col min="15371" max="15371" width="11.75" style="3068" customWidth="1"/>
    <col min="15372" max="15373" width="10.75" style="3068" customWidth="1"/>
    <col min="15374" max="15374" width="10" style="3068" customWidth="1"/>
    <col min="15375" max="15376" width="10.5" style="3068" bestFit="1" customWidth="1"/>
    <col min="15377" max="15377" width="10" style="3068" customWidth="1"/>
    <col min="15378" max="15378" width="10.125" style="3068" customWidth="1"/>
    <col min="15379" max="15379" width="10" style="3068" customWidth="1"/>
    <col min="15380" max="15380" width="26.125" style="3068" customWidth="1"/>
    <col min="15381" max="15616" width="8.875" style="3068"/>
    <col min="15617" max="15617" width="9.5" style="3068" customWidth="1"/>
    <col min="15618" max="15618" width="8.875" style="3068"/>
    <col min="15619" max="15621" width="12.875" style="3068" customWidth="1"/>
    <col min="15622" max="15622" width="47.5" style="3068" customWidth="1"/>
    <col min="15623" max="15623" width="13" style="3068" customWidth="1"/>
    <col min="15624" max="15625" width="8.875" style="3068"/>
    <col min="15626" max="15626" width="5.75" style="3068" customWidth="1"/>
    <col min="15627" max="15627" width="11.75" style="3068" customWidth="1"/>
    <col min="15628" max="15629" width="10.75" style="3068" customWidth="1"/>
    <col min="15630" max="15630" width="10" style="3068" customWidth="1"/>
    <col min="15631" max="15632" width="10.5" style="3068" bestFit="1" customWidth="1"/>
    <col min="15633" max="15633" width="10" style="3068" customWidth="1"/>
    <col min="15634" max="15634" width="10.125" style="3068" customWidth="1"/>
    <col min="15635" max="15635" width="10" style="3068" customWidth="1"/>
    <col min="15636" max="15636" width="26.125" style="3068" customWidth="1"/>
    <col min="15637" max="15872" width="8.875" style="3068"/>
    <col min="15873" max="15873" width="9.5" style="3068" customWidth="1"/>
    <col min="15874" max="15874" width="8.875" style="3068"/>
    <col min="15875" max="15877" width="12.875" style="3068" customWidth="1"/>
    <col min="15878" max="15878" width="47.5" style="3068" customWidth="1"/>
    <col min="15879" max="15879" width="13" style="3068" customWidth="1"/>
    <col min="15880" max="15881" width="8.875" style="3068"/>
    <col min="15882" max="15882" width="5.75" style="3068" customWidth="1"/>
    <col min="15883" max="15883" width="11.75" style="3068" customWidth="1"/>
    <col min="15884" max="15885" width="10.75" style="3068" customWidth="1"/>
    <col min="15886" max="15886" width="10" style="3068" customWidth="1"/>
    <col min="15887" max="15888" width="10.5" style="3068" bestFit="1" customWidth="1"/>
    <col min="15889" max="15889" width="10" style="3068" customWidth="1"/>
    <col min="15890" max="15890" width="10.125" style="3068" customWidth="1"/>
    <col min="15891" max="15891" width="10" style="3068" customWidth="1"/>
    <col min="15892" max="15892" width="26.125" style="3068" customWidth="1"/>
    <col min="15893" max="16128" width="8.875" style="3068"/>
    <col min="16129" max="16129" width="9.5" style="3068" customWidth="1"/>
    <col min="16130" max="16130" width="8.875" style="3068"/>
    <col min="16131" max="16133" width="12.875" style="3068" customWidth="1"/>
    <col min="16134" max="16134" width="47.5" style="3068" customWidth="1"/>
    <col min="16135" max="16135" width="13" style="3068" customWidth="1"/>
    <col min="16136" max="16137" width="8.875" style="3068"/>
    <col min="16138" max="16138" width="5.75" style="3068" customWidth="1"/>
    <col min="16139" max="16139" width="11.75" style="3068" customWidth="1"/>
    <col min="16140" max="16141" width="10.75" style="3068" customWidth="1"/>
    <col min="16142" max="16142" width="10" style="3068" customWidth="1"/>
    <col min="16143" max="16144" width="10.5" style="3068" bestFit="1" customWidth="1"/>
    <col min="16145" max="16145" width="10" style="3068" customWidth="1"/>
    <col min="16146" max="16146" width="10.125" style="3068" customWidth="1"/>
    <col min="16147" max="16147" width="10" style="3068" customWidth="1"/>
    <col min="16148" max="16148" width="26.125" style="3068" customWidth="1"/>
    <col min="16149" max="16384" width="8.875" style="3068"/>
  </cols>
  <sheetData>
    <row r="1" spans="1:22" ht="21" customHeight="1">
      <c r="A1" s="3057" t="s">
        <v>2435</v>
      </c>
      <c r="B1" s="3058"/>
      <c r="C1" s="3071"/>
      <c r="D1" s="3071"/>
      <c r="E1" s="3059"/>
      <c r="F1" s="3060"/>
      <c r="G1" s="3061"/>
      <c r="J1" s="3064" t="s">
        <v>2292</v>
      </c>
      <c r="K1" s="3065"/>
      <c r="L1" s="3065"/>
      <c r="M1" s="3065"/>
      <c r="N1" s="3065"/>
      <c r="O1" s="3065"/>
      <c r="P1" s="3065"/>
      <c r="Q1" s="3065"/>
      <c r="R1" s="3066"/>
      <c r="S1" s="3067"/>
      <c r="T1" s="3067"/>
      <c r="U1" s="3067"/>
    </row>
    <row r="2" spans="1:22" s="3080" customFormat="1" ht="13.15" customHeight="1">
      <c r="A2" s="3069" t="s">
        <v>2293</v>
      </c>
      <c r="B2" s="3070" t="e">
        <f>C40</f>
        <v>#DIV/0!</v>
      </c>
      <c r="C2" s="3071" t="s">
        <v>2294</v>
      </c>
      <c r="D2" s="3071"/>
      <c r="E2" s="3072"/>
      <c r="F2" s="3073"/>
      <c r="G2" s="3074"/>
      <c r="H2" s="3075"/>
      <c r="I2" s="3076"/>
      <c r="J2" s="3958" t="s">
        <v>2295</v>
      </c>
      <c r="K2" s="3959"/>
      <c r="L2" s="3077" t="s">
        <v>2296</v>
      </c>
      <c r="M2" s="3077" t="s">
        <v>2297</v>
      </c>
      <c r="N2" s="3077" t="s">
        <v>2298</v>
      </c>
      <c r="O2" s="3077" t="s">
        <v>2299</v>
      </c>
      <c r="P2" s="3077" t="s">
        <v>2300</v>
      </c>
      <c r="Q2" s="3078" t="s">
        <v>2301</v>
      </c>
      <c r="R2" s="3079" t="s">
        <v>2302</v>
      </c>
      <c r="S2" s="3067"/>
      <c r="T2" s="3067"/>
      <c r="U2" s="3067"/>
      <c r="V2" s="3076"/>
    </row>
    <row r="3" spans="1:22" s="3080" customFormat="1" ht="13.15" customHeight="1">
      <c r="A3" s="3081" t="s">
        <v>2303</v>
      </c>
      <c r="B3" s="3082" t="e">
        <f>ROUND(B2*10000/B4,0)</f>
        <v>#DIV/0!</v>
      </c>
      <c r="C3" s="3071" t="s">
        <v>2304</v>
      </c>
      <c r="D3" s="3071"/>
      <c r="E3" s="3072"/>
      <c r="F3" s="3073"/>
      <c r="G3" s="3074"/>
      <c r="H3" s="3075"/>
      <c r="I3" s="3076"/>
      <c r="J3" s="3960" t="s">
        <v>2305</v>
      </c>
      <c r="K3" s="3961"/>
      <c r="L3" s="3083"/>
      <c r="M3" s="3083"/>
      <c r="N3" s="3083"/>
      <c r="O3" s="3083"/>
      <c r="P3" s="3083"/>
      <c r="Q3" s="3084"/>
      <c r="R3" s="3085">
        <f>SUM(L3:Q3)</f>
        <v>0</v>
      </c>
      <c r="S3" s="3067"/>
      <c r="T3" s="3067"/>
      <c r="U3" s="3067"/>
      <c r="V3" s="3076"/>
    </row>
    <row r="4" spans="1:22" s="3080" customFormat="1" ht="13.15" customHeight="1">
      <c r="A4" s="3086" t="s">
        <v>2306</v>
      </c>
      <c r="B4" s="3087"/>
      <c r="C4" s="3071"/>
      <c r="D4" s="3071"/>
      <c r="E4" s="3072"/>
      <c r="F4" s="3073"/>
      <c r="G4" s="3074"/>
      <c r="H4" s="3075"/>
      <c r="I4" s="3076"/>
      <c r="J4" s="3960" t="s">
        <v>2307</v>
      </c>
      <c r="K4" s="3961"/>
      <c r="L4" s="3088"/>
      <c r="M4" s="3088"/>
      <c r="N4" s="3088"/>
      <c r="O4" s="3088"/>
      <c r="P4" s="3088"/>
      <c r="Q4" s="3089"/>
      <c r="R4" s="3090">
        <f>SUM(L4:Q4)</f>
        <v>0</v>
      </c>
      <c r="S4" s="3067"/>
      <c r="T4" s="3067"/>
      <c r="U4" s="3067"/>
      <c r="V4" s="3076"/>
    </row>
    <row r="5" spans="1:22" s="3080" customFormat="1" ht="13.15" customHeight="1" thickBot="1">
      <c r="A5" s="3091" t="s">
        <v>2308</v>
      </c>
      <c r="B5" s="3092"/>
      <c r="C5" s="3071"/>
      <c r="D5" s="3093"/>
      <c r="E5" s="3073"/>
      <c r="F5" s="3073"/>
      <c r="G5" s="3074"/>
      <c r="H5" s="3075"/>
      <c r="I5" s="3076"/>
      <c r="J5" s="3094" t="s">
        <v>2309</v>
      </c>
      <c r="K5" s="3095"/>
      <c r="L5" s="3095"/>
      <c r="M5" s="3096"/>
      <c r="N5" s="3096"/>
      <c r="O5" s="3096"/>
      <c r="P5" s="3096"/>
      <c r="Q5" s="3096"/>
      <c r="R5" s="3079">
        <f>SUM(R14,R19,R24,R25,R27,R28)</f>
        <v>0</v>
      </c>
      <c r="S5" s="3067"/>
      <c r="T5" s="3067" t="s">
        <v>2310</v>
      </c>
      <c r="U5" s="3067" t="e">
        <f>ROUND(R5*10000/365/R3,1)</f>
        <v>#DIV/0!</v>
      </c>
      <c r="V5" s="3076"/>
    </row>
    <row r="6" spans="1:22" s="3080" customFormat="1" ht="13.15" customHeight="1" thickBot="1">
      <c r="A6" s="3962" t="s">
        <v>2311</v>
      </c>
      <c r="B6" s="3963"/>
      <c r="C6" s="3964"/>
      <c r="D6" s="3097"/>
      <c r="E6" s="3098"/>
      <c r="F6" s="3099"/>
      <c r="G6" s="3100"/>
      <c r="H6" s="3075"/>
      <c r="I6" s="3076"/>
      <c r="J6" s="3965">
        <v>1</v>
      </c>
      <c r="K6" s="3966" t="s">
        <v>2312</v>
      </c>
      <c r="L6" s="3101" t="s">
        <v>2313</v>
      </c>
      <c r="M6" s="3102" t="s">
        <v>2314</v>
      </c>
      <c r="N6" s="3102" t="s">
        <v>2315</v>
      </c>
      <c r="O6" s="3102" t="s">
        <v>2316</v>
      </c>
      <c r="P6" s="3102" t="s">
        <v>2317</v>
      </c>
      <c r="Q6" s="3102" t="s">
        <v>2318</v>
      </c>
      <c r="R6" s="3085" t="s">
        <v>2319</v>
      </c>
      <c r="S6" s="3067"/>
      <c r="T6" s="3067" t="s">
        <v>2320</v>
      </c>
      <c r="U6" s="3067"/>
      <c r="V6" s="3076"/>
    </row>
    <row r="7" spans="1:22" s="3080" customFormat="1" ht="13.15" customHeight="1">
      <c r="A7" s="3103" t="s">
        <v>2321</v>
      </c>
      <c r="B7" s="3104"/>
      <c r="C7" s="3105"/>
      <c r="D7" s="3106">
        <f>SUM(D9,D10,D11,D17,0)</f>
        <v>0</v>
      </c>
      <c r="E7" s="3107" t="e">
        <f>E9+E10+E11+E17</f>
        <v>#DIV/0!</v>
      </c>
      <c r="F7" s="3108"/>
      <c r="G7" s="3109"/>
      <c r="H7" s="3075"/>
      <c r="I7" s="3076"/>
      <c r="J7" s="3965"/>
      <c r="K7" s="3967"/>
      <c r="L7" s="3110" t="s">
        <v>2322</v>
      </c>
      <c r="M7" s="3111"/>
      <c r="N7" s="3087"/>
      <c r="O7" s="3112"/>
      <c r="P7" s="3112"/>
      <c r="Q7" s="3113">
        <v>365</v>
      </c>
      <c r="R7" s="3114">
        <f>ROUND(M7*N7*O7*P7*Q7/10000,0)</f>
        <v>0</v>
      </c>
      <c r="S7" s="3067"/>
      <c r="T7" s="3067" t="s">
        <v>2323</v>
      </c>
      <c r="U7" s="3067"/>
      <c r="V7" s="3076"/>
    </row>
    <row r="8" spans="1:22" s="3080" customFormat="1" ht="13.15" customHeight="1">
      <c r="A8" s="3115" t="s">
        <v>2324</v>
      </c>
      <c r="B8" s="3969" t="s">
        <v>2325</v>
      </c>
      <c r="C8" s="3970"/>
      <c r="D8" s="3116" t="s">
        <v>2326</v>
      </c>
      <c r="E8" s="3117" t="s">
        <v>2327</v>
      </c>
      <c r="F8" s="3118" t="s">
        <v>2328</v>
      </c>
      <c r="G8" s="3119"/>
      <c r="H8" s="3075"/>
      <c r="I8" s="3076"/>
      <c r="J8" s="3965"/>
      <c r="K8" s="3967"/>
      <c r="L8" s="3110" t="s">
        <v>2329</v>
      </c>
      <c r="M8" s="3111"/>
      <c r="N8" s="3087"/>
      <c r="O8" s="3112"/>
      <c r="P8" s="3112"/>
      <c r="Q8" s="3113">
        <v>365</v>
      </c>
      <c r="R8" s="3114">
        <f t="shared" ref="R8:R13" si="0">ROUND(M8*N8*O8*P8*Q8/10000,0)</f>
        <v>0</v>
      </c>
      <c r="S8" s="3067"/>
      <c r="T8" s="3067" t="s">
        <v>2330</v>
      </c>
      <c r="U8" s="3067"/>
      <c r="V8" s="3076"/>
    </row>
    <row r="9" spans="1:22" s="3080" customFormat="1" ht="13.15" customHeight="1">
      <c r="A9" s="3115">
        <v>1</v>
      </c>
      <c r="B9" s="3969" t="s">
        <v>2331</v>
      </c>
      <c r="C9" s="3970"/>
      <c r="D9" s="3116">
        <f>ROUND(D6*E9,0)</f>
        <v>0</v>
      </c>
      <c r="E9" s="3120"/>
      <c r="F9" s="3121" t="s">
        <v>2332</v>
      </c>
      <c r="G9" s="3100"/>
      <c r="H9" s="3075"/>
      <c r="I9" s="3076"/>
      <c r="J9" s="3965"/>
      <c r="K9" s="3967"/>
      <c r="L9" s="3110" t="s">
        <v>2333</v>
      </c>
      <c r="M9" s="3111"/>
      <c r="N9" s="3087"/>
      <c r="O9" s="3112"/>
      <c r="P9" s="3112"/>
      <c r="Q9" s="3113">
        <v>365</v>
      </c>
      <c r="R9" s="3114">
        <f t="shared" si="0"/>
        <v>0</v>
      </c>
      <c r="S9" s="3067"/>
      <c r="T9" s="3067"/>
      <c r="U9" s="3067"/>
      <c r="V9" s="3076"/>
    </row>
    <row r="10" spans="1:22" s="3080" customFormat="1" ht="13.15" customHeight="1">
      <c r="A10" s="3115">
        <v>2</v>
      </c>
      <c r="B10" s="3969" t="s">
        <v>2334</v>
      </c>
      <c r="C10" s="3970"/>
      <c r="D10" s="3116">
        <f>ROUND(D6*E10,0)</f>
        <v>0</v>
      </c>
      <c r="E10" s="3120"/>
      <c r="F10" s="3121" t="s">
        <v>2335</v>
      </c>
      <c r="G10" s="3100"/>
      <c r="H10" s="3075"/>
      <c r="I10" s="3076"/>
      <c r="J10" s="3965"/>
      <c r="K10" s="3967"/>
      <c r="L10" s="3110" t="s">
        <v>2336</v>
      </c>
      <c r="M10" s="3111"/>
      <c r="N10" s="3087"/>
      <c r="O10" s="3112"/>
      <c r="P10" s="3112"/>
      <c r="Q10" s="3113">
        <v>365</v>
      </c>
      <c r="R10" s="3114">
        <f t="shared" si="0"/>
        <v>0</v>
      </c>
      <c r="S10" s="3067"/>
      <c r="T10" s="3067"/>
      <c r="U10" s="3067"/>
      <c r="V10" s="3076"/>
    </row>
    <row r="11" spans="1:22" s="3080" customFormat="1" ht="13.15" customHeight="1">
      <c r="A11" s="3115">
        <v>3</v>
      </c>
      <c r="B11" s="3969" t="s">
        <v>2337</v>
      </c>
      <c r="C11" s="3970"/>
      <c r="D11" s="3116">
        <f>D12+D14+D15+D16</f>
        <v>0</v>
      </c>
      <c r="E11" s="3122" t="e">
        <f>D11/D6</f>
        <v>#DIV/0!</v>
      </c>
      <c r="F11" s="3118"/>
      <c r="G11" s="3119"/>
      <c r="H11" s="3075"/>
      <c r="I11" s="3076"/>
      <c r="J11" s="3965"/>
      <c r="K11" s="3967"/>
      <c r="L11" s="3110" t="s">
        <v>2338</v>
      </c>
      <c r="M11" s="3111"/>
      <c r="N11" s="3087"/>
      <c r="O11" s="3112"/>
      <c r="P11" s="3112"/>
      <c r="Q11" s="3113">
        <v>365</v>
      </c>
      <c r="R11" s="3114">
        <f t="shared" si="0"/>
        <v>0</v>
      </c>
      <c r="S11" s="3067"/>
      <c r="T11" s="3067"/>
      <c r="U11" s="3067"/>
      <c r="V11" s="3076"/>
    </row>
    <row r="12" spans="1:22" s="3080" customFormat="1" ht="13.15" customHeight="1">
      <c r="A12" s="3123" t="s">
        <v>2339</v>
      </c>
      <c r="B12" s="3971" t="s">
        <v>2340</v>
      </c>
      <c r="C12" s="3972"/>
      <c r="D12" s="3124">
        <f>ROUND(D13*1.2%*(1-30%),0)</f>
        <v>0</v>
      </c>
      <c r="E12" s="3125">
        <v>1.2E-2</v>
      </c>
      <c r="F12" s="3118" t="s">
        <v>2341</v>
      </c>
      <c r="G12" s="3119"/>
      <c r="H12" s="3075"/>
      <c r="I12" s="3076"/>
      <c r="J12" s="3965"/>
      <c r="K12" s="3967"/>
      <c r="L12" s="3110" t="s">
        <v>2342</v>
      </c>
      <c r="M12" s="3111"/>
      <c r="N12" s="3087"/>
      <c r="O12" s="3112"/>
      <c r="P12" s="3112"/>
      <c r="Q12" s="3113">
        <v>365</v>
      </c>
      <c r="R12" s="3114">
        <f t="shared" si="0"/>
        <v>0</v>
      </c>
      <c r="S12" s="3067"/>
      <c r="T12" s="3067"/>
      <c r="U12" s="3067"/>
      <c r="V12" s="3076"/>
    </row>
    <row r="13" spans="1:22" s="3080" customFormat="1" ht="13.15" customHeight="1">
      <c r="A13" s="3123"/>
      <c r="B13" s="3126"/>
      <c r="C13" s="3127" t="s">
        <v>2343</v>
      </c>
      <c r="D13" s="3128"/>
      <c r="E13" s="3129"/>
      <c r="F13" s="3118"/>
      <c r="G13" s="3119"/>
      <c r="H13" s="3075"/>
      <c r="I13" s="3076"/>
      <c r="J13" s="3965"/>
      <c r="K13" s="3967"/>
      <c r="L13" s="3110" t="s">
        <v>2344</v>
      </c>
      <c r="M13" s="3111"/>
      <c r="N13" s="3087"/>
      <c r="O13" s="3112"/>
      <c r="P13" s="3112"/>
      <c r="Q13" s="3113">
        <v>365</v>
      </c>
      <c r="R13" s="3114">
        <f t="shared" si="0"/>
        <v>0</v>
      </c>
      <c r="S13" s="3067"/>
      <c r="T13" s="3067"/>
      <c r="U13" s="3067"/>
      <c r="V13" s="3076"/>
    </row>
    <row r="14" spans="1:22" s="3080" customFormat="1" ht="13.15" customHeight="1">
      <c r="A14" s="3123" t="s">
        <v>2345</v>
      </c>
      <c r="B14" s="3971" t="s">
        <v>2346</v>
      </c>
      <c r="C14" s="3972"/>
      <c r="D14" s="3124">
        <f>ROUND(E14*B5/10000,0)</f>
        <v>0</v>
      </c>
      <c r="E14" s="3113"/>
      <c r="F14" s="3118" t="s">
        <v>2347</v>
      </c>
      <c r="G14" s="3119"/>
      <c r="H14" s="3075"/>
      <c r="I14" s="3076"/>
      <c r="J14" s="3965"/>
      <c r="K14" s="3968"/>
      <c r="L14" s="3130" t="s">
        <v>2348</v>
      </c>
      <c r="M14" s="3131">
        <f>SUM(M7:M13)</f>
        <v>0</v>
      </c>
      <c r="N14" s="3131" t="e">
        <f>ROUND((N7*M7+N8*M8+N9*M9+N10*M10+N11*M11+N12*M12+N13*M13)/M14,0)</f>
        <v>#DIV/0!</v>
      </c>
      <c r="O14" s="3132"/>
      <c r="P14" s="3132"/>
      <c r="Q14" s="3133"/>
      <c r="R14" s="3079">
        <f>SUM(R7:R13)</f>
        <v>0</v>
      </c>
      <c r="S14" s="3067"/>
      <c r="T14" s="3067"/>
      <c r="U14" s="3067"/>
      <c r="V14" s="3076"/>
    </row>
    <row r="15" spans="1:22" s="3080" customFormat="1" ht="13.15" customHeight="1">
      <c r="A15" s="3123" t="s">
        <v>2349</v>
      </c>
      <c r="B15" s="3971" t="s">
        <v>2350</v>
      </c>
      <c r="C15" s="3972"/>
      <c r="D15" s="3124">
        <f>ROUND(D6*E15,0)</f>
        <v>0</v>
      </c>
      <c r="E15" s="3125">
        <v>5.5E-2</v>
      </c>
      <c r="F15" s="3118" t="s">
        <v>2351</v>
      </c>
      <c r="G15" s="3100"/>
      <c r="H15" s="3075"/>
      <c r="I15" s="3076"/>
      <c r="J15" s="3965">
        <v>2</v>
      </c>
      <c r="K15" s="3966" t="s">
        <v>2352</v>
      </c>
      <c r="L15" s="3110" t="s">
        <v>2353</v>
      </c>
      <c r="M15" s="3111" t="s">
        <v>2354</v>
      </c>
      <c r="N15" s="3111" t="s">
        <v>2355</v>
      </c>
      <c r="O15" s="3112" t="s">
        <v>2356</v>
      </c>
      <c r="P15" s="3112" t="s">
        <v>2357</v>
      </c>
      <c r="Q15" s="3087" t="s">
        <v>2358</v>
      </c>
      <c r="R15" s="3134" t="s">
        <v>2359</v>
      </c>
      <c r="S15" s="3067"/>
      <c r="T15" s="3067"/>
      <c r="U15" s="3067"/>
      <c r="V15" s="3076"/>
    </row>
    <row r="16" spans="1:22" s="3080" customFormat="1" ht="13.15" customHeight="1">
      <c r="A16" s="3123" t="s">
        <v>2360</v>
      </c>
      <c r="B16" s="3971" t="s">
        <v>2361</v>
      </c>
      <c r="C16" s="3972"/>
      <c r="D16" s="3135">
        <f>D6*E16</f>
        <v>0</v>
      </c>
      <c r="E16" s="3136"/>
      <c r="F16" s="3121" t="s">
        <v>2362</v>
      </c>
      <c r="G16" s="3100"/>
      <c r="H16" s="3075"/>
      <c r="I16" s="3076"/>
      <c r="J16" s="3965"/>
      <c r="K16" s="3967"/>
      <c r="L16" s="3110" t="s">
        <v>2363</v>
      </c>
      <c r="M16" s="3111"/>
      <c r="N16" s="3111"/>
      <c r="O16" s="3112"/>
      <c r="P16" s="3113">
        <v>365</v>
      </c>
      <c r="Q16" s="3087"/>
      <c r="R16" s="3134">
        <f>ROUND(M16*N16*O16*P16/10000,0)</f>
        <v>0</v>
      </c>
      <c r="S16" s="3067"/>
      <c r="T16" s="3067"/>
      <c r="U16" s="3067"/>
      <c r="V16" s="3076"/>
    </row>
    <row r="17" spans="1:22" s="3080" customFormat="1" ht="13.15" customHeight="1" thickBot="1">
      <c r="A17" s="3137">
        <v>4</v>
      </c>
      <c r="B17" s="3973" t="s">
        <v>2364</v>
      </c>
      <c r="C17" s="3974"/>
      <c r="D17" s="3138">
        <f>ROUND(D6*E17,0)</f>
        <v>0</v>
      </c>
      <c r="E17" s="3139"/>
      <c r="F17" s="3140" t="s">
        <v>2365</v>
      </c>
      <c r="G17" s="3100"/>
      <c r="H17" s="3075"/>
      <c r="I17" s="3076"/>
      <c r="J17" s="3965"/>
      <c r="K17" s="3967"/>
      <c r="L17" s="3110" t="s">
        <v>2366</v>
      </c>
      <c r="M17" s="3111"/>
      <c r="N17" s="3111"/>
      <c r="O17" s="3112"/>
      <c r="P17" s="3113">
        <v>365</v>
      </c>
      <c r="Q17" s="3087"/>
      <c r="R17" s="3134">
        <f>ROUND(M17*N17*O17*P17/10000,0)</f>
        <v>0</v>
      </c>
      <c r="S17" s="3067"/>
      <c r="T17" s="3067"/>
      <c r="U17" s="3067"/>
      <c r="V17" s="3076"/>
    </row>
    <row r="18" spans="1:22" s="3080" customFormat="1" ht="13.15" customHeight="1" thickBot="1">
      <c r="A18" s="3103" t="s">
        <v>2367</v>
      </c>
      <c r="B18" s="3104"/>
      <c r="C18" s="3104"/>
      <c r="D18" s="3141">
        <f>ROUND(D6*E18,0)</f>
        <v>0</v>
      </c>
      <c r="E18" s="3142"/>
      <c r="F18" s="3143" t="s">
        <v>2368</v>
      </c>
      <c r="G18" s="3100"/>
      <c r="H18" s="3075"/>
      <c r="I18" s="3076"/>
      <c r="J18" s="3965"/>
      <c r="K18" s="3967"/>
      <c r="L18" s="3110" t="s">
        <v>2369</v>
      </c>
      <c r="M18" s="3111"/>
      <c r="N18" s="3111"/>
      <c r="O18" s="3112"/>
      <c r="P18" s="3113">
        <v>365</v>
      </c>
      <c r="Q18" s="3087"/>
      <c r="R18" s="3134">
        <f>ROUND(M18*N18*O18*P18/10000,0)</f>
        <v>0</v>
      </c>
      <c r="S18" s="3067"/>
      <c r="T18" s="3067"/>
      <c r="U18" s="3067"/>
      <c r="V18" s="3076"/>
    </row>
    <row r="19" spans="1:22" s="3080" customFormat="1" ht="13.15" customHeight="1" thickBot="1">
      <c r="A19" s="3144" t="s">
        <v>2370</v>
      </c>
      <c r="B19" s="3098"/>
      <c r="C19" s="3098"/>
      <c r="D19" s="3098"/>
      <c r="E19" s="3098"/>
      <c r="F19" s="3099"/>
      <c r="G19" s="3119"/>
      <c r="H19" s="3075"/>
      <c r="I19" s="3076"/>
      <c r="J19" s="3965"/>
      <c r="K19" s="3968"/>
      <c r="L19" s="3130" t="s">
        <v>2348</v>
      </c>
      <c r="M19" s="3131"/>
      <c r="N19" s="3131">
        <f>SUM(N16:N18)</f>
        <v>0</v>
      </c>
      <c r="O19" s="3132"/>
      <c r="P19" s="3145" t="s">
        <v>2436</v>
      </c>
      <c r="Q19" s="3112"/>
      <c r="R19" s="3146">
        <f>ROUND(IF(P19="按比例",R14*Q19,SUM(R16:R18)),0)</f>
        <v>0</v>
      </c>
      <c r="S19" s="3067"/>
      <c r="T19" s="3067"/>
      <c r="U19" s="3067"/>
      <c r="V19" s="3076"/>
    </row>
    <row r="20" spans="1:22" s="3080" customFormat="1" ht="13.15" customHeight="1">
      <c r="A20" s="3103"/>
      <c r="B20" s="3104"/>
      <c r="C20" s="3104"/>
      <c r="D20" s="3104"/>
      <c r="E20" s="3104"/>
      <c r="F20" s="3147"/>
      <c r="G20" s="3119"/>
      <c r="H20" s="3075"/>
      <c r="I20" s="3076"/>
      <c r="J20" s="3965">
        <v>3</v>
      </c>
      <c r="K20" s="3966" t="s">
        <v>2371</v>
      </c>
      <c r="L20" s="3110" t="s">
        <v>2372</v>
      </c>
      <c r="M20" s="3111" t="s">
        <v>2373</v>
      </c>
      <c r="N20" s="3148" t="s">
        <v>2374</v>
      </c>
      <c r="O20" s="3112" t="s">
        <v>2375</v>
      </c>
      <c r="P20" s="3113" t="s">
        <v>2376</v>
      </c>
      <c r="Q20" s="3087" t="s">
        <v>2377</v>
      </c>
      <c r="R20" s="3134" t="s">
        <v>2319</v>
      </c>
      <c r="S20" s="3149"/>
      <c r="T20" s="3149"/>
      <c r="U20" s="3149"/>
      <c r="V20" s="3076"/>
    </row>
    <row r="21" spans="1:22" s="3080" customFormat="1" ht="13.15" customHeight="1">
      <c r="A21" s="3103"/>
      <c r="B21" s="3104"/>
      <c r="C21" s="3150" t="s">
        <v>2378</v>
      </c>
      <c r="D21" s="3151" t="s">
        <v>2379</v>
      </c>
      <c r="E21" s="3152" t="s">
        <v>2380</v>
      </c>
      <c r="F21" s="3147"/>
      <c r="G21" s="3119"/>
      <c r="H21" s="3075"/>
      <c r="I21" s="3076"/>
      <c r="J21" s="3965"/>
      <c r="K21" s="3967"/>
      <c r="L21" s="3110" t="s">
        <v>2381</v>
      </c>
      <c r="M21" s="3111"/>
      <c r="N21" s="3111"/>
      <c r="O21" s="3112"/>
      <c r="P21" s="3113">
        <v>365</v>
      </c>
      <c r="Q21" s="3087"/>
      <c r="R21" s="3153">
        <f>ROUND(M21*N21*O21*P21/10000,0)</f>
        <v>0</v>
      </c>
      <c r="S21" s="3149"/>
      <c r="T21" s="3149"/>
      <c r="U21" s="3149"/>
      <c r="V21" s="3076"/>
    </row>
    <row r="22" spans="1:22" s="3080" customFormat="1" ht="13.15" customHeight="1">
      <c r="A22" s="3103"/>
      <c r="B22" s="3104"/>
      <c r="C22" s="3154" t="s">
        <v>2382</v>
      </c>
      <c r="D22" s="3155" t="s">
        <v>2383</v>
      </c>
      <c r="E22" s="3156" t="s">
        <v>2384</v>
      </c>
      <c r="F22" s="3147"/>
      <c r="G22" s="3157"/>
      <c r="H22" s="3075"/>
      <c r="I22" s="3076"/>
      <c r="J22" s="3965"/>
      <c r="K22" s="3967"/>
      <c r="L22" s="3110" t="s">
        <v>2385</v>
      </c>
      <c r="M22" s="3111"/>
      <c r="N22" s="3111"/>
      <c r="O22" s="3112"/>
      <c r="P22" s="3113">
        <v>365</v>
      </c>
      <c r="Q22" s="3087"/>
      <c r="R22" s="3153">
        <f>ROUND(M22*N22*O22*P22/10000,0)</f>
        <v>0</v>
      </c>
      <c r="S22" s="3149"/>
      <c r="T22" s="3149"/>
      <c r="U22" s="3149"/>
      <c r="V22" s="3076"/>
    </row>
    <row r="23" spans="1:22" s="3080" customFormat="1" ht="13.15" customHeight="1">
      <c r="A23" s="3158">
        <v>1</v>
      </c>
      <c r="B23" s="3159" t="s">
        <v>2386</v>
      </c>
      <c r="C23" s="3160">
        <f>D6</f>
        <v>0</v>
      </c>
      <c r="D23" s="3161">
        <f>C23*(1+D24)</f>
        <v>0</v>
      </c>
      <c r="E23" s="3162">
        <f>D23*(1+E24)</f>
        <v>0</v>
      </c>
      <c r="F23" s="3163"/>
      <c r="G23" s="3164"/>
      <c r="H23" s="3075"/>
      <c r="I23" s="3076"/>
      <c r="J23" s="3965"/>
      <c r="K23" s="3967"/>
      <c r="L23" s="3110" t="s">
        <v>2387</v>
      </c>
      <c r="M23" s="3111"/>
      <c r="N23" s="3111"/>
      <c r="O23" s="3112"/>
      <c r="P23" s="3113">
        <v>365</v>
      </c>
      <c r="Q23" s="3087"/>
      <c r="R23" s="3153">
        <f>ROUND(M23*N23*O23*P23/10000,0)</f>
        <v>0</v>
      </c>
      <c r="S23" s="3067"/>
      <c r="T23" s="3067"/>
      <c r="U23" s="3067"/>
      <c r="V23" s="3076"/>
    </row>
    <row r="24" spans="1:22" s="3080" customFormat="1" ht="13.15" customHeight="1">
      <c r="A24" s="3165"/>
      <c r="B24" s="3166" t="s">
        <v>2388</v>
      </c>
      <c r="C24" s="3167"/>
      <c r="D24" s="3168"/>
      <c r="E24" s="3169"/>
      <c r="F24" s="3170"/>
      <c r="G24" s="3164"/>
      <c r="H24" s="3075"/>
      <c r="I24" s="3076"/>
      <c r="J24" s="3965"/>
      <c r="K24" s="3968"/>
      <c r="L24" s="3130" t="s">
        <v>2348</v>
      </c>
      <c r="M24" s="3131">
        <f>SUM(M21:M23)</f>
        <v>0</v>
      </c>
      <c r="N24" s="3131"/>
      <c r="O24" s="3132"/>
      <c r="P24" s="3145" t="s">
        <v>2436</v>
      </c>
      <c r="Q24" s="3112"/>
      <c r="R24" s="3146">
        <f>ROUND(IF(P24="按比例",R14*Q24,SUM(R21:R23)),0)</f>
        <v>0</v>
      </c>
      <c r="S24" s="3067"/>
      <c r="T24" s="3067"/>
      <c r="U24" s="3067"/>
      <c r="V24" s="3076"/>
    </row>
    <row r="25" spans="1:22" s="3177" customFormat="1" ht="13.15" customHeight="1">
      <c r="A25" s="3165"/>
      <c r="B25" s="3166"/>
      <c r="C25" s="3167"/>
      <c r="D25" s="3168"/>
      <c r="E25" s="3169"/>
      <c r="F25" s="3170"/>
      <c r="G25" s="3157"/>
      <c r="H25" s="3075"/>
      <c r="I25" s="3076"/>
      <c r="J25" s="3171">
        <v>4</v>
      </c>
      <c r="K25" s="3172" t="s">
        <v>2389</v>
      </c>
      <c r="L25" s="3173"/>
      <c r="M25" s="3173"/>
      <c r="N25" s="3173"/>
      <c r="O25" s="3173"/>
      <c r="P25" s="3174"/>
      <c r="Q25" s="3175"/>
      <c r="R25" s="3146">
        <f>ROUND(R14*Q25,0)</f>
        <v>0</v>
      </c>
      <c r="S25" s="3067"/>
      <c r="T25" s="3067"/>
      <c r="U25" s="3067"/>
      <c r="V25" s="3176"/>
    </row>
    <row r="26" spans="1:22" s="3177" customFormat="1" ht="13.15" customHeight="1">
      <c r="A26" s="3158">
        <v>2</v>
      </c>
      <c r="B26" s="3159" t="s">
        <v>2390</v>
      </c>
      <c r="C26" s="3160">
        <f>D7</f>
        <v>0</v>
      </c>
      <c r="D26" s="3161">
        <f>D23*D27</f>
        <v>0</v>
      </c>
      <c r="E26" s="3162">
        <f>E23*E27</f>
        <v>0</v>
      </c>
      <c r="F26" s="3163"/>
      <c r="G26" s="3164"/>
      <c r="H26" s="3075"/>
      <c r="I26" s="3076"/>
      <c r="J26" s="3975">
        <v>5</v>
      </c>
      <c r="K26" s="3178" t="s">
        <v>2391</v>
      </c>
      <c r="L26" s="3179"/>
      <c r="M26" s="3180"/>
      <c r="N26" s="3181" t="s">
        <v>2392</v>
      </c>
      <c r="O26" s="3181" t="s">
        <v>2393</v>
      </c>
      <c r="P26" s="3182" t="s">
        <v>2394</v>
      </c>
      <c r="Q26" s="3182" t="s">
        <v>2395</v>
      </c>
      <c r="R26" s="3085" t="s">
        <v>2396</v>
      </c>
      <c r="S26" s="3183"/>
      <c r="T26" s="3183"/>
      <c r="U26" s="3183"/>
      <c r="V26" s="3176"/>
    </row>
    <row r="27" spans="1:22" s="3080" customFormat="1" ht="13.15" customHeight="1">
      <c r="A27" s="3165"/>
      <c r="B27" s="3166" t="s">
        <v>2397</v>
      </c>
      <c r="C27" s="3184" t="e">
        <f>E7</f>
        <v>#DIV/0!</v>
      </c>
      <c r="D27" s="3168"/>
      <c r="E27" s="3169"/>
      <c r="F27" s="3170"/>
      <c r="G27" s="3164"/>
      <c r="H27" s="3185"/>
      <c r="I27" s="3176"/>
      <c r="J27" s="3976"/>
      <c r="K27" s="3186"/>
      <c r="L27" s="3187"/>
      <c r="M27" s="3188"/>
      <c r="N27" s="3189"/>
      <c r="O27" s="3189"/>
      <c r="P27" s="3189"/>
      <c r="Q27" s="3190"/>
      <c r="R27" s="3146">
        <f>ROUND(O27*N27*P27*(1-Q27)/10000,0)</f>
        <v>0</v>
      </c>
      <c r="S27" s="3067"/>
      <c r="T27" s="3067"/>
      <c r="U27" s="3067"/>
      <c r="V27" s="3076"/>
    </row>
    <row r="28" spans="1:22" s="3177" customFormat="1" ht="13.15" customHeight="1" thickBot="1">
      <c r="A28" s="3165"/>
      <c r="B28" s="3166"/>
      <c r="C28" s="3184"/>
      <c r="D28" s="3168"/>
      <c r="E28" s="3169" t="s">
        <v>2398</v>
      </c>
      <c r="F28" s="3170"/>
      <c r="G28" s="3157"/>
      <c r="H28" s="3185"/>
      <c r="I28" s="3176"/>
      <c r="J28" s="3191">
        <v>6</v>
      </c>
      <c r="K28" s="3192" t="s">
        <v>2399</v>
      </c>
      <c r="L28" s="3193" t="s">
        <v>2400</v>
      </c>
      <c r="M28" s="3194"/>
      <c r="N28" s="3193" t="s">
        <v>2401</v>
      </c>
      <c r="O28" s="3195"/>
      <c r="P28" s="3193" t="s">
        <v>2402</v>
      </c>
      <c r="Q28" s="3196">
        <v>1.4999999999999999E-2</v>
      </c>
      <c r="R28" s="3197"/>
      <c r="S28" s="3149"/>
      <c r="T28" s="3149"/>
      <c r="U28" s="3149"/>
      <c r="V28" s="3176"/>
    </row>
    <row r="29" spans="1:22" s="3177" customFormat="1" ht="13.15" customHeight="1">
      <c r="A29" s="3158">
        <v>3</v>
      </c>
      <c r="B29" s="3159" t="s">
        <v>2403</v>
      </c>
      <c r="C29" s="3160">
        <f>C23*C30</f>
        <v>0</v>
      </c>
      <c r="D29" s="3161">
        <f>D23*C30</f>
        <v>0</v>
      </c>
      <c r="E29" s="3162">
        <f>E23*C30</f>
        <v>0</v>
      </c>
      <c r="F29" s="3163"/>
      <c r="G29" s="3164"/>
      <c r="H29" s="3075"/>
      <c r="I29" s="3076"/>
      <c r="J29" s="3149"/>
      <c r="K29" s="3149"/>
      <c r="L29" s="3149"/>
      <c r="M29" s="3149"/>
      <c r="N29" s="3149"/>
      <c r="O29" s="3149"/>
      <c r="P29" s="3149"/>
      <c r="Q29" s="3149"/>
      <c r="R29" s="3149"/>
      <c r="S29" s="3149"/>
      <c r="T29" s="3149"/>
      <c r="U29" s="3149"/>
      <c r="V29" s="3176"/>
    </row>
    <row r="30" spans="1:22" s="3080" customFormat="1" ht="13.15" customHeight="1" thickBot="1">
      <c r="A30" s="3165"/>
      <c r="B30" s="3166" t="s">
        <v>2404</v>
      </c>
      <c r="C30" s="3184">
        <f>E18</f>
        <v>0</v>
      </c>
      <c r="D30" s="3198"/>
      <c r="E30" s="3129"/>
      <c r="F30" s="3170"/>
      <c r="G30" s="3164"/>
      <c r="H30" s="3185"/>
      <c r="I30" s="3176"/>
      <c r="J30" s="3149"/>
      <c r="K30" s="3149"/>
      <c r="L30" s="3149"/>
      <c r="M30" s="3149"/>
      <c r="N30" s="3149"/>
      <c r="O30" s="3149"/>
      <c r="P30" s="3149"/>
      <c r="Q30" s="3149"/>
      <c r="R30" s="3149"/>
      <c r="S30" s="3149"/>
      <c r="T30" s="3149"/>
      <c r="U30" s="3067"/>
      <c r="V30" s="3076"/>
    </row>
    <row r="31" spans="1:22" s="3177" customFormat="1" ht="13.15" customHeight="1">
      <c r="A31" s="3165"/>
      <c r="B31" s="3166"/>
      <c r="C31" s="3199"/>
      <c r="D31" s="3198"/>
      <c r="E31" s="3129"/>
      <c r="F31" s="3170"/>
      <c r="G31" s="3157"/>
      <c r="H31" s="3185"/>
      <c r="I31" s="3176"/>
      <c r="J31" s="3064" t="s">
        <v>2405</v>
      </c>
      <c r="K31" s="3065"/>
      <c r="L31" s="3065"/>
      <c r="M31" s="3065"/>
      <c r="N31" s="3065"/>
      <c r="O31" s="3065"/>
      <c r="P31" s="3065"/>
      <c r="Q31" s="3065"/>
      <c r="R31" s="3066"/>
      <c r="S31" s="3149"/>
      <c r="T31" s="3067"/>
      <c r="U31" s="3067"/>
      <c r="V31" s="3176"/>
    </row>
    <row r="32" spans="1:22" s="3177" customFormat="1" ht="13.15" customHeight="1">
      <c r="A32" s="3158">
        <v>4</v>
      </c>
      <c r="B32" s="3159" t="s">
        <v>2406</v>
      </c>
      <c r="C32" s="3160">
        <f>C23-C26-C29</f>
        <v>0</v>
      </c>
      <c r="D32" s="3161">
        <f>D23-D26-D29</f>
        <v>0</v>
      </c>
      <c r="E32" s="3162">
        <f>E23-E26-E29</f>
        <v>0</v>
      </c>
      <c r="F32" s="3163"/>
      <c r="G32" s="3157"/>
      <c r="H32" s="3075"/>
      <c r="I32" s="3076"/>
      <c r="J32" s="3958" t="s">
        <v>2407</v>
      </c>
      <c r="K32" s="3959"/>
      <c r="L32" s="3077" t="s">
        <v>2408</v>
      </c>
      <c r="M32" s="3077" t="s">
        <v>2297</v>
      </c>
      <c r="N32" s="3077" t="s">
        <v>2298</v>
      </c>
      <c r="O32" s="3077" t="s">
        <v>2299</v>
      </c>
      <c r="P32" s="3077" t="s">
        <v>2300</v>
      </c>
      <c r="Q32" s="3078" t="s">
        <v>2409</v>
      </c>
      <c r="R32" s="3200" t="s">
        <v>2410</v>
      </c>
      <c r="S32" s="3149"/>
      <c r="T32" s="3067"/>
      <c r="U32" s="3067"/>
      <c r="V32" s="3176"/>
    </row>
    <row r="33" spans="1:23" s="3080" customFormat="1" ht="13.15" customHeight="1">
      <c r="A33" s="3158"/>
      <c r="B33" s="3159"/>
      <c r="C33" s="3160"/>
      <c r="D33" s="3201"/>
      <c r="E33" s="3202"/>
      <c r="F33" s="3163"/>
      <c r="G33" s="3157"/>
      <c r="H33" s="3185"/>
      <c r="I33" s="3176"/>
      <c r="J33" s="3960" t="s">
        <v>2411</v>
      </c>
      <c r="K33" s="3961"/>
      <c r="L33" s="3083"/>
      <c r="M33" s="3083"/>
      <c r="N33" s="3083"/>
      <c r="O33" s="3083"/>
      <c r="P33" s="3083"/>
      <c r="Q33" s="3084"/>
      <c r="R33" s="3203">
        <f>SUM(L33:Q33)</f>
        <v>0</v>
      </c>
      <c r="S33" s="3149"/>
      <c r="T33" s="3067"/>
      <c r="U33" s="3067"/>
      <c r="V33" s="3076"/>
    </row>
    <row r="34" spans="1:23" s="3080" customFormat="1" ht="13.15" customHeight="1">
      <c r="A34" s="3158">
        <v>5</v>
      </c>
      <c r="B34" s="3159" t="s">
        <v>2412</v>
      </c>
      <c r="C34" s="3204"/>
      <c r="D34" s="3205"/>
      <c r="E34" s="3206"/>
      <c r="F34" s="3163"/>
      <c r="G34" s="3157"/>
      <c r="H34" s="3185"/>
      <c r="I34" s="3176"/>
      <c r="J34" s="3960" t="s">
        <v>2413</v>
      </c>
      <c r="K34" s="3961"/>
      <c r="L34" s="3088"/>
      <c r="M34" s="3088"/>
      <c r="N34" s="3088"/>
      <c r="O34" s="3088"/>
      <c r="P34" s="3088"/>
      <c r="Q34" s="3089"/>
      <c r="R34" s="3207">
        <f>SUM(L34:Q34)</f>
        <v>0</v>
      </c>
      <c r="S34" s="3149"/>
      <c r="T34" s="3067"/>
      <c r="U34" s="3067" t="e">
        <f>ROUND(R35*10000/365/R33,1)</f>
        <v>#DIV/0!</v>
      </c>
      <c r="V34" s="3076"/>
    </row>
    <row r="35" spans="1:23" s="3080" customFormat="1" ht="13.15" customHeight="1">
      <c r="A35" s="3158">
        <v>6</v>
      </c>
      <c r="B35" s="3159" t="s">
        <v>2414</v>
      </c>
      <c r="C35" s="3208"/>
      <c r="D35" s="3209"/>
      <c r="E35" s="3210"/>
      <c r="F35" s="3163"/>
      <c r="G35" s="3211"/>
      <c r="H35" s="3075"/>
      <c r="I35" s="3176"/>
      <c r="J35" s="3094" t="s">
        <v>2415</v>
      </c>
      <c r="K35" s="3095"/>
      <c r="L35" s="3095"/>
      <c r="M35" s="3096"/>
      <c r="N35" s="3096"/>
      <c r="O35" s="3096"/>
      <c r="P35" s="3096"/>
      <c r="Q35" s="3096"/>
      <c r="R35" s="3212">
        <f>R40+R41+R43</f>
        <v>0</v>
      </c>
      <c r="S35" s="3149"/>
      <c r="T35" s="3067" t="s">
        <v>2416</v>
      </c>
      <c r="U35" s="3067"/>
      <c r="V35" s="3076"/>
    </row>
    <row r="36" spans="1:23" s="3080" customFormat="1" ht="13.15" customHeight="1" thickBot="1">
      <c r="A36" s="3158">
        <v>7</v>
      </c>
      <c r="B36" s="3213" t="s">
        <v>2417</v>
      </c>
      <c r="C36" s="3214"/>
      <c r="D36" s="3215"/>
      <c r="E36" s="3216"/>
      <c r="F36" s="3217">
        <f>C36+D36+E36</f>
        <v>0</v>
      </c>
      <c r="G36" s="3157"/>
      <c r="H36" s="3075"/>
      <c r="I36" s="3076"/>
      <c r="J36" s="3965">
        <v>1</v>
      </c>
      <c r="K36" s="3966" t="s">
        <v>2418</v>
      </c>
      <c r="L36" s="3101"/>
      <c r="M36" s="3102"/>
      <c r="N36" s="3102"/>
      <c r="O36" s="3102"/>
      <c r="P36" s="3102"/>
      <c r="Q36" s="3102"/>
      <c r="R36" s="3085" t="s">
        <v>2319</v>
      </c>
      <c r="S36" s="3149"/>
      <c r="T36" s="3067" t="s">
        <v>2320</v>
      </c>
      <c r="U36" s="3067"/>
      <c r="V36" s="3076"/>
    </row>
    <row r="37" spans="1:23" s="3080" customFormat="1" ht="13.15" customHeight="1">
      <c r="A37" s="3158"/>
      <c r="B37" s="3159"/>
      <c r="C37" s="3159"/>
      <c r="D37" s="3159"/>
      <c r="E37" s="3159"/>
      <c r="F37" s="3163"/>
      <c r="G37" s="3157"/>
      <c r="H37" s="3075"/>
      <c r="I37" s="3076"/>
      <c r="J37" s="3965"/>
      <c r="K37" s="3967"/>
      <c r="L37" s="3110"/>
      <c r="M37" s="3111"/>
      <c r="N37" s="3087"/>
      <c r="O37" s="3112"/>
      <c r="P37" s="3112"/>
      <c r="Q37" s="3113"/>
      <c r="R37" s="3114"/>
      <c r="S37" s="3149"/>
      <c r="T37" s="3067" t="s">
        <v>2323</v>
      </c>
      <c r="U37" s="3067"/>
      <c r="V37" s="3076"/>
    </row>
    <row r="38" spans="1:23" s="3080" customFormat="1" ht="13.15" customHeight="1">
      <c r="A38" s="3158">
        <v>8</v>
      </c>
      <c r="B38" s="3159"/>
      <c r="C38" s="3116" t="e">
        <f>ROUND(C32*(1-((1+C35)/(1+C34))^C36)/(C34-C35),0)</f>
        <v>#DIV/0!</v>
      </c>
      <c r="D38" s="3116">
        <f>IF(D23=0,0,ROUND(D32*(1-((1+D35)/(1+D34))^D36)/(D34-D35),0))</f>
        <v>0</v>
      </c>
      <c r="E38" s="3116">
        <f>IF(E23=0,0,ROUND(E32*(1-((1+E35)/(1+E34))^E36)/(E34-E35),0))</f>
        <v>0</v>
      </c>
      <c r="F38" s="3163"/>
      <c r="G38" s="3157"/>
      <c r="H38" s="3075"/>
      <c r="I38" s="3076"/>
      <c r="J38" s="3965"/>
      <c r="K38" s="3967"/>
      <c r="L38" s="3110"/>
      <c r="M38" s="3111"/>
      <c r="N38" s="3087"/>
      <c r="O38" s="3112"/>
      <c r="P38" s="3112"/>
      <c r="Q38" s="3113"/>
      <c r="R38" s="3114"/>
      <c r="S38" s="3149"/>
      <c r="T38" s="3067" t="s">
        <v>2330</v>
      </c>
      <c r="U38" s="3067"/>
      <c r="V38" s="3076"/>
    </row>
    <row r="39" spans="1:23" s="3080" customFormat="1" ht="13.15" customHeight="1">
      <c r="A39" s="3158">
        <v>9</v>
      </c>
      <c r="B39" s="3159" t="s">
        <v>2419</v>
      </c>
      <c r="C39" s="3124" t="e">
        <f>C38</f>
        <v>#DIV/0!</v>
      </c>
      <c r="D39" s="3159">
        <f>D38/(1+D34)^C36</f>
        <v>0</v>
      </c>
      <c r="E39" s="3159">
        <f>E38/(1+E34)^(C36+D36)</f>
        <v>0</v>
      </c>
      <c r="F39" s="3163"/>
      <c r="G39" s="3218"/>
      <c r="H39" s="3075"/>
      <c r="I39" s="3076"/>
      <c r="J39" s="3965"/>
      <c r="K39" s="3967"/>
      <c r="L39" s="3110"/>
      <c r="M39" s="3111"/>
      <c r="N39" s="3087"/>
      <c r="O39" s="3112"/>
      <c r="P39" s="3112"/>
      <c r="Q39" s="3113"/>
      <c r="R39" s="3114"/>
      <c r="S39" s="3149"/>
      <c r="T39" s="3067"/>
      <c r="U39" s="3067"/>
      <c r="V39" s="3076"/>
    </row>
    <row r="40" spans="1:23" s="3080" customFormat="1" ht="13.15" customHeight="1">
      <c r="A40" s="3219">
        <v>10</v>
      </c>
      <c r="B40" s="3159" t="s">
        <v>2420</v>
      </c>
      <c r="C40" s="3220" t="e">
        <f>C39+D39+E39</f>
        <v>#DIV/0!</v>
      </c>
      <c r="D40" s="3221"/>
      <c r="E40" s="3221"/>
      <c r="F40" s="3222"/>
      <c r="G40" s="3157"/>
      <c r="H40" s="3075"/>
      <c r="I40" s="3076"/>
      <c r="J40" s="3965"/>
      <c r="K40" s="3968"/>
      <c r="L40" s="3130" t="s">
        <v>2421</v>
      </c>
      <c r="M40" s="3131"/>
      <c r="N40" s="3131"/>
      <c r="O40" s="3132"/>
      <c r="P40" s="3132"/>
      <c r="Q40" s="3133"/>
      <c r="R40" s="3079">
        <f>SUM(R37:R39)</f>
        <v>0</v>
      </c>
      <c r="S40" s="3149"/>
      <c r="T40" s="3067"/>
      <c r="U40" s="3067"/>
      <c r="V40" s="3076"/>
    </row>
    <row r="41" spans="1:23" s="3080" customFormat="1" ht="13.15" customHeight="1" thickBot="1">
      <c r="A41" s="3223">
        <v>11</v>
      </c>
      <c r="B41" s="3224" t="s">
        <v>2422</v>
      </c>
      <c r="C41" s="3224" t="e">
        <f>ROUND(C40*10000/B4,0)</f>
        <v>#DIV/0!</v>
      </c>
      <c r="D41" s="3225"/>
      <c r="E41" s="3225"/>
      <c r="F41" s="3226"/>
      <c r="G41" s="3227"/>
      <c r="H41" s="3075"/>
      <c r="I41" s="3076"/>
      <c r="J41" s="3171">
        <v>2</v>
      </c>
      <c r="K41" s="3172" t="s">
        <v>2423</v>
      </c>
      <c r="L41" s="3173"/>
      <c r="M41" s="3173"/>
      <c r="N41" s="3173"/>
      <c r="O41" s="3173"/>
      <c r="P41" s="3174"/>
      <c r="Q41" s="3175"/>
      <c r="R41" s="3146">
        <f>ROUND(R40*Q41,0)</f>
        <v>0</v>
      </c>
      <c r="S41" s="3149"/>
      <c r="T41" s="3067"/>
      <c r="U41" s="3183"/>
      <c r="V41" s="3076"/>
    </row>
    <row r="42" spans="1:23" s="3080" customFormat="1" ht="13.15" customHeight="1">
      <c r="G42" s="3227"/>
      <c r="H42" s="3075"/>
      <c r="I42" s="3076"/>
      <c r="J42" s="3975">
        <v>3</v>
      </c>
      <c r="K42" s="3178" t="s">
        <v>2424</v>
      </c>
      <c r="L42" s="3179"/>
      <c r="M42" s="3180"/>
      <c r="N42" s="3181" t="s">
        <v>2425</v>
      </c>
      <c r="O42" s="3181" t="s">
        <v>2426</v>
      </c>
      <c r="P42" s="3182" t="s">
        <v>2427</v>
      </c>
      <c r="Q42" s="3182" t="s">
        <v>2428</v>
      </c>
      <c r="R42" s="3085" t="s">
        <v>2429</v>
      </c>
      <c r="S42" s="3183"/>
      <c r="T42" s="3183"/>
      <c r="U42" s="3067"/>
      <c r="V42" s="3076"/>
    </row>
    <row r="43" spans="1:23" ht="13.15" customHeight="1">
      <c r="A43" s="3080"/>
      <c r="B43" s="3080"/>
      <c r="C43" s="3080"/>
      <c r="D43" s="3080"/>
      <c r="E43" s="3080"/>
      <c r="F43" s="3080"/>
      <c r="I43" s="3062"/>
      <c r="J43" s="3976"/>
      <c r="K43" s="3186"/>
      <c r="L43" s="3187"/>
      <c r="M43" s="3188"/>
      <c r="N43" s="3111"/>
      <c r="O43" s="3111"/>
      <c r="P43" s="3111"/>
      <c r="Q43" s="3175"/>
      <c r="R43" s="3146">
        <f>ROUND(O43*N43*P43*(1-Q43)/10000,0)</f>
        <v>0</v>
      </c>
      <c r="S43" s="3149"/>
      <c r="T43" s="3067"/>
      <c r="V43" s="3229"/>
      <c r="W43" s="3230"/>
    </row>
    <row r="44" spans="1:23" ht="13.15" customHeight="1" thickBot="1">
      <c r="J44" s="3191">
        <v>6</v>
      </c>
      <c r="K44" s="3192" t="s">
        <v>2430</v>
      </c>
      <c r="L44" s="3231" t="s">
        <v>2431</v>
      </c>
      <c r="M44" s="3194"/>
      <c r="N44" s="3231" t="s">
        <v>2432</v>
      </c>
      <c r="O44" s="3194"/>
      <c r="P44" s="3231" t="s">
        <v>2433</v>
      </c>
      <c r="Q44" s="3196">
        <v>1.4999999999999999E-2</v>
      </c>
      <c r="R44" s="319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551</v>
      </c>
      <c r="B1" s="710"/>
      <c r="C1" s="1903"/>
      <c r="D1" s="1903"/>
      <c r="E1" s="1903"/>
      <c r="F1" s="1903"/>
      <c r="G1" s="1830"/>
    </row>
    <row r="2" spans="1:25" s="1782" customFormat="1" ht="18" customHeight="1">
      <c r="A2" s="410" t="s">
        <v>427</v>
      </c>
      <c r="B2" s="412">
        <f ca="1">C23</f>
        <v>0</v>
      </c>
      <c r="C2" s="3009"/>
      <c r="D2" s="3009"/>
      <c r="E2" s="3009"/>
      <c r="F2" s="3009"/>
      <c r="G2" s="3009"/>
    </row>
    <row r="3" spans="1:25" s="1782" customFormat="1" ht="18" customHeight="1">
      <c r="A3" s="1236" t="s">
        <v>1218</v>
      </c>
      <c r="B3" s="412">
        <f ca="1">ROUND(B2*10000/'数据-汇总表'!E3,0)</f>
        <v>0</v>
      </c>
      <c r="C3" s="3009"/>
      <c r="D3" s="3009"/>
      <c r="E3" s="3009"/>
      <c r="F3" s="3009"/>
      <c r="G3" s="3009"/>
    </row>
    <row r="4" spans="1:25" s="1782" customFormat="1" ht="18" customHeight="1">
      <c r="A4" s="413" t="s">
        <v>428</v>
      </c>
      <c r="B4" s="414">
        <f ca="1">ROUND(B2*10000/'数据-汇总表'!D3,0)</f>
        <v>0</v>
      </c>
      <c r="C4" s="2963"/>
      <c r="D4" s="3009"/>
      <c r="E4" s="3009"/>
      <c r="F4" s="3009"/>
      <c r="G4" s="3009"/>
    </row>
    <row r="5" spans="1:25" s="1782" customFormat="1" ht="18" customHeight="1" thickBot="1">
      <c r="A5" s="416"/>
      <c r="B5" s="417">
        <f ca="1">ROUND(B2/('数据-汇总表'!D3/666.67),0)</f>
        <v>0</v>
      </c>
      <c r="C5" s="418" t="s">
        <v>429</v>
      </c>
      <c r="D5" s="3009"/>
      <c r="E5" s="3009"/>
      <c r="F5" s="3009"/>
      <c r="G5" s="3009"/>
    </row>
    <row r="6" spans="1:25" s="1904" customFormat="1" ht="13.5" customHeight="1">
      <c r="A6" s="711"/>
      <c r="B6" s="712" t="s">
        <v>552</v>
      </c>
      <c r="C6" s="713" t="s">
        <v>553</v>
      </c>
      <c r="D6" s="713" t="s">
        <v>554</v>
      </c>
      <c r="E6" s="714" t="s">
        <v>555</v>
      </c>
      <c r="F6" s="714" t="s">
        <v>556</v>
      </c>
      <c r="G6" s="3008" t="s">
        <v>2276</v>
      </c>
    </row>
    <row r="7" spans="1:25" s="1904" customFormat="1" ht="13.5" customHeight="1">
      <c r="A7" s="2118">
        <v>1</v>
      </c>
      <c r="B7" s="715" t="s">
        <v>557</v>
      </c>
      <c r="C7" s="716">
        <f>C8+C9</f>
        <v>0</v>
      </c>
      <c r="D7" s="716"/>
      <c r="E7" s="717"/>
      <c r="F7" s="717"/>
      <c r="G7" s="2127"/>
    </row>
    <row r="8" spans="1:25" s="1904" customFormat="1" ht="13.5" customHeight="1">
      <c r="A8" s="2118" t="s">
        <v>1786</v>
      </c>
      <c r="B8" s="2121" t="s">
        <v>1788</v>
      </c>
      <c r="C8" s="3012">
        <f>ROUND(D8*E8/10000,0)</f>
        <v>0</v>
      </c>
      <c r="D8" s="3012">
        <v>0</v>
      </c>
      <c r="E8" s="3013">
        <v>0</v>
      </c>
      <c r="F8" s="717"/>
      <c r="G8" s="718"/>
    </row>
    <row r="9" spans="1:25" s="1904" customFormat="1" ht="13.5" customHeight="1">
      <c r="A9" s="2118" t="s">
        <v>1787</v>
      </c>
      <c r="B9" s="2121" t="s">
        <v>1789</v>
      </c>
      <c r="C9" s="3012">
        <f>ROUND(D9*E9/10000,0)</f>
        <v>0</v>
      </c>
      <c r="D9" s="3012">
        <v>0</v>
      </c>
      <c r="E9" s="3013">
        <v>0</v>
      </c>
      <c r="F9" s="717"/>
      <c r="G9" s="718"/>
    </row>
    <row r="10" spans="1:25" s="1904" customFormat="1" ht="36">
      <c r="A10" s="2118">
        <v>2</v>
      </c>
      <c r="B10" s="715" t="s">
        <v>561</v>
      </c>
      <c r="C10" s="716">
        <f>C11+C14+C15</f>
        <v>0</v>
      </c>
      <c r="D10" s="726"/>
      <c r="E10" s="716"/>
      <c r="F10" s="727"/>
      <c r="G10" s="725" t="s">
        <v>562</v>
      </c>
    </row>
    <row r="11" spans="1:25" s="1904" customFormat="1" ht="13.5" customHeight="1">
      <c r="A11" s="2118" t="s">
        <v>1786</v>
      </c>
      <c r="B11" s="719" t="s">
        <v>558</v>
      </c>
      <c r="C11" s="720">
        <f>'数据-取费表'!B29</f>
        <v>0</v>
      </c>
      <c r="D11" s="721"/>
      <c r="E11" s="720"/>
      <c r="F11" s="722"/>
      <c r="G11" s="2126" t="s">
        <v>1797</v>
      </c>
    </row>
    <row r="12" spans="1:25" s="1904" customFormat="1" ht="13.5" customHeight="1">
      <c r="A12" s="2124" t="s">
        <v>1794</v>
      </c>
      <c r="B12" s="723" t="s">
        <v>559</v>
      </c>
      <c r="C12" s="724">
        <f>ROUND(D12*E12/10000,0)</f>
        <v>0</v>
      </c>
      <c r="D12" s="3012">
        <f>'数据-汇总表'!E5</f>
        <v>0</v>
      </c>
      <c r="E12" s="3012">
        <f>'数据-取费表'!B27</f>
        <v>160</v>
      </c>
      <c r="F12" s="722"/>
      <c r="G12" s="725"/>
    </row>
    <row r="13" spans="1:25" s="1904" customFormat="1" ht="13.5" customHeight="1">
      <c r="A13" s="2124" t="s">
        <v>1793</v>
      </c>
      <c r="B13" s="723" t="s">
        <v>560</v>
      </c>
      <c r="C13" s="724">
        <f>ROUND(D13*E13/10000,0)</f>
        <v>1195</v>
      </c>
      <c r="D13" s="3012">
        <f>'数据-汇总表'!E6</f>
        <v>59771.28</v>
      </c>
      <c r="E13" s="3012">
        <f>'数据-取费表'!B28</f>
        <v>200</v>
      </c>
      <c r="F13" s="722"/>
      <c r="G13" s="725"/>
    </row>
    <row r="14" spans="1:25" s="1904" customFormat="1" ht="13.5" customHeight="1">
      <c r="A14" s="2118" t="s">
        <v>1787</v>
      </c>
      <c r="B14" s="2123" t="s">
        <v>1790</v>
      </c>
      <c r="C14" s="3014">
        <f>ROUND(D14*E14/10000,0)</f>
        <v>0</v>
      </c>
      <c r="D14" s="3012">
        <v>0</v>
      </c>
      <c r="E14" s="3013">
        <v>0</v>
      </c>
      <c r="F14" s="2122"/>
      <c r="G14" s="2125" t="s">
        <v>1795</v>
      </c>
    </row>
    <row r="15" spans="1:25" s="1904" customFormat="1" ht="13.5" customHeight="1">
      <c r="A15" s="2118" t="s">
        <v>1792</v>
      </c>
      <c r="B15" s="2123" t="s">
        <v>1791</v>
      </c>
      <c r="C15" s="3014">
        <f>ROUND(D15*E15/10000,0)</f>
        <v>0</v>
      </c>
      <c r="D15" s="3012">
        <v>0</v>
      </c>
      <c r="E15" s="3013">
        <v>0</v>
      </c>
      <c r="F15" s="2122"/>
      <c r="G15" s="2125" t="s">
        <v>1796</v>
      </c>
    </row>
    <row r="16" spans="1:25" s="1905" customFormat="1" ht="48">
      <c r="A16" s="2118">
        <v>3</v>
      </c>
      <c r="B16" s="715" t="s">
        <v>563</v>
      </c>
      <c r="C16" s="3014">
        <f>ROUND(D16*E16/10000,0)</f>
        <v>0</v>
      </c>
      <c r="D16" s="3012">
        <v>0</v>
      </c>
      <c r="E16" s="3013">
        <v>0</v>
      </c>
      <c r="F16" s="727"/>
      <c r="G16" s="725" t="s">
        <v>1798</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564</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ROUND((C7+C10+C16)*F18,0)</f>
        <v>0</v>
      </c>
      <c r="D18" s="728"/>
      <c r="E18" s="729"/>
      <c r="F18" s="1208"/>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 ca="1">C7+C10+C16+C17+C18</f>
        <v>0</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569</v>
      </c>
      <c r="C20" s="716">
        <f ca="1">ROUND(C19*F20,0)</f>
        <v>0</v>
      </c>
      <c r="D20" s="726"/>
      <c r="E20" s="716"/>
      <c r="F20" s="1208"/>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 ca="1">C19+C20</f>
        <v>0</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 ca="1">ROUND(C21*F22,0)</f>
        <v>0</v>
      </c>
      <c r="D22" s="726"/>
      <c r="E22" s="716"/>
      <c r="F22" s="732">
        <f>'数据-取费表'!AP16</f>
        <v>0.95199999999999996</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3" t="s">
        <v>575</v>
      </c>
      <c r="C23" s="734">
        <f ca="1">C22</f>
        <v>0</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11" customFormat="1">
      <c r="A24" s="3010"/>
      <c r="D24" s="1724"/>
      <c r="E24" s="1724"/>
    </row>
    <row r="25" spans="1:25" s="3011" customFormat="1">
      <c r="A25" s="3010"/>
      <c r="D25" s="1724"/>
      <c r="E25" s="1724"/>
    </row>
    <row r="26" spans="1:25" s="3011" customFormat="1">
      <c r="A26" s="3010"/>
      <c r="D26" s="1724"/>
      <c r="E26" s="1724"/>
    </row>
    <row r="27" spans="1:25" s="3011" customFormat="1">
      <c r="A27" s="3010"/>
      <c r="D27" s="1724"/>
      <c r="E27" s="1724"/>
    </row>
    <row r="28" spans="1:25" s="3011" customFormat="1">
      <c r="A28" s="3010"/>
      <c r="D28" s="1724"/>
      <c r="E28" s="1724"/>
    </row>
    <row r="29" spans="1:25" s="3011" customFormat="1">
      <c r="A29" s="3010"/>
      <c r="D29" s="1724"/>
      <c r="E29" s="1724"/>
    </row>
    <row r="30" spans="1:25" s="3011" customFormat="1">
      <c r="A30" s="3010"/>
      <c r="D30" s="1724"/>
      <c r="E30" s="1724"/>
    </row>
    <row r="31" spans="1:25" s="3011" customFormat="1">
      <c r="A31" s="3010"/>
      <c r="D31" s="1724"/>
      <c r="E31" s="1724"/>
    </row>
    <row r="32" spans="1:25" s="3011" customFormat="1">
      <c r="A32" s="3010"/>
      <c r="D32" s="1724"/>
      <c r="E32" s="1724"/>
    </row>
    <row r="33" spans="1:5" s="3011" customFormat="1">
      <c r="A33" s="3010"/>
      <c r="D33" s="1724"/>
      <c r="E33" s="1724"/>
    </row>
    <row r="34" spans="1:5" s="3011" customFormat="1">
      <c r="A34" s="3010"/>
      <c r="D34" s="1724"/>
      <c r="E34" s="1724"/>
    </row>
    <row r="35" spans="1:5" s="3011" customFormat="1">
      <c r="A35" s="3010"/>
      <c r="D35" s="1724"/>
      <c r="E35" s="1724"/>
    </row>
    <row r="36" spans="1:5" s="3011" customFormat="1">
      <c r="A36" s="3010"/>
      <c r="D36" s="1724"/>
      <c r="E36" s="1724"/>
    </row>
    <row r="37" spans="1:5" s="3011" customFormat="1">
      <c r="A37" s="3010"/>
      <c r="D37" s="1724"/>
      <c r="E37" s="1724"/>
    </row>
    <row r="38" spans="1:5" s="3011" customFormat="1">
      <c r="A38" s="3010"/>
      <c r="D38" s="1724"/>
      <c r="E38" s="1724"/>
    </row>
    <row r="39" spans="1:5" s="3011" customFormat="1">
      <c r="A39" s="3010"/>
      <c r="D39" s="1724"/>
      <c r="E39" s="1724"/>
    </row>
    <row r="40" spans="1:5" s="3011" customFormat="1">
      <c r="A40" s="3010"/>
      <c r="D40" s="1724"/>
      <c r="E40" s="1724"/>
    </row>
    <row r="41" spans="1:5" s="3011" customFormat="1">
      <c r="A41" s="3010"/>
      <c r="D41" s="1724"/>
      <c r="E41" s="1724"/>
    </row>
    <row r="42" spans="1:5" s="3011" customFormat="1">
      <c r="A42" s="3010"/>
      <c r="D42" s="1724"/>
      <c r="E42" s="1724"/>
    </row>
    <row r="43" spans="1:5" s="3011" customFormat="1">
      <c r="A43" s="3010"/>
      <c r="D43" s="1724"/>
      <c r="E43" s="1724"/>
    </row>
    <row r="44" spans="1:5" s="3011" customFormat="1">
      <c r="A44" s="3010"/>
      <c r="D44" s="1724"/>
      <c r="E44" s="1724"/>
    </row>
    <row r="45" spans="1:5" s="3011" customFormat="1">
      <c r="A45" s="3010"/>
      <c r="D45" s="1724"/>
      <c r="E45" s="1724"/>
    </row>
    <row r="46" spans="1:5" s="3011" customFormat="1">
      <c r="A46" s="3010"/>
      <c r="D46" s="1724"/>
      <c r="E46" s="1724"/>
    </row>
    <row r="47" spans="1:5" s="3011" customFormat="1">
      <c r="A47" s="3010"/>
      <c r="D47" s="1724"/>
      <c r="E47" s="1724"/>
    </row>
    <row r="48" spans="1:5" s="3011" customFormat="1">
      <c r="A48" s="3010"/>
      <c r="D48" s="1724"/>
      <c r="E48" s="1724"/>
    </row>
    <row r="49" spans="1:5" s="3011" customFormat="1">
      <c r="A49" s="3010"/>
      <c r="D49" s="1724"/>
      <c r="E49" s="1724"/>
    </row>
    <row r="50" spans="1:5" s="3011" customFormat="1">
      <c r="A50" s="3010"/>
      <c r="D50" s="1724"/>
      <c r="E50" s="1724"/>
    </row>
    <row r="51" spans="1:5" s="3011" customFormat="1">
      <c r="A51" s="3010"/>
      <c r="D51" s="1724"/>
      <c r="E51" s="1724"/>
    </row>
    <row r="52" spans="1:5" s="3011" customFormat="1">
      <c r="A52" s="3010"/>
      <c r="D52" s="1724"/>
      <c r="E52" s="1724"/>
    </row>
    <row r="53" spans="1:5" s="3011" customFormat="1">
      <c r="A53" s="3010"/>
      <c r="D53" s="1724"/>
      <c r="E53" s="1724"/>
    </row>
    <row r="54" spans="1:5" s="3011" customFormat="1">
      <c r="A54" s="3010"/>
      <c r="D54" s="1724"/>
      <c r="E54" s="1724"/>
    </row>
    <row r="55" spans="1:5" s="3011" customFormat="1">
      <c r="A55" s="3010"/>
      <c r="D55" s="1724"/>
      <c r="E55" s="1724"/>
    </row>
    <row r="56" spans="1:5" s="3011" customFormat="1">
      <c r="A56" s="3010"/>
      <c r="D56" s="1724"/>
      <c r="E56" s="1724"/>
    </row>
    <row r="57" spans="1:5" s="3011" customFormat="1">
      <c r="A57" s="3010"/>
      <c r="D57" s="1724"/>
      <c r="E57" s="1724"/>
    </row>
    <row r="58" spans="1:5" s="3011" customFormat="1">
      <c r="A58" s="3010"/>
      <c r="D58" s="1724"/>
      <c r="E58" s="1724"/>
    </row>
    <row r="59" spans="1:5" s="3011" customFormat="1">
      <c r="A59" s="3010"/>
      <c r="D59" s="1724"/>
      <c r="E59" s="1724"/>
    </row>
    <row r="60" spans="1:5" s="3011" customFormat="1">
      <c r="A60" s="3010"/>
      <c r="D60" s="1724"/>
      <c r="E60" s="1724"/>
    </row>
    <row r="61" spans="1:5" s="3011" customFormat="1">
      <c r="A61" s="3010"/>
      <c r="D61" s="1724"/>
      <c r="E61" s="1724"/>
    </row>
    <row r="62" spans="1:5" s="3011" customFormat="1">
      <c r="A62" s="3010"/>
      <c r="D62" s="1724"/>
      <c r="E62" s="1724"/>
    </row>
    <row r="63" spans="1:5" s="3011" customFormat="1">
      <c r="A63" s="3010"/>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697</v>
      </c>
      <c r="C1" s="474" t="s">
        <v>667</v>
      </c>
      <c r="D1" s="2063"/>
      <c r="E1" s="476"/>
      <c r="F1" s="2286"/>
      <c r="G1" s="1409" t="s">
        <v>668</v>
      </c>
      <c r="H1" s="476"/>
      <c r="I1" s="476"/>
      <c r="J1" s="476"/>
      <c r="K1" s="477"/>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thickBot="1">
      <c r="A3" s="479" t="s">
        <v>468</v>
      </c>
      <c r="B3" s="480" t="e">
        <f>C49</f>
        <v>#DIV/0!</v>
      </c>
      <c r="C3" s="817" t="s">
        <v>669</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2" t="s">
        <v>470</v>
      </c>
      <c r="B4" s="483"/>
      <c r="C4" s="3849" t="s">
        <v>471</v>
      </c>
      <c r="D4" s="3850"/>
      <c r="E4" s="3889" t="s">
        <v>472</v>
      </c>
      <c r="F4" s="3890"/>
      <c r="G4" s="3849" t="s">
        <v>473</v>
      </c>
      <c r="H4" s="3850"/>
      <c r="I4" s="3849" t="s">
        <v>474</v>
      </c>
      <c r="J4" s="3850"/>
      <c r="K4" s="484" t="s">
        <v>475</v>
      </c>
      <c r="L4" s="1855"/>
      <c r="M4" s="1856"/>
      <c r="N4" s="1856"/>
      <c r="O4" s="1856"/>
      <c r="P4" s="3851" t="s">
        <v>476</v>
      </c>
      <c r="Q4" s="3852"/>
      <c r="R4" s="3857" t="s">
        <v>472</v>
      </c>
      <c r="S4" s="3858"/>
      <c r="T4" s="3857" t="s">
        <v>473</v>
      </c>
      <c r="U4" s="3858"/>
      <c r="V4" s="3844" t="s">
        <v>474</v>
      </c>
      <c r="W4" s="3844"/>
      <c r="X4" s="1379"/>
      <c r="Y4" s="3857" t="s">
        <v>476</v>
      </c>
      <c r="Z4" s="3858"/>
      <c r="AA4" s="3846" t="s">
        <v>472</v>
      </c>
      <c r="AB4" s="3844" t="s">
        <v>473</v>
      </c>
      <c r="AC4" s="3846" t="s">
        <v>474</v>
      </c>
    </row>
    <row r="5" spans="1:29" ht="15">
      <c r="A5" s="485"/>
      <c r="B5" s="486"/>
      <c r="C5" s="3867" t="s">
        <v>2183</v>
      </c>
      <c r="D5" s="3866"/>
      <c r="E5" s="3891" t="s">
        <v>2184</v>
      </c>
      <c r="F5" s="3892"/>
      <c r="G5" s="3867" t="s">
        <v>2185</v>
      </c>
      <c r="H5" s="3866"/>
      <c r="I5" s="3867" t="s">
        <v>2186</v>
      </c>
      <c r="J5" s="3866"/>
      <c r="K5" s="484"/>
      <c r="L5" s="1855"/>
      <c r="M5" s="1856"/>
      <c r="N5" s="1856"/>
      <c r="O5" s="1856"/>
      <c r="P5" s="3853"/>
      <c r="Q5" s="3854"/>
      <c r="R5" s="3859"/>
      <c r="S5" s="3860"/>
      <c r="T5" s="3859"/>
      <c r="U5" s="3860"/>
      <c r="V5" s="3844"/>
      <c r="W5" s="3844"/>
      <c r="X5" s="1379"/>
      <c r="Y5" s="3859"/>
      <c r="Z5" s="3860"/>
      <c r="AA5" s="3847"/>
      <c r="AB5" s="3844"/>
      <c r="AC5" s="3847"/>
    </row>
    <row r="6" spans="1:29" ht="15.75" thickBot="1">
      <c r="A6" s="487"/>
      <c r="B6" s="488"/>
      <c r="C6" s="3863" t="s">
        <v>2187</v>
      </c>
      <c r="D6" s="3864"/>
      <c r="E6" s="3887" t="s">
        <v>2187</v>
      </c>
      <c r="F6" s="3888"/>
      <c r="G6" s="3863" t="s">
        <v>2187</v>
      </c>
      <c r="H6" s="3864"/>
      <c r="I6" s="3863" t="s">
        <v>2187</v>
      </c>
      <c r="J6" s="3864"/>
      <c r="K6" s="484" t="s">
        <v>477</v>
      </c>
      <c r="L6" s="1855"/>
      <c r="M6" s="1856"/>
      <c r="N6" s="1856"/>
      <c r="O6" s="1856"/>
      <c r="P6" s="3855"/>
      <c r="Q6" s="3856"/>
      <c r="R6" s="3859"/>
      <c r="S6" s="3860"/>
      <c r="T6" s="3861"/>
      <c r="U6" s="3862"/>
      <c r="V6" s="3844"/>
      <c r="W6" s="3844"/>
      <c r="X6" s="1379"/>
      <c r="Y6" s="3861"/>
      <c r="Z6" s="3862"/>
      <c r="AA6" s="3848"/>
      <c r="AB6" s="3844"/>
      <c r="AC6" s="3848"/>
    </row>
    <row r="7" spans="1:29" s="1117" customFormat="1" ht="15.75" thickBot="1">
      <c r="A7" s="2391"/>
      <c r="B7" s="2398" t="s">
        <v>478</v>
      </c>
      <c r="C7" s="489">
        <f>'数据-取费表'!B2</f>
        <v>45175</v>
      </c>
      <c r="D7" s="490">
        <v>100</v>
      </c>
      <c r="E7" s="491"/>
      <c r="F7" s="492">
        <f>SUMIF(58:58,YEAR(E7)&amp;"-"&amp;MONTH(E7),59:59)</f>
        <v>0</v>
      </c>
      <c r="G7" s="491"/>
      <c r="H7" s="490">
        <f>SUMIF(58:58,YEAR(G7)&amp;"-"&amp;MONTH(G7),59:59)</f>
        <v>0</v>
      </c>
      <c r="I7" s="491"/>
      <c r="J7" s="490">
        <f>SUMIF(58:58,YEAR(I7)&amp;"-"&amp;MONTH(I7),59:59)</f>
        <v>0</v>
      </c>
      <c r="K7" s="494"/>
      <c r="L7" s="1857"/>
      <c r="M7" s="1858"/>
      <c r="N7" s="1858"/>
      <c r="O7" s="1858"/>
      <c r="P7" s="3874" t="s">
        <v>479</v>
      </c>
      <c r="Q7" s="3876"/>
      <c r="R7" s="1380" t="s">
        <v>5</v>
      </c>
      <c r="S7" s="1381">
        <f t="shared" ref="S7:S15" si="0">F7</f>
        <v>0</v>
      </c>
      <c r="T7" s="1380" t="s">
        <v>5</v>
      </c>
      <c r="U7" s="1381">
        <f t="shared" ref="U7:U15" si="1">H7</f>
        <v>0</v>
      </c>
      <c r="V7" s="1380" t="s">
        <v>5</v>
      </c>
      <c r="W7" s="1381">
        <f t="shared" ref="W7:W15" si="2">J7</f>
        <v>0</v>
      </c>
      <c r="X7" s="1382"/>
      <c r="Y7" s="3874" t="s">
        <v>479</v>
      </c>
      <c r="Z7" s="3875"/>
      <c r="AA7" s="1383" t="e">
        <f>D7/F7</f>
        <v>#DIV/0!</v>
      </c>
      <c r="AB7" s="1383" t="e">
        <f>D7/H7</f>
        <v>#DIV/0!</v>
      </c>
      <c r="AC7" s="1383" t="e">
        <f>D7/J7</f>
        <v>#DIV/0!</v>
      </c>
    </row>
    <row r="8" spans="1:29" s="1117" customFormat="1" ht="15.7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874" t="s">
        <v>482</v>
      </c>
      <c r="Q8" s="3875"/>
      <c r="R8" s="1380" t="s">
        <v>5</v>
      </c>
      <c r="S8" s="1381">
        <f t="shared" si="0"/>
        <v>0</v>
      </c>
      <c r="T8" s="1380" t="s">
        <v>5</v>
      </c>
      <c r="U8" s="1381">
        <f t="shared" si="1"/>
        <v>0</v>
      </c>
      <c r="V8" s="1380" t="s">
        <v>5</v>
      </c>
      <c r="W8" s="1381">
        <f t="shared" si="2"/>
        <v>0</v>
      </c>
      <c r="X8" s="1382"/>
      <c r="Y8" s="3874" t="s">
        <v>482</v>
      </c>
      <c r="Z8" s="3875"/>
      <c r="AA8" s="1383" t="e">
        <f t="shared" ref="AA8:AA46" si="3">D8/F8</f>
        <v>#DIV/0!</v>
      </c>
      <c r="AB8" s="1383" t="e">
        <f t="shared" ref="AB8:AB46" si="4">D8/H8</f>
        <v>#DIV/0!</v>
      </c>
      <c r="AC8" s="1383" t="e">
        <f t="shared" ref="AC8:AC46" si="5">D8/J8</f>
        <v>#DIV/0!</v>
      </c>
    </row>
    <row r="9" spans="1:29" s="1117" customFormat="1" ht="15">
      <c r="A9" s="2393"/>
      <c r="B9" s="2400" t="s">
        <v>2038</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843" t="s">
        <v>484</v>
      </c>
      <c r="Q9" s="1049" t="str">
        <f t="shared" ref="Q9:Q15" si="6">B9</f>
        <v>用途</v>
      </c>
      <c r="R9" s="1380" t="s">
        <v>5</v>
      </c>
      <c r="S9" s="1381">
        <f t="shared" si="0"/>
        <v>100</v>
      </c>
      <c r="T9" s="1380" t="s">
        <v>5</v>
      </c>
      <c r="U9" s="1381">
        <f t="shared" si="1"/>
        <v>100</v>
      </c>
      <c r="V9" s="1380" t="s">
        <v>5</v>
      </c>
      <c r="W9" s="1381">
        <f t="shared" si="2"/>
        <v>100</v>
      </c>
      <c r="X9" s="1382"/>
      <c r="Y9" s="3791" t="s">
        <v>485</v>
      </c>
      <c r="Z9" s="1048" t="str">
        <f t="shared" ref="Z9:Z15" si="7">Q9</f>
        <v>用途</v>
      </c>
      <c r="AA9" s="1383">
        <f t="shared" si="3"/>
        <v>1</v>
      </c>
      <c r="AB9" s="1383">
        <f t="shared" si="4"/>
        <v>1</v>
      </c>
      <c r="AC9" s="1383">
        <f t="shared" si="5"/>
        <v>1</v>
      </c>
    </row>
    <row r="10" spans="1:29" s="1198" customFormat="1" ht="27">
      <c r="A10" s="2394"/>
      <c r="B10" s="2399" t="s">
        <v>2039</v>
      </c>
      <c r="C10" s="3659"/>
      <c r="D10" s="246">
        <v>100</v>
      </c>
      <c r="E10" s="3659"/>
      <c r="F10" s="246">
        <f>SUMIF(65:65,E10,66:66)-SUMIF(65:65,C10,66:66)+100</f>
        <v>100</v>
      </c>
      <c r="G10" s="3660"/>
      <c r="H10" s="246">
        <f>SUMIF(65:65,G10,66:66)-SUMIF(65:65,C10,66:66)+100</f>
        <v>100</v>
      </c>
      <c r="I10" s="3659"/>
      <c r="J10" s="246">
        <f>SUMIF(65:65,I10,66:66)-SUMIF(65:65,C10,66:66)+100</f>
        <v>100</v>
      </c>
      <c r="K10" s="494"/>
      <c r="L10" s="1860"/>
      <c r="M10" s="1899"/>
      <c r="N10" s="1899"/>
      <c r="O10" s="1861"/>
      <c r="P10" s="3843"/>
      <c r="Q10" s="1049" t="str">
        <f t="shared" si="6"/>
        <v>土地使用年限（年）</v>
      </c>
      <c r="R10" s="1380" t="s">
        <v>5</v>
      </c>
      <c r="S10" s="1381">
        <f t="shared" si="0"/>
        <v>100</v>
      </c>
      <c r="T10" s="1380" t="s">
        <v>5</v>
      </c>
      <c r="U10" s="1381">
        <f t="shared" si="1"/>
        <v>100</v>
      </c>
      <c r="V10" s="1380" t="s">
        <v>5</v>
      </c>
      <c r="W10" s="1381">
        <f t="shared" si="2"/>
        <v>100</v>
      </c>
      <c r="X10" s="1382"/>
      <c r="Y10" s="3791"/>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843"/>
      <c r="Q11" s="1049" t="str">
        <f t="shared" si="6"/>
        <v>容积率</v>
      </c>
      <c r="R11" s="1380" t="s">
        <v>5</v>
      </c>
      <c r="S11" s="1381" t="e">
        <f t="shared" si="0"/>
        <v>#N/A</v>
      </c>
      <c r="T11" s="1380" t="s">
        <v>5</v>
      </c>
      <c r="U11" s="1381" t="e">
        <f t="shared" si="1"/>
        <v>#N/A</v>
      </c>
      <c r="V11" s="1380" t="s">
        <v>5</v>
      </c>
      <c r="W11" s="1381" t="e">
        <f t="shared" si="2"/>
        <v>#N/A</v>
      </c>
      <c r="X11" s="1382"/>
      <c r="Y11" s="3791"/>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SUMIF(70:70,E12,71:71)-SUMIF(70:70,C12,71:71)+100</f>
        <v>100</v>
      </c>
      <c r="G12" s="874"/>
      <c r="H12" s="246">
        <f>SUMIF(70:70,G12,71:71)-SUMIF(70:70,C12,71:71)+100</f>
        <v>100</v>
      </c>
      <c r="I12" s="509"/>
      <c r="J12" s="246">
        <f>SUMIF(70:70,I12,71:71)-SUMIF(70:70,C12,71:71)+100</f>
        <v>100</v>
      </c>
      <c r="K12" s="551"/>
      <c r="L12" s="1857"/>
      <c r="M12" s="1858"/>
      <c r="N12" s="1858"/>
      <c r="O12" s="1859"/>
      <c r="P12" s="3843"/>
      <c r="Q12" s="1049">
        <f t="shared" si="6"/>
        <v>111</v>
      </c>
      <c r="R12" s="1380" t="s">
        <v>5</v>
      </c>
      <c r="S12" s="1381">
        <f t="shared" si="0"/>
        <v>100</v>
      </c>
      <c r="T12" s="1380" t="s">
        <v>5</v>
      </c>
      <c r="U12" s="1381">
        <f t="shared" si="1"/>
        <v>100</v>
      </c>
      <c r="V12" s="1380" t="s">
        <v>5</v>
      </c>
      <c r="W12" s="1381">
        <f t="shared" si="2"/>
        <v>100</v>
      </c>
      <c r="X12" s="1382"/>
      <c r="Y12" s="3791"/>
      <c r="Z12" s="1048">
        <f t="shared" si="7"/>
        <v>111</v>
      </c>
      <c r="AA12" s="1383">
        <f>D12/F12</f>
        <v>1</v>
      </c>
      <c r="AB12" s="1383">
        <f>D12/H12</f>
        <v>1</v>
      </c>
      <c r="AC12" s="1383">
        <f>D12/J12</f>
        <v>1</v>
      </c>
    </row>
    <row r="13" spans="1:29" ht="15">
      <c r="A13" s="2396"/>
      <c r="B13" s="2402">
        <v>111</v>
      </c>
      <c r="C13" s="509"/>
      <c r="D13" s="510">
        <v>100</v>
      </c>
      <c r="E13" s="509"/>
      <c r="F13" s="246">
        <f>SUMIF(72:72,E13,73:73)-SUMIF(72:72,C13,73:73)+100</f>
        <v>100</v>
      </c>
      <c r="G13" s="874"/>
      <c r="H13" s="510">
        <f>SUMIF(72:72,G13,73:73)-SUMIF(72:72,C13,73:73)+100</f>
        <v>100</v>
      </c>
      <c r="I13" s="509"/>
      <c r="J13" s="510">
        <f>SUMIF(72:72,I13,73:73)-SUMIF(72:72,C13,73:73)+100</f>
        <v>100</v>
      </c>
      <c r="K13" s="551"/>
      <c r="L13" s="1864"/>
      <c r="M13" s="1856"/>
      <c r="N13" s="1856"/>
      <c r="O13" s="1863"/>
      <c r="P13" s="3843"/>
      <c r="Q13" s="1049">
        <f t="shared" si="6"/>
        <v>111</v>
      </c>
      <c r="R13" s="1380" t="s">
        <v>5</v>
      </c>
      <c r="S13" s="1381">
        <f t="shared" si="0"/>
        <v>100</v>
      </c>
      <c r="T13" s="1380" t="s">
        <v>5</v>
      </c>
      <c r="U13" s="1381">
        <f t="shared" si="1"/>
        <v>100</v>
      </c>
      <c r="V13" s="1380" t="s">
        <v>5</v>
      </c>
      <c r="W13" s="1381">
        <f t="shared" si="2"/>
        <v>100</v>
      </c>
      <c r="X13" s="1382"/>
      <c r="Y13" s="3791"/>
      <c r="Z13" s="1048">
        <f t="shared" si="7"/>
        <v>111</v>
      </c>
      <c r="AA13" s="1383">
        <f t="shared" si="3"/>
        <v>1</v>
      </c>
      <c r="AB13" s="1383">
        <f t="shared" si="4"/>
        <v>1</v>
      </c>
      <c r="AC13" s="1383">
        <f t="shared" si="5"/>
        <v>1</v>
      </c>
    </row>
    <row r="14" spans="1:29" ht="15.75" thickBot="1">
      <c r="A14" s="2397"/>
      <c r="B14" s="2403">
        <v>111</v>
      </c>
      <c r="C14" s="515"/>
      <c r="D14" s="516">
        <v>100</v>
      </c>
      <c r="E14" s="515"/>
      <c r="F14" s="516">
        <f>SUMIF(74:74,E14,75:75)-SUMIF(74:74,C14,75:75)+100</f>
        <v>100</v>
      </c>
      <c r="G14" s="874"/>
      <c r="H14" s="516">
        <f>SUMIF(74:74,G14,75:75)-SUMIF(74:74,C14,75:75)+100</f>
        <v>100</v>
      </c>
      <c r="I14" s="509"/>
      <c r="J14" s="516">
        <f>SUMIF(74:74,I14,75:75)-SUMIF(74:74,C14,75:75)+100</f>
        <v>100</v>
      </c>
      <c r="K14" s="551"/>
      <c r="L14" s="1864"/>
      <c r="M14" s="1856"/>
      <c r="N14" s="1856"/>
      <c r="O14" s="1863"/>
      <c r="P14" s="3843"/>
      <c r="Q14" s="1049">
        <f t="shared" si="6"/>
        <v>111</v>
      </c>
      <c r="R14" s="1380" t="s">
        <v>5</v>
      </c>
      <c r="S14" s="1381">
        <f t="shared" si="0"/>
        <v>100</v>
      </c>
      <c r="T14" s="1380" t="s">
        <v>5</v>
      </c>
      <c r="U14" s="1381">
        <f t="shared" si="1"/>
        <v>100</v>
      </c>
      <c r="V14" s="1380" t="s">
        <v>5</v>
      </c>
      <c r="W14" s="1381">
        <f t="shared" si="2"/>
        <v>100</v>
      </c>
      <c r="X14" s="1382"/>
      <c r="Y14" s="3791"/>
      <c r="Z14" s="1048">
        <f t="shared" si="7"/>
        <v>111</v>
      </c>
      <c r="AA14" s="1383">
        <f t="shared" si="3"/>
        <v>1</v>
      </c>
      <c r="AB14" s="1383">
        <f t="shared" si="4"/>
        <v>1</v>
      </c>
      <c r="AC14" s="1383">
        <f t="shared" si="5"/>
        <v>1</v>
      </c>
    </row>
    <row r="15" spans="1:29" ht="15">
      <c r="A15" s="2389" t="s">
        <v>2036</v>
      </c>
      <c r="B15" s="159" t="s">
        <v>490</v>
      </c>
      <c r="C15" s="830">
        <f>估价对象房地状况!C4</f>
        <v>0</v>
      </c>
      <c r="D15" s="519">
        <v>100</v>
      </c>
      <c r="E15" s="520"/>
      <c r="F15" s="521">
        <f>SUMIF(76:76,E16,77:77)-SUMIF(76:76,C16,77:77)+100</f>
        <v>100</v>
      </c>
      <c r="G15" s="522"/>
      <c r="H15" s="519">
        <f>SUMIF(76:76,G16,77:77)-SUMIF(76:76,C16,77:77)+100</f>
        <v>100</v>
      </c>
      <c r="I15" s="520"/>
      <c r="J15" s="519">
        <f>SUMIF(76:76,I16,77:77)-SUMIF(76:76,C16,77:77)+100</f>
        <v>100</v>
      </c>
      <c r="K15" s="860"/>
      <c r="L15" s="1864"/>
      <c r="M15" s="1856"/>
      <c r="N15" s="1856"/>
      <c r="O15" s="1863"/>
      <c r="P15" s="3877" t="s">
        <v>489</v>
      </c>
      <c r="Q15" s="1384" t="str">
        <f t="shared" si="6"/>
        <v>商业繁华度</v>
      </c>
      <c r="R15" s="1385" t="s">
        <v>5</v>
      </c>
      <c r="S15" s="1386">
        <f t="shared" si="0"/>
        <v>100</v>
      </c>
      <c r="T15" s="1385" t="s">
        <v>5</v>
      </c>
      <c r="U15" s="1386">
        <f t="shared" si="1"/>
        <v>100</v>
      </c>
      <c r="V15" s="1385" t="s">
        <v>5</v>
      </c>
      <c r="W15" s="1386">
        <f t="shared" si="2"/>
        <v>100</v>
      </c>
      <c r="X15" s="1379"/>
      <c r="Y15" s="3877" t="s">
        <v>489</v>
      </c>
      <c r="Z15" s="1387" t="str">
        <f t="shared" si="7"/>
        <v>商业繁华度</v>
      </c>
      <c r="AA15" s="1388">
        <f t="shared" si="3"/>
        <v>1</v>
      </c>
      <c r="AB15" s="1388">
        <f t="shared" si="4"/>
        <v>1</v>
      </c>
      <c r="AC15" s="1388">
        <f t="shared" si="5"/>
        <v>1</v>
      </c>
    </row>
    <row r="16" spans="1:29" ht="15">
      <c r="A16" s="502"/>
      <c r="B16" s="832"/>
      <c r="C16" s="546"/>
      <c r="D16" s="525"/>
      <c r="E16" s="546"/>
      <c r="F16" s="527"/>
      <c r="G16" s="546"/>
      <c r="H16" s="529"/>
      <c r="I16" s="546"/>
      <c r="J16" s="525"/>
      <c r="K16" s="861"/>
      <c r="L16" s="1864"/>
      <c r="M16" s="1856"/>
      <c r="N16" s="1856"/>
      <c r="O16" s="1863"/>
      <c r="P16" s="3878"/>
      <c r="Q16" s="1384"/>
      <c r="R16" s="1385"/>
      <c r="S16" s="1386"/>
      <c r="T16" s="1385"/>
      <c r="U16" s="1386"/>
      <c r="V16" s="1385"/>
      <c r="W16" s="1386"/>
      <c r="X16" s="1379"/>
      <c r="Y16" s="3878"/>
      <c r="Z16" s="1387"/>
      <c r="AA16" s="1388">
        <v>1</v>
      </c>
      <c r="AB16" s="1388">
        <v>1</v>
      </c>
      <c r="AC16" s="1388">
        <v>1</v>
      </c>
    </row>
    <row r="17" spans="1:29" ht="15">
      <c r="A17" s="502"/>
      <c r="B17" s="834" t="s">
        <v>262</v>
      </c>
      <c r="C17" s="835">
        <f>估价对象房地状况!C6</f>
        <v>0</v>
      </c>
      <c r="D17" s="529">
        <v>100</v>
      </c>
      <c r="E17" s="532"/>
      <c r="F17" s="533">
        <f>SUMIF(78:78,E18,79:79)-SUMIF(78:78,C18,79:79)+100</f>
        <v>100</v>
      </c>
      <c r="G17" s="534"/>
      <c r="H17" s="535">
        <f>SUMIF(78:78,G18,79:79)-SUMIF(78:78,C18,79:79)+100</f>
        <v>100</v>
      </c>
      <c r="I17" s="532"/>
      <c r="J17" s="535">
        <f>SUMIF(78:78,I18,79:79)-SUMIF(78:78,C18,79:79)+100</f>
        <v>100</v>
      </c>
      <c r="K17" s="860"/>
      <c r="L17" s="1864"/>
      <c r="M17" s="1856"/>
      <c r="N17" s="1856"/>
      <c r="O17" s="1863"/>
      <c r="P17" s="3878"/>
      <c r="Q17" s="1384" t="str">
        <f>B17</f>
        <v>交通便捷度</v>
      </c>
      <c r="R17" s="1385" t="s">
        <v>5</v>
      </c>
      <c r="S17" s="1386">
        <f>F17</f>
        <v>100</v>
      </c>
      <c r="T17" s="1385" t="s">
        <v>5</v>
      </c>
      <c r="U17" s="1386">
        <f>H17</f>
        <v>100</v>
      </c>
      <c r="V17" s="1385" t="s">
        <v>5</v>
      </c>
      <c r="W17" s="1386">
        <f>J17</f>
        <v>100</v>
      </c>
      <c r="X17" s="1379"/>
      <c r="Y17" s="3878"/>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1"/>
      <c r="L18" s="1864"/>
      <c r="M18" s="1856"/>
      <c r="N18" s="1856"/>
      <c r="O18" s="1863"/>
      <c r="P18" s="3878"/>
      <c r="Q18" s="1384"/>
      <c r="R18" s="1385"/>
      <c r="S18" s="1386"/>
      <c r="T18" s="1385"/>
      <c r="U18" s="1386"/>
      <c r="V18" s="1385"/>
      <c r="W18" s="1386"/>
      <c r="X18" s="1379"/>
      <c r="Y18" s="3878"/>
      <c r="Z18" s="1387"/>
      <c r="AA18" s="1388">
        <v>1</v>
      </c>
      <c r="AB18" s="1388">
        <v>1</v>
      </c>
      <c r="AC18" s="1388">
        <v>1</v>
      </c>
    </row>
    <row r="19" spans="1:29" ht="15">
      <c r="A19" s="502"/>
      <c r="B19" s="2207" t="s">
        <v>1829</v>
      </c>
      <c r="C19" s="835">
        <f>估价对象房地状况!C7</f>
        <v>0</v>
      </c>
      <c r="D19" s="535">
        <v>100</v>
      </c>
      <c r="E19" s="540"/>
      <c r="F19" s="541">
        <f>SUMIF(80:80,E20,81:81)-SUMIF(80:80,C20,81:81)+100</f>
        <v>100</v>
      </c>
      <c r="G19" s="542"/>
      <c r="H19" s="529">
        <f>SUMIF(80:80,G20,81:81)-SUMIF(80:80,C20,81:81)+100</f>
        <v>100</v>
      </c>
      <c r="I19" s="540"/>
      <c r="J19" s="529">
        <f>SUMIF(80:80,I20,81:81)-SUMIF(80:80,C20,81:81)+100</f>
        <v>100</v>
      </c>
      <c r="K19" s="860"/>
      <c r="L19" s="1864"/>
      <c r="M19" s="1856"/>
      <c r="N19" s="1856"/>
      <c r="O19" s="1863"/>
      <c r="P19" s="3878"/>
      <c r="Q19" s="1384" t="str">
        <f>B19</f>
        <v>公共配套设施</v>
      </c>
      <c r="R19" s="1385" t="s">
        <v>5</v>
      </c>
      <c r="S19" s="1386">
        <f>F19</f>
        <v>100</v>
      </c>
      <c r="T19" s="1385" t="s">
        <v>5</v>
      </c>
      <c r="U19" s="1386">
        <f>H19</f>
        <v>100</v>
      </c>
      <c r="V19" s="1385" t="s">
        <v>5</v>
      </c>
      <c r="W19" s="1386">
        <f>J19</f>
        <v>100</v>
      </c>
      <c r="X19" s="1379"/>
      <c r="Y19" s="3878"/>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61"/>
      <c r="L20" s="1864"/>
      <c r="M20" s="1856"/>
      <c r="N20" s="1856"/>
      <c r="O20" s="1863"/>
      <c r="P20" s="3878"/>
      <c r="Q20" s="1384"/>
      <c r="R20" s="1385"/>
      <c r="S20" s="1386"/>
      <c r="T20" s="1385"/>
      <c r="U20" s="1386"/>
      <c r="V20" s="1385"/>
      <c r="W20" s="1386"/>
      <c r="X20" s="1379"/>
      <c r="Y20" s="3878"/>
      <c r="Z20" s="1387"/>
      <c r="AA20" s="1388">
        <v>1</v>
      </c>
      <c r="AB20" s="1388">
        <v>1</v>
      </c>
      <c r="AC20" s="1388">
        <v>1</v>
      </c>
    </row>
    <row r="21" spans="1:29" ht="15">
      <c r="A21" s="502"/>
      <c r="B21" s="2200" t="s">
        <v>1841</v>
      </c>
      <c r="C21" s="835">
        <f>估价对象房地状况!C8</f>
        <v>0</v>
      </c>
      <c r="D21" s="535">
        <v>100</v>
      </c>
      <c r="E21" s="542"/>
      <c r="F21" s="541">
        <f>SUMIF(82:82,E22,83:83)-SUMIF(82:82,C22,83:83)+100</f>
        <v>100</v>
      </c>
      <c r="G21" s="542"/>
      <c r="H21" s="535">
        <f>SUMIF(82:82,G22,83:83)-SUMIF(82:82,C22,83:83)+100</f>
        <v>100</v>
      </c>
      <c r="I21" s="540"/>
      <c r="J21" s="535">
        <f>SUMIF(82:82,I22,83:83)-SUMIF(82:82,C22,83:83)+100</f>
        <v>100</v>
      </c>
      <c r="K21" s="860"/>
      <c r="L21" s="1864"/>
      <c r="M21" s="1856"/>
      <c r="N21" s="1856"/>
      <c r="O21" s="1863"/>
      <c r="P21" s="3878"/>
      <c r="Q21" s="2192" t="str">
        <f>B21</f>
        <v>基础设施水平</v>
      </c>
      <c r="R21" s="1385" t="s">
        <v>5</v>
      </c>
      <c r="S21" s="1386">
        <f>F21</f>
        <v>100</v>
      </c>
      <c r="T21" s="1385" t="s">
        <v>5</v>
      </c>
      <c r="U21" s="1386">
        <f>H21</f>
        <v>100</v>
      </c>
      <c r="V21" s="1385" t="s">
        <v>5</v>
      </c>
      <c r="W21" s="1386">
        <f>J21</f>
        <v>100</v>
      </c>
      <c r="X21" s="2194"/>
      <c r="Y21" s="3878"/>
      <c r="Z21" s="2193" t="str">
        <f>Q21</f>
        <v>基础设施水平</v>
      </c>
      <c r="AA21" s="1388">
        <f>D21/F21</f>
        <v>1</v>
      </c>
      <c r="AB21" s="1388">
        <f>D21/H21</f>
        <v>1</v>
      </c>
      <c r="AC21" s="1388">
        <f>D21/J21</f>
        <v>1</v>
      </c>
    </row>
    <row r="22" spans="1:29" ht="15">
      <c r="A22" s="502"/>
      <c r="B22" s="884"/>
      <c r="C22" s="836"/>
      <c r="D22" s="525"/>
      <c r="E22" s="546"/>
      <c r="F22" s="527"/>
      <c r="G22" s="546"/>
      <c r="H22" s="525"/>
      <c r="I22" s="546"/>
      <c r="J22" s="525"/>
      <c r="K22" s="2209"/>
      <c r="L22" s="1864"/>
      <c r="M22" s="1856"/>
      <c r="N22" s="1856"/>
      <c r="O22" s="1863"/>
      <c r="P22" s="3878"/>
      <c r="Q22" s="2192"/>
      <c r="R22" s="1385"/>
      <c r="S22" s="1386"/>
      <c r="T22" s="1385"/>
      <c r="U22" s="1386"/>
      <c r="V22" s="1385"/>
      <c r="W22" s="1386"/>
      <c r="X22" s="2194"/>
      <c r="Y22" s="3878"/>
      <c r="Z22" s="2193"/>
      <c r="AA22" s="1388">
        <v>1</v>
      </c>
      <c r="AB22" s="1388">
        <v>1</v>
      </c>
      <c r="AC22" s="1388">
        <v>1</v>
      </c>
    </row>
    <row r="23" spans="1:29" ht="15">
      <c r="A23" s="502"/>
      <c r="B23" s="834" t="s">
        <v>263</v>
      </c>
      <c r="C23" s="862">
        <f>估价对象房地状况!C9</f>
        <v>0</v>
      </c>
      <c r="D23" s="529">
        <v>100</v>
      </c>
      <c r="E23" s="532"/>
      <c r="F23" s="533">
        <f>SUMIF(84:84,E24,85:85)-SUMIF(84:84,C24,85:85)+100</f>
        <v>100</v>
      </c>
      <c r="G23" s="534"/>
      <c r="H23" s="529">
        <f>SUMIF(84:84,G24,85:85)-SUMIF(84:84,C24,85:85)+100</f>
        <v>100</v>
      </c>
      <c r="I23" s="532"/>
      <c r="J23" s="529">
        <f>SUMIF(84:84,I24,85:85)-SUMIF(84:84,C24,85:85)+100</f>
        <v>100</v>
      </c>
      <c r="K23" s="860"/>
      <c r="L23" s="1864"/>
      <c r="M23" s="1856"/>
      <c r="N23" s="1856"/>
      <c r="O23" s="1863"/>
      <c r="P23" s="3878"/>
      <c r="Q23" s="1384" t="str">
        <f>B23</f>
        <v>自然及人文环境</v>
      </c>
      <c r="R23" s="1385" t="s">
        <v>5</v>
      </c>
      <c r="S23" s="1386">
        <f>F23</f>
        <v>100</v>
      </c>
      <c r="T23" s="1385" t="s">
        <v>5</v>
      </c>
      <c r="U23" s="1386">
        <f>H23</f>
        <v>100</v>
      </c>
      <c r="V23" s="1385" t="s">
        <v>5</v>
      </c>
      <c r="W23" s="1386">
        <f>J23</f>
        <v>100</v>
      </c>
      <c r="X23" s="1379"/>
      <c r="Y23" s="3878"/>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61"/>
      <c r="L24" s="1864"/>
      <c r="M24" s="1856"/>
      <c r="N24" s="1856"/>
      <c r="O24" s="1863"/>
      <c r="P24" s="3878"/>
      <c r="Q24" s="1384"/>
      <c r="R24" s="1385"/>
      <c r="S24" s="1386"/>
      <c r="T24" s="1385"/>
      <c r="U24" s="1386"/>
      <c r="V24" s="1385"/>
      <c r="W24" s="1386"/>
      <c r="X24" s="1379"/>
      <c r="Y24" s="3878"/>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878"/>
      <c r="Q25" s="1384" t="str">
        <f t="shared" ref="Q25:Q46" si="8">B25</f>
        <v>临街状况</v>
      </c>
      <c r="R25" s="1385" t="s">
        <v>5</v>
      </c>
      <c r="S25" s="1386">
        <f>F25</f>
        <v>100</v>
      </c>
      <c r="T25" s="1385" t="s">
        <v>5</v>
      </c>
      <c r="U25" s="1386">
        <f>H25</f>
        <v>100</v>
      </c>
      <c r="V25" s="1385" t="s">
        <v>5</v>
      </c>
      <c r="W25" s="1386">
        <f>J25</f>
        <v>100</v>
      </c>
      <c r="X25" s="1379"/>
      <c r="Y25" s="3878"/>
      <c r="Z25" s="1387" t="str">
        <f>Q25</f>
        <v>临街状况</v>
      </c>
      <c r="AA25" s="1388">
        <f t="shared" si="3"/>
        <v>1</v>
      </c>
      <c r="AB25" s="1388">
        <f t="shared" si="4"/>
        <v>1</v>
      </c>
      <c r="AC25" s="1388">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878"/>
      <c r="Q26" s="1384" t="str">
        <f t="shared" si="8"/>
        <v>平面位置/可视性</v>
      </c>
      <c r="R26" s="1385" t="s">
        <v>5</v>
      </c>
      <c r="S26" s="1386">
        <f>F26</f>
        <v>100</v>
      </c>
      <c r="T26" s="1385" t="s">
        <v>5</v>
      </c>
      <c r="U26" s="1386">
        <f>H26</f>
        <v>100</v>
      </c>
      <c r="V26" s="1385" t="s">
        <v>5</v>
      </c>
      <c r="W26" s="1386">
        <f>J26</f>
        <v>100</v>
      </c>
      <c r="X26" s="1379"/>
      <c r="Y26" s="3878"/>
      <c r="Z26" s="1387" t="str">
        <f>Q26</f>
        <v>平面位置/可视性</v>
      </c>
      <c r="AA26" s="1388">
        <f t="shared" si="3"/>
        <v>1</v>
      </c>
      <c r="AB26" s="1388">
        <f t="shared" si="4"/>
        <v>1</v>
      </c>
      <c r="AC26" s="1388">
        <f t="shared" si="5"/>
        <v>1</v>
      </c>
    </row>
    <row r="27" spans="1:29" s="1117" customFormat="1" ht="15">
      <c r="A27" s="506"/>
      <c r="B27" s="834" t="s">
        <v>699</v>
      </c>
      <c r="C27" s="863"/>
      <c r="D27" s="838">
        <v>100</v>
      </c>
      <c r="E27" s="863"/>
      <c r="F27" s="839">
        <f>SUMIF(90:90,E27,91:91)-SUMIF(90:90,C27,91:91)+100</f>
        <v>100</v>
      </c>
      <c r="G27" s="863"/>
      <c r="H27" s="838">
        <f>SUMIF(90:90,G27,91:91)-SUMIF(90:90,C27,91:91)+100</f>
        <v>100</v>
      </c>
      <c r="I27" s="863"/>
      <c r="J27" s="838">
        <f>SUMIF(90:90,I27,91:91)-SUMIF(90:90,C27,91:91)+100</f>
        <v>100</v>
      </c>
      <c r="K27" s="554"/>
      <c r="L27" s="1857"/>
      <c r="M27" s="1858"/>
      <c r="N27" s="1858"/>
      <c r="O27" s="1859"/>
      <c r="P27" s="3878"/>
      <c r="Q27" s="1049" t="str">
        <f t="shared" si="8"/>
        <v>人流量</v>
      </c>
      <c r="R27" s="1380" t="s">
        <v>5</v>
      </c>
      <c r="S27" s="1381">
        <f>F27</f>
        <v>100</v>
      </c>
      <c r="T27" s="1380" t="s">
        <v>5</v>
      </c>
      <c r="U27" s="1381">
        <f>H27</f>
        <v>100</v>
      </c>
      <c r="V27" s="1380" t="s">
        <v>5</v>
      </c>
      <c r="W27" s="1381">
        <f>J27</f>
        <v>100</v>
      </c>
      <c r="X27" s="1382"/>
      <c r="Y27" s="3878"/>
      <c r="Z27" s="1048"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878"/>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878"/>
      <c r="Z28" s="1387" t="str">
        <f t="shared" ref="Z28:Z46" si="12">Q28</f>
        <v>楼层</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878"/>
      <c r="Q29" s="1384">
        <f t="shared" si="8"/>
        <v>111</v>
      </c>
      <c r="R29" s="1385" t="s">
        <v>5</v>
      </c>
      <c r="S29" s="1386">
        <f t="shared" si="9"/>
        <v>100</v>
      </c>
      <c r="T29" s="1385" t="s">
        <v>5</v>
      </c>
      <c r="U29" s="1386">
        <f t="shared" si="10"/>
        <v>100</v>
      </c>
      <c r="V29" s="1385" t="s">
        <v>5</v>
      </c>
      <c r="W29" s="1386">
        <f t="shared" si="11"/>
        <v>100</v>
      </c>
      <c r="X29" s="1379"/>
      <c r="Y29" s="3878"/>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878"/>
      <c r="Q30" s="1384">
        <f t="shared" si="8"/>
        <v>111</v>
      </c>
      <c r="R30" s="1385" t="s">
        <v>5</v>
      </c>
      <c r="S30" s="1386">
        <f t="shared" si="9"/>
        <v>100</v>
      </c>
      <c r="T30" s="1385" t="s">
        <v>5</v>
      </c>
      <c r="U30" s="1386">
        <f t="shared" si="10"/>
        <v>100</v>
      </c>
      <c r="V30" s="1385" t="s">
        <v>5</v>
      </c>
      <c r="W30" s="1386">
        <f t="shared" si="11"/>
        <v>100</v>
      </c>
      <c r="X30" s="1379"/>
      <c r="Y30" s="3878"/>
      <c r="Z30" s="1387">
        <f t="shared" si="12"/>
        <v>111</v>
      </c>
      <c r="AA30" s="1388">
        <f t="shared" si="3"/>
        <v>1</v>
      </c>
      <c r="AB30" s="1388">
        <f t="shared" si="4"/>
        <v>1</v>
      </c>
      <c r="AC30" s="1388">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878"/>
      <c r="Q31" s="1384">
        <f t="shared" si="8"/>
        <v>111</v>
      </c>
      <c r="R31" s="1385" t="s">
        <v>5</v>
      </c>
      <c r="S31" s="1386">
        <f t="shared" si="9"/>
        <v>100</v>
      </c>
      <c r="T31" s="1385" t="s">
        <v>5</v>
      </c>
      <c r="U31" s="1386">
        <f t="shared" si="10"/>
        <v>100</v>
      </c>
      <c r="V31" s="1385" t="s">
        <v>5</v>
      </c>
      <c r="W31" s="1386">
        <f t="shared" si="11"/>
        <v>100</v>
      </c>
      <c r="X31" s="1379"/>
      <c r="Y31" s="3878"/>
      <c r="Z31" s="1387">
        <f t="shared" si="12"/>
        <v>111</v>
      </c>
      <c r="AA31" s="1388">
        <f t="shared" si="3"/>
        <v>1</v>
      </c>
      <c r="AB31" s="1388">
        <f t="shared" si="4"/>
        <v>1</v>
      </c>
      <c r="AC31" s="1388">
        <f t="shared" si="5"/>
        <v>1</v>
      </c>
    </row>
    <row r="32" spans="1:29" ht="15">
      <c r="A32" s="2386"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879" t="s">
        <v>499</v>
      </c>
      <c r="Q32" s="1384" t="str">
        <f t="shared" si="8"/>
        <v>商业类型</v>
      </c>
      <c r="R32" s="1385" t="s">
        <v>5</v>
      </c>
      <c r="S32" s="1386">
        <f t="shared" si="9"/>
        <v>100</v>
      </c>
      <c r="T32" s="1385" t="s">
        <v>5</v>
      </c>
      <c r="U32" s="1386">
        <f t="shared" si="10"/>
        <v>100</v>
      </c>
      <c r="V32" s="1385" t="s">
        <v>5</v>
      </c>
      <c r="W32" s="1386">
        <f t="shared" si="11"/>
        <v>100</v>
      </c>
      <c r="X32" s="1379"/>
      <c r="Y32" s="3880" t="s">
        <v>499</v>
      </c>
      <c r="Z32" s="1387" t="str">
        <f t="shared" si="12"/>
        <v>商业类型</v>
      </c>
      <c r="AA32" s="1388">
        <f t="shared" si="3"/>
        <v>1</v>
      </c>
      <c r="AB32" s="1388">
        <f t="shared" si="4"/>
        <v>1</v>
      </c>
      <c r="AC32" s="1388">
        <f t="shared" si="5"/>
        <v>1</v>
      </c>
    </row>
    <row r="33" spans="1:29" s="1199" customFormat="1" ht="15">
      <c r="A33" s="573"/>
      <c r="B33" s="497" t="s">
        <v>673</v>
      </c>
      <c r="C33" s="842"/>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880"/>
      <c r="Q33" s="1413" t="str">
        <f t="shared" si="8"/>
        <v>项目建筑规模</v>
      </c>
      <c r="R33" s="1389" t="s">
        <v>5</v>
      </c>
      <c r="S33" s="1390" t="e">
        <f t="shared" si="9"/>
        <v>#N/A</v>
      </c>
      <c r="T33" s="1389" t="s">
        <v>5</v>
      </c>
      <c r="U33" s="1390" t="e">
        <f t="shared" si="10"/>
        <v>#N/A</v>
      </c>
      <c r="V33" s="1389" t="s">
        <v>5</v>
      </c>
      <c r="W33" s="1390" t="e">
        <f t="shared" si="11"/>
        <v>#N/A</v>
      </c>
      <c r="X33" s="1391"/>
      <c r="Y33" s="3880"/>
      <c r="Z33" s="1392" t="str">
        <f t="shared" si="12"/>
        <v>项目建筑规模</v>
      </c>
      <c r="AA33" s="1388" t="e">
        <f t="shared" si="3"/>
        <v>#N/A</v>
      </c>
      <c r="AB33" s="1388" t="e">
        <f t="shared" si="4"/>
        <v>#N/A</v>
      </c>
      <c r="AC33" s="1388" t="e">
        <f t="shared" si="5"/>
        <v>#N/A</v>
      </c>
    </row>
    <row r="34" spans="1:29" ht="15">
      <c r="A34" s="564"/>
      <c r="B34" s="497" t="s">
        <v>674</v>
      </c>
      <c r="C34" s="843"/>
      <c r="D34" s="510">
        <v>100</v>
      </c>
      <c r="E34" s="844"/>
      <c r="F34" s="545">
        <f>SUMIF(105:105,E34,106:106)-SUMIF(105:105,C34,106:106)+100</f>
        <v>100</v>
      </c>
      <c r="G34" s="843"/>
      <c r="H34" s="510">
        <f>SUMIF(105:105,G34,106:106)-SUMIF(105:105,C34,106:106)+100</f>
        <v>100</v>
      </c>
      <c r="I34" s="843"/>
      <c r="J34" s="510">
        <f>SUMIF(105:105,I34,106:106)-SUMIF(105:105,C34,106:106)+100</f>
        <v>100</v>
      </c>
      <c r="K34" s="554"/>
      <c r="L34" s="1864"/>
      <c r="M34" s="1856"/>
      <c r="N34" s="1856"/>
      <c r="O34" s="1863"/>
      <c r="P34" s="3880"/>
      <c r="Q34" s="1384" t="str">
        <f t="shared" si="8"/>
        <v>建筑结构</v>
      </c>
      <c r="R34" s="1385" t="s">
        <v>5</v>
      </c>
      <c r="S34" s="1386">
        <f t="shared" si="9"/>
        <v>100</v>
      </c>
      <c r="T34" s="1385" t="s">
        <v>5</v>
      </c>
      <c r="U34" s="1386">
        <f t="shared" si="10"/>
        <v>100</v>
      </c>
      <c r="V34" s="1385" t="s">
        <v>5</v>
      </c>
      <c r="W34" s="1386">
        <f t="shared" si="11"/>
        <v>100</v>
      </c>
      <c r="X34" s="1379"/>
      <c r="Y34" s="3880"/>
      <c r="Z34" s="1387" t="str">
        <f t="shared" si="12"/>
        <v>建筑结构</v>
      </c>
      <c r="AA34" s="1388">
        <f t="shared" si="3"/>
        <v>1</v>
      </c>
      <c r="AB34" s="1388">
        <f t="shared" si="4"/>
        <v>1</v>
      </c>
      <c r="AC34" s="1388">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880"/>
      <c r="Q35" s="1384" t="str">
        <f t="shared" si="8"/>
        <v>公共部分装修</v>
      </c>
      <c r="R35" s="1385" t="s">
        <v>5</v>
      </c>
      <c r="S35" s="1386">
        <f t="shared" si="9"/>
        <v>100</v>
      </c>
      <c r="T35" s="1385" t="s">
        <v>5</v>
      </c>
      <c r="U35" s="1386">
        <f t="shared" si="10"/>
        <v>100</v>
      </c>
      <c r="V35" s="1385" t="s">
        <v>5</v>
      </c>
      <c r="W35" s="1386">
        <f t="shared" si="11"/>
        <v>100</v>
      </c>
      <c r="X35" s="1379"/>
      <c r="Y35" s="3880"/>
      <c r="Z35" s="1387" t="str">
        <f t="shared" si="12"/>
        <v>公共部分装修</v>
      </c>
      <c r="AA35" s="1388">
        <f t="shared" si="3"/>
        <v>1</v>
      </c>
      <c r="AB35" s="1388">
        <f t="shared" si="4"/>
        <v>1</v>
      </c>
      <c r="AC35" s="1388">
        <f t="shared" si="5"/>
        <v>1</v>
      </c>
    </row>
    <row r="36" spans="1:29" ht="15">
      <c r="A36" s="564"/>
      <c r="B36" s="497" t="s">
        <v>704</v>
      </c>
      <c r="C36" s="845"/>
      <c r="D36" s="510">
        <v>100</v>
      </c>
      <c r="E36" s="845"/>
      <c r="F36" s="545" t="e">
        <f>LOOKUP(E36,110:110,111:111)-LOOKUP(C36,110:110,111:111)+100</f>
        <v>#N/A</v>
      </c>
      <c r="G36" s="845"/>
      <c r="H36" s="545" t="e">
        <f>LOOKUP(G36,110:110,111:111)-LOOKUP(C36,110:110,111:111)+100</f>
        <v>#N/A</v>
      </c>
      <c r="I36" s="845"/>
      <c r="J36" s="510" t="e">
        <f>LOOKUP(I36,110:110,111:111)-LOOKUP(C36,110:110,111:111)+100</f>
        <v>#N/A</v>
      </c>
      <c r="K36" s="554"/>
      <c r="L36" s="1864"/>
      <c r="M36" s="1856"/>
      <c r="N36" s="1856"/>
      <c r="O36" s="1863"/>
      <c r="P36" s="3880"/>
      <c r="Q36" s="1384" t="str">
        <f t="shared" si="8"/>
        <v>成新度</v>
      </c>
      <c r="R36" s="1385" t="s">
        <v>5</v>
      </c>
      <c r="S36" s="1386" t="e">
        <f t="shared" si="9"/>
        <v>#N/A</v>
      </c>
      <c r="T36" s="1385" t="s">
        <v>5</v>
      </c>
      <c r="U36" s="1386" t="e">
        <f t="shared" si="10"/>
        <v>#N/A</v>
      </c>
      <c r="V36" s="1385" t="s">
        <v>5</v>
      </c>
      <c r="W36" s="1386" t="e">
        <f t="shared" si="11"/>
        <v>#N/A</v>
      </c>
      <c r="X36" s="1379"/>
      <c r="Y36" s="3880"/>
      <c r="Z36" s="1387" t="str">
        <f t="shared" si="12"/>
        <v>成新度</v>
      </c>
      <c r="AA36" s="1388" t="e">
        <f t="shared" si="3"/>
        <v>#N/A</v>
      </c>
      <c r="AB36" s="1388" t="e">
        <f t="shared" si="4"/>
        <v>#N/A</v>
      </c>
      <c r="AC36" s="1388" t="e">
        <f t="shared" si="5"/>
        <v>#N/A</v>
      </c>
    </row>
    <row r="37" spans="1:29" s="1117" customFormat="1" ht="15">
      <c r="A37" s="570"/>
      <c r="B37" s="1650"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880"/>
      <c r="Q37" s="1049" t="str">
        <f t="shared" si="8"/>
        <v>市政基础设施</v>
      </c>
      <c r="R37" s="1380" t="s">
        <v>5</v>
      </c>
      <c r="S37" s="1381">
        <f t="shared" si="9"/>
        <v>100</v>
      </c>
      <c r="T37" s="1380" t="s">
        <v>5</v>
      </c>
      <c r="U37" s="1381">
        <f t="shared" si="10"/>
        <v>100</v>
      </c>
      <c r="V37" s="1380" t="s">
        <v>5</v>
      </c>
      <c r="W37" s="1381">
        <f t="shared" si="11"/>
        <v>100</v>
      </c>
      <c r="X37" s="1382"/>
      <c r="Y37" s="3880"/>
      <c r="Z37" s="1048"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880" t="s">
        <v>706</v>
      </c>
      <c r="Q38" s="1384" t="str">
        <f t="shared" si="8"/>
        <v>业态</v>
      </c>
      <c r="R38" s="1385" t="s">
        <v>5</v>
      </c>
      <c r="S38" s="1386">
        <f t="shared" si="9"/>
        <v>100</v>
      </c>
      <c r="T38" s="1385" t="s">
        <v>5</v>
      </c>
      <c r="U38" s="1386">
        <f t="shared" si="10"/>
        <v>100</v>
      </c>
      <c r="V38" s="1385" t="s">
        <v>5</v>
      </c>
      <c r="W38" s="1386">
        <f t="shared" si="11"/>
        <v>100</v>
      </c>
      <c r="X38" s="1379"/>
      <c r="Y38" s="3880" t="s">
        <v>706</v>
      </c>
      <c r="Z38" s="1387" t="str">
        <f t="shared" si="12"/>
        <v>业态</v>
      </c>
      <c r="AA38" s="1388">
        <f t="shared" si="3"/>
        <v>1</v>
      </c>
      <c r="AB38" s="1388">
        <f t="shared" si="4"/>
        <v>1</v>
      </c>
      <c r="AC38" s="1388">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880"/>
      <c r="Q39" s="1384" t="str">
        <f t="shared" si="8"/>
        <v>层高</v>
      </c>
      <c r="R39" s="1385" t="s">
        <v>5</v>
      </c>
      <c r="S39" s="1386">
        <f t="shared" si="9"/>
        <v>100</v>
      </c>
      <c r="T39" s="1385" t="s">
        <v>5</v>
      </c>
      <c r="U39" s="1386">
        <f t="shared" si="10"/>
        <v>100</v>
      </c>
      <c r="V39" s="1385" t="s">
        <v>5</v>
      </c>
      <c r="W39" s="1386">
        <f t="shared" si="11"/>
        <v>100</v>
      </c>
      <c r="X39" s="1379"/>
      <c r="Y39" s="3880"/>
      <c r="Z39" s="1387" t="str">
        <f t="shared" si="12"/>
        <v>层高</v>
      </c>
      <c r="AA39" s="1388">
        <f t="shared" si="3"/>
        <v>1</v>
      </c>
      <c r="AB39" s="1388">
        <f t="shared" si="4"/>
        <v>1</v>
      </c>
      <c r="AC39" s="1388">
        <f t="shared" si="5"/>
        <v>1</v>
      </c>
    </row>
    <row r="40" spans="1:29" ht="15">
      <c r="A40" s="564"/>
      <c r="B40" s="497" t="s">
        <v>708</v>
      </c>
      <c r="C40" s="864"/>
      <c r="D40" s="510">
        <v>100</v>
      </c>
      <c r="E40" s="865"/>
      <c r="F40" s="545">
        <f>SUMIF(118:118,E40,119:119)-SUMIF(118:118,C40,119:119)+100</f>
        <v>100</v>
      </c>
      <c r="G40" s="865"/>
      <c r="H40" s="510">
        <f>SUMIF(118:118,G40,119:119)-SUMIF(118:118,C40,119:119)+100</f>
        <v>100</v>
      </c>
      <c r="I40" s="865"/>
      <c r="J40" s="510">
        <f>SUMIF(118:118,I40,119:119)-SUMIF(118:118,C40,119:119)+100</f>
        <v>100</v>
      </c>
      <c r="K40" s="551"/>
      <c r="L40" s="1864"/>
      <c r="M40" s="1856"/>
      <c r="N40" s="1856"/>
      <c r="O40" s="1863"/>
      <c r="P40" s="3880"/>
      <c r="Q40" s="1384" t="str">
        <f t="shared" si="8"/>
        <v>单套建筑面积</v>
      </c>
      <c r="R40" s="1385" t="s">
        <v>5</v>
      </c>
      <c r="S40" s="1386">
        <f t="shared" si="9"/>
        <v>100</v>
      </c>
      <c r="T40" s="1385" t="s">
        <v>5</v>
      </c>
      <c r="U40" s="1386">
        <f t="shared" si="10"/>
        <v>100</v>
      </c>
      <c r="V40" s="1385" t="s">
        <v>5</v>
      </c>
      <c r="W40" s="1386">
        <f t="shared" si="11"/>
        <v>100</v>
      </c>
      <c r="X40" s="1379"/>
      <c r="Y40" s="3880"/>
      <c r="Z40" s="1387" t="str">
        <f t="shared" si="12"/>
        <v>单套建筑面积</v>
      </c>
      <c r="AA40" s="1388">
        <f t="shared" si="3"/>
        <v>1</v>
      </c>
      <c r="AB40" s="1388">
        <f t="shared" si="4"/>
        <v>1</v>
      </c>
      <c r="AC40" s="1388">
        <f t="shared" si="5"/>
        <v>1</v>
      </c>
    </row>
    <row r="41" spans="1:29" s="1199" customFormat="1" ht="15">
      <c r="A41" s="573"/>
      <c r="B41" s="866"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880"/>
      <c r="Q41" s="1413" t="str">
        <f t="shared" si="8"/>
        <v>进深比</v>
      </c>
      <c r="R41" s="1389" t="s">
        <v>5</v>
      </c>
      <c r="S41" s="1390">
        <f t="shared" si="9"/>
        <v>100</v>
      </c>
      <c r="T41" s="1389" t="s">
        <v>5</v>
      </c>
      <c r="U41" s="1390">
        <f t="shared" si="10"/>
        <v>100</v>
      </c>
      <c r="V41" s="1389" t="s">
        <v>5</v>
      </c>
      <c r="W41" s="1390">
        <f t="shared" si="11"/>
        <v>100</v>
      </c>
      <c r="X41" s="1391"/>
      <c r="Y41" s="3880"/>
      <c r="Z41" s="1392" t="str">
        <f t="shared" si="12"/>
        <v>进深比</v>
      </c>
      <c r="AA41" s="1388">
        <f t="shared" si="3"/>
        <v>1</v>
      </c>
      <c r="AB41" s="1388">
        <f t="shared" si="4"/>
        <v>1</v>
      </c>
      <c r="AC41" s="1388">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880"/>
      <c r="Q42" s="1384" t="str">
        <f t="shared" si="8"/>
        <v>内部装修</v>
      </c>
      <c r="R42" s="1385" t="s">
        <v>5</v>
      </c>
      <c r="S42" s="1386">
        <f t="shared" si="9"/>
        <v>100</v>
      </c>
      <c r="T42" s="1385" t="s">
        <v>5</v>
      </c>
      <c r="U42" s="1386">
        <f t="shared" si="10"/>
        <v>100</v>
      </c>
      <c r="V42" s="1385" t="s">
        <v>5</v>
      </c>
      <c r="W42" s="1386">
        <f t="shared" si="11"/>
        <v>100</v>
      </c>
      <c r="X42" s="1379"/>
      <c r="Y42" s="3880"/>
      <c r="Z42" s="1387" t="str">
        <f t="shared" si="12"/>
        <v>内部装修</v>
      </c>
      <c r="AA42" s="1388">
        <f t="shared" si="3"/>
        <v>1</v>
      </c>
      <c r="AB42" s="1388">
        <f t="shared" si="4"/>
        <v>1</v>
      </c>
      <c r="AC42" s="1388">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880"/>
      <c r="Q43" s="1384" t="str">
        <f t="shared" si="8"/>
        <v>内部装修维护情况</v>
      </c>
      <c r="R43" s="1385" t="s">
        <v>5</v>
      </c>
      <c r="S43" s="1386">
        <f t="shared" si="9"/>
        <v>100</v>
      </c>
      <c r="T43" s="1385" t="s">
        <v>5</v>
      </c>
      <c r="U43" s="1386">
        <f t="shared" si="10"/>
        <v>100</v>
      </c>
      <c r="V43" s="1385" t="s">
        <v>5</v>
      </c>
      <c r="W43" s="1386">
        <f t="shared" si="11"/>
        <v>100</v>
      </c>
      <c r="X43" s="1379"/>
      <c r="Y43" s="3880"/>
      <c r="Z43" s="1387" t="str">
        <f t="shared" si="12"/>
        <v>内部装修维护情况</v>
      </c>
      <c r="AA43" s="1388">
        <f t="shared" si="3"/>
        <v>1</v>
      </c>
      <c r="AB43" s="1388">
        <f t="shared" si="4"/>
        <v>1</v>
      </c>
      <c r="AC43" s="1388">
        <f t="shared" si="5"/>
        <v>1</v>
      </c>
    </row>
    <row r="44" spans="1:29" s="1117" customFormat="1" ht="15">
      <c r="A44" s="570"/>
      <c r="B44" s="840">
        <v>111</v>
      </c>
      <c r="C44" s="842"/>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880"/>
      <c r="Q44" s="1049">
        <f t="shared" si="8"/>
        <v>111</v>
      </c>
      <c r="R44" s="1380" t="s">
        <v>5</v>
      </c>
      <c r="S44" s="1381">
        <f t="shared" si="9"/>
        <v>100</v>
      </c>
      <c r="T44" s="1380" t="s">
        <v>5</v>
      </c>
      <c r="U44" s="1381">
        <f t="shared" si="10"/>
        <v>100</v>
      </c>
      <c r="V44" s="1380" t="s">
        <v>5</v>
      </c>
      <c r="W44" s="1381">
        <f t="shared" si="11"/>
        <v>100</v>
      </c>
      <c r="X44" s="1382"/>
      <c r="Y44" s="3880"/>
      <c r="Z44" s="1048">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880"/>
      <c r="Q45" s="1384">
        <f t="shared" si="8"/>
        <v>111</v>
      </c>
      <c r="R45" s="1385" t="s">
        <v>5</v>
      </c>
      <c r="S45" s="1386">
        <f t="shared" si="9"/>
        <v>100</v>
      </c>
      <c r="T45" s="1385" t="s">
        <v>5</v>
      </c>
      <c r="U45" s="1386">
        <f t="shared" si="10"/>
        <v>100</v>
      </c>
      <c r="V45" s="1385" t="s">
        <v>5</v>
      </c>
      <c r="W45" s="1386">
        <f t="shared" si="11"/>
        <v>100</v>
      </c>
      <c r="X45" s="1379"/>
      <c r="Y45" s="3880"/>
      <c r="Z45" s="1387">
        <f t="shared" si="12"/>
        <v>111</v>
      </c>
      <c r="AA45" s="1388">
        <f t="shared" si="3"/>
        <v>1</v>
      </c>
      <c r="AB45" s="1388">
        <f t="shared" si="4"/>
        <v>1</v>
      </c>
      <c r="AC45" s="1388">
        <f t="shared" si="5"/>
        <v>1</v>
      </c>
    </row>
    <row r="46" spans="1:29" ht="15.75" thickBot="1">
      <c r="A46" s="848"/>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3954"/>
      <c r="Q46" s="1384">
        <f t="shared" si="8"/>
        <v>111</v>
      </c>
      <c r="R46" s="1385" t="s">
        <v>5</v>
      </c>
      <c r="S46" s="1386">
        <f t="shared" si="9"/>
        <v>100</v>
      </c>
      <c r="T46" s="1385" t="s">
        <v>5</v>
      </c>
      <c r="U46" s="1386">
        <f t="shared" si="10"/>
        <v>100</v>
      </c>
      <c r="V46" s="1385" t="s">
        <v>5</v>
      </c>
      <c r="W46" s="1386">
        <f t="shared" si="11"/>
        <v>100</v>
      </c>
      <c r="X46" s="1379"/>
      <c r="Y46" s="3954"/>
      <c r="Z46" s="1387">
        <f t="shared" si="12"/>
        <v>111</v>
      </c>
      <c r="AA46" s="1388">
        <f t="shared" si="3"/>
        <v>1</v>
      </c>
      <c r="AB46" s="1388">
        <f t="shared" si="4"/>
        <v>1</v>
      </c>
      <c r="AC46" s="1388">
        <f t="shared" si="5"/>
        <v>1</v>
      </c>
    </row>
    <row r="47" spans="1:29" ht="15">
      <c r="A47" s="577" t="s">
        <v>683</v>
      </c>
      <c r="B47" s="849"/>
      <c r="C47" s="2233" t="s">
        <v>0</v>
      </c>
      <c r="D47" s="2234"/>
      <c r="E47" s="2235"/>
      <c r="F47" s="2236"/>
      <c r="G47" s="2237"/>
      <c r="H47" s="2238"/>
      <c r="I47" s="2235"/>
      <c r="J47" s="2238"/>
      <c r="K47" s="1418"/>
      <c r="L47" s="1866"/>
      <c r="M47" s="1867"/>
      <c r="N47" s="1856"/>
      <c r="O47" s="1867"/>
      <c r="P47" s="3843" t="str">
        <f>A47</f>
        <v>成交单价（元/平方米）</v>
      </c>
      <c r="Q47" s="3843"/>
      <c r="R47" s="3953">
        <f>E47</f>
        <v>0</v>
      </c>
      <c r="S47" s="3953"/>
      <c r="T47" s="3953">
        <f>G47</f>
        <v>0</v>
      </c>
      <c r="U47" s="3953"/>
      <c r="V47" s="3953">
        <f>I47</f>
        <v>0</v>
      </c>
      <c r="W47" s="3953"/>
      <c r="X47" s="1374"/>
      <c r="Y47" s="1393"/>
      <c r="Z47" s="1374"/>
      <c r="AA47" s="1374"/>
      <c r="AB47" s="1374"/>
      <c r="AC47" s="1374"/>
    </row>
    <row r="48" spans="1:29" ht="15.75" thickBot="1">
      <c r="A48" s="585" t="s">
        <v>2042</v>
      </c>
      <c r="B48" s="850"/>
      <c r="C48" s="2239" t="e">
        <f>R49</f>
        <v>#DIV/0!</v>
      </c>
      <c r="D48" s="2756" t="s">
        <v>2252</v>
      </c>
      <c r="E48" s="2240" t="e">
        <f>R48</f>
        <v>#DIV/0!</v>
      </c>
      <c r="F48" s="2757"/>
      <c r="G48" s="2239" t="e">
        <f>T48</f>
        <v>#DIV/0!</v>
      </c>
      <c r="H48" s="2757"/>
      <c r="I48" s="2240" t="e">
        <f>V48</f>
        <v>#DIV/0!</v>
      </c>
      <c r="J48" s="2757"/>
      <c r="K48" s="2765">
        <f>F48+H48+J48</f>
        <v>0</v>
      </c>
      <c r="L48" s="1866"/>
      <c r="M48" s="1867"/>
      <c r="N48" s="1856"/>
      <c r="O48" s="1867"/>
      <c r="P48" s="3843" t="str">
        <f>A48</f>
        <v>比较价格（元/平方米）</v>
      </c>
      <c r="Q48" s="3843"/>
      <c r="R48" s="3953" t="e">
        <f>IF(F1="售价",ROUND(PRODUCT(R47,AA7:AA46),0),ROUND(PRODUCT(R47,AA7:AA46),1))</f>
        <v>#DIV/0!</v>
      </c>
      <c r="S48" s="3953"/>
      <c r="T48" s="3953" t="e">
        <f>IF(F1="售价",ROUND(PRODUCT(T47,AB7:AB46),0),ROUND(PRODUCT(T47,AB7:AB46),1))</f>
        <v>#DIV/0!</v>
      </c>
      <c r="U48" s="3953"/>
      <c r="V48" s="3953" t="e">
        <f>IF(F1="售价",ROUND(PRODUCT(V47,AC7:AC46),0),ROUND(PRODUCT(V47,AC7:AC46),1))</f>
        <v>#DIV/0!</v>
      </c>
      <c r="W48" s="3953"/>
      <c r="X48" s="1374"/>
      <c r="Y48" s="1374"/>
      <c r="Z48" s="1374"/>
      <c r="AA48" s="1374"/>
      <c r="AB48" s="1374"/>
      <c r="AC48" s="1374"/>
    </row>
    <row r="49" spans="1:29" ht="15.75" thickBot="1">
      <c r="A49" s="589" t="s">
        <v>2189</v>
      </c>
      <c r="B49" s="590"/>
      <c r="C49" s="2241" t="e">
        <f>R49</f>
        <v>#DIV/0!</v>
      </c>
      <c r="D49" s="2241"/>
      <c r="E49" s="2241"/>
      <c r="F49" s="2241"/>
      <c r="G49" s="2241"/>
      <c r="H49" s="2241"/>
      <c r="I49" s="2241"/>
      <c r="J49" s="2241"/>
      <c r="K49" s="1419"/>
      <c r="L49" s="1866"/>
      <c r="M49" s="1867"/>
      <c r="N49" s="1856"/>
      <c r="O49" s="1867"/>
      <c r="P49" s="3881" t="str">
        <f>A49</f>
        <v>估价对象XX用房的比较价格（楼面单价，元/平方米）</v>
      </c>
      <c r="Q49" s="3882"/>
      <c r="R49" s="3952" t="e">
        <f>IF(F1="售价",ROUND(IF(D48="简单平均",AVERAGE(R48:V48),R48*F48+T48*H48+V48*J48),0),ROUND(IF(D48="简单平均",AVERAGE(R48:V48),R48*F48+T48*H48+V48*J48),1))</f>
        <v>#DIV/0!</v>
      </c>
      <c r="S49" s="3952"/>
      <c r="T49" s="3952"/>
      <c r="U49" s="3952"/>
      <c r="V49" s="3952"/>
      <c r="W49" s="3952"/>
      <c r="X49" s="1374"/>
      <c r="Y49" s="1374"/>
      <c r="Z49" s="1374"/>
      <c r="AA49" s="1374"/>
      <c r="AB49" s="1374"/>
      <c r="AC49" s="1374"/>
    </row>
    <row r="50" spans="1:29">
      <c r="A50" s="2956"/>
      <c r="B50" s="2956"/>
      <c r="C50" s="2956"/>
      <c r="D50" s="2956"/>
      <c r="E50" s="2956"/>
      <c r="F50" s="2956"/>
      <c r="G50" s="2958"/>
      <c r="H50" s="2956"/>
      <c r="I50" s="2956"/>
      <c r="J50" s="2956"/>
      <c r="K50" s="2959"/>
      <c r="L50" s="1871"/>
      <c r="M50" s="1867"/>
      <c r="N50" s="1867"/>
      <c r="O50" s="1867"/>
      <c r="P50" s="1867"/>
      <c r="Q50" s="1867"/>
      <c r="R50" s="1867"/>
      <c r="S50" s="1867"/>
      <c r="T50" s="1867"/>
      <c r="U50" s="1867"/>
      <c r="V50" s="1867"/>
      <c r="W50" s="1867"/>
      <c r="X50" s="1867"/>
      <c r="Y50" s="1867"/>
      <c r="Z50" s="1867"/>
      <c r="AA50" s="1867"/>
      <c r="AB50" s="1867"/>
      <c r="AC50" s="1867"/>
    </row>
    <row r="51" spans="1:29">
      <c r="A51" s="2956"/>
      <c r="B51" s="2956"/>
      <c r="C51" s="2956"/>
      <c r="D51" s="2956"/>
      <c r="E51" s="2956"/>
      <c r="F51" s="2956"/>
      <c r="G51" s="2956"/>
      <c r="H51" s="2956"/>
      <c r="I51" s="2956"/>
      <c r="J51" s="2956"/>
      <c r="K51" s="2959"/>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3" t="s">
        <v>478</v>
      </c>
      <c r="B58" s="614"/>
      <c r="C58" s="2281" t="str">
        <f>YEAR(C7)&amp;"-"&amp;MONTH(C7)</f>
        <v>2023-9</v>
      </c>
      <c r="D58" s="2283">
        <f>EDATE(C58,-1)</f>
        <v>45139</v>
      </c>
      <c r="E58" s="2283">
        <f t="shared" ref="E58:O58" si="13">EDATE(D58,-1)</f>
        <v>45108</v>
      </c>
      <c r="F58" s="2283">
        <f t="shared" si="13"/>
        <v>45078</v>
      </c>
      <c r="G58" s="2283">
        <f t="shared" si="13"/>
        <v>45047</v>
      </c>
      <c r="H58" s="2283">
        <f t="shared" si="13"/>
        <v>45017</v>
      </c>
      <c r="I58" s="2283">
        <f t="shared" si="13"/>
        <v>44986</v>
      </c>
      <c r="J58" s="2283">
        <f t="shared" si="13"/>
        <v>44958</v>
      </c>
      <c r="K58" s="2283">
        <f t="shared" si="13"/>
        <v>44927</v>
      </c>
      <c r="L58" s="2283">
        <f t="shared" si="13"/>
        <v>44896</v>
      </c>
      <c r="M58" s="2283">
        <f t="shared" si="13"/>
        <v>44866</v>
      </c>
      <c r="N58" s="2283">
        <f t="shared" si="13"/>
        <v>44835</v>
      </c>
      <c r="O58" s="2283">
        <f t="shared" si="13"/>
        <v>44805</v>
      </c>
      <c r="P58" s="1881"/>
      <c r="Q58" s="1882"/>
      <c r="R58" s="1882"/>
      <c r="S58" s="1882"/>
      <c r="T58" s="1882"/>
      <c r="U58" s="1882"/>
      <c r="V58" s="1882"/>
      <c r="W58" s="1882"/>
      <c r="X58" s="1882"/>
      <c r="Y58" s="1882"/>
      <c r="Z58" s="1882"/>
      <c r="AA58" s="1882"/>
      <c r="AB58" s="1882"/>
      <c r="AC58" s="1882"/>
    </row>
    <row r="59" spans="1:29" s="1117" customFormat="1" ht="15">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7"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7"/>
      <c r="B62" s="616"/>
      <c r="C62" s="851">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2"/>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7"/>
      <c r="B86" s="641" t="s">
        <v>711</v>
      </c>
      <c r="C86" s="656"/>
      <c r="D86" s="656"/>
      <c r="E86" s="656"/>
      <c r="F86" s="656"/>
      <c r="G86" s="656"/>
      <c r="H86" s="656"/>
      <c r="I86" s="656"/>
      <c r="J86" s="656"/>
      <c r="K86" s="656"/>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7"/>
      <c r="B88" s="641" t="str">
        <f>B26</f>
        <v>平面位置/可视性</v>
      </c>
      <c r="C88" s="656"/>
      <c r="D88" s="656"/>
      <c r="E88" s="656"/>
      <c r="F88" s="854"/>
      <c r="G88" s="656"/>
      <c r="H88" s="656"/>
      <c r="I88" s="656"/>
      <c r="J88" s="656"/>
      <c r="K88" s="656"/>
      <c r="L88" s="656"/>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7"/>
      <c r="B92" s="641" t="str">
        <f>B28</f>
        <v>楼层</v>
      </c>
      <c r="C92" s="656"/>
      <c r="D92" s="656"/>
      <c r="E92" s="656"/>
      <c r="F92" s="656"/>
      <c r="G92" s="656"/>
      <c r="H92" s="656"/>
      <c r="I92" s="656"/>
      <c r="J92" s="656"/>
      <c r="K92" s="656"/>
      <c r="L92" s="852"/>
      <c r="M92" s="853"/>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5"/>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6">
        <v>0.5</v>
      </c>
      <c r="D110" s="856">
        <v>0.6</v>
      </c>
      <c r="E110" s="856">
        <v>0.7</v>
      </c>
      <c r="F110" s="856">
        <v>0.8</v>
      </c>
      <c r="G110" s="856">
        <v>0.9</v>
      </c>
      <c r="H110" s="856">
        <v>1.0001</v>
      </c>
      <c r="I110" s="867"/>
      <c r="J110" s="867"/>
      <c r="K110" s="868"/>
      <c r="L110" s="869"/>
      <c r="M110" s="870"/>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199" customFormat="1" ht="15" thickTop="1">
      <c r="A112" s="696"/>
      <c r="B112" s="1651" t="s">
        <v>1839</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1"/>
      <c r="D118" s="871"/>
      <c r="E118" s="871"/>
      <c r="F118" s="871"/>
      <c r="G118" s="871"/>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199"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9" priority="21" stopIfTrue="1" operator="containsText" text="超过">
      <formula>NOT(ISERROR(SEARCH("超过",F52)))</formula>
    </cfRule>
  </conditionalFormatting>
  <conditionalFormatting sqref="H54">
    <cfRule type="containsText" dxfId="98" priority="19" stopIfTrue="1" operator="containsText" text="超过">
      <formula>NOT(ISERROR(SEARCH("超过",H54)))</formula>
    </cfRule>
  </conditionalFormatting>
  <conditionalFormatting sqref="F54">
    <cfRule type="containsText" dxfId="97" priority="18" stopIfTrue="1" operator="containsText" text="超过">
      <formula>NOT(ISERROR(SEARCH("超过",F54)))</formula>
    </cfRule>
  </conditionalFormatting>
  <conditionalFormatting sqref="F53 H53">
    <cfRule type="containsText" dxfId="96" priority="17" stopIfTrue="1" operator="containsText" text="超过">
      <formula>NOT(ISERROR(SEARCH("超过",F53)))</formula>
    </cfRule>
  </conditionalFormatting>
  <conditionalFormatting sqref="E52">
    <cfRule type="expression" dxfId="95" priority="16" stopIfTrue="1">
      <formula>$F$52="超过30%"</formula>
    </cfRule>
  </conditionalFormatting>
  <conditionalFormatting sqref="E53">
    <cfRule type="expression" dxfId="94" priority="15" stopIfTrue="1">
      <formula>$F$53="超过20%"</formula>
    </cfRule>
  </conditionalFormatting>
  <conditionalFormatting sqref="E54">
    <cfRule type="expression" dxfId="93" priority="14" stopIfTrue="1">
      <formula>$F$54="超过30%"</formula>
    </cfRule>
  </conditionalFormatting>
  <conditionalFormatting sqref="G54">
    <cfRule type="expression" dxfId="92" priority="13" stopIfTrue="1">
      <formula>$H$54="超过30%"</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J52">
    <cfRule type="containsText" dxfId="89" priority="10" stopIfTrue="1" operator="containsText" text="超过">
      <formula>NOT(ISERROR(SEARCH("超过",J52)))</formula>
    </cfRule>
  </conditionalFormatting>
  <conditionalFormatting sqref="J54">
    <cfRule type="containsText" dxfId="88" priority="9" stopIfTrue="1" operator="containsText" text="超过">
      <formula>NOT(ISERROR(SEARCH("超过",J54)))</formula>
    </cfRule>
  </conditionalFormatting>
  <conditionalFormatting sqref="J53">
    <cfRule type="containsText" dxfId="87" priority="8" stopIfTrue="1" operator="containsText" text="超过">
      <formula>NOT(ISERROR(SEARCH("超过",J53)))</formula>
    </cfRule>
  </conditionalFormatting>
  <conditionalFormatting sqref="I52">
    <cfRule type="expression" dxfId="86" priority="7" stopIfTrue="1">
      <formula>$J$52="超过30%"</formula>
    </cfRule>
  </conditionalFormatting>
  <conditionalFormatting sqref="I53">
    <cfRule type="expression" dxfId="85" priority="6" stopIfTrue="1">
      <formula>$J$53="超过20%"</formula>
    </cfRule>
  </conditionalFormatting>
  <conditionalFormatting sqref="I54">
    <cfRule type="expression" dxfId="84" priority="5" stopIfTrue="1">
      <formula>$J$54="超过30%"</formula>
    </cfRule>
  </conditionalFormatting>
  <conditionalFormatting sqref="F48">
    <cfRule type="expression" dxfId="83" priority="4">
      <formula>$D$48="简单平均"</formula>
    </cfRule>
  </conditionalFormatting>
  <conditionalFormatting sqref="H48">
    <cfRule type="expression" dxfId="82" priority="3">
      <formula>$D$48="简单平均"</formula>
    </cfRule>
  </conditionalFormatting>
  <conditionalFormatting sqref="J48">
    <cfRule type="expression" dxfId="81" priority="2">
      <formula>$D$48="简单平均"</formula>
    </cfRule>
  </conditionalFormatting>
  <conditionalFormatting sqref="F7:F46 H7:H46 J7:J46">
    <cfRule type="cellIs" dxfId="80"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939"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717</v>
      </c>
      <c r="C1" s="474" t="s">
        <v>667</v>
      </c>
      <c r="D1" s="814"/>
      <c r="E1" s="476"/>
      <c r="F1" s="2286"/>
      <c r="G1" s="1409" t="s">
        <v>668</v>
      </c>
      <c r="H1" s="476"/>
      <c r="I1" s="476"/>
      <c r="J1" s="476"/>
      <c r="K1" s="477"/>
      <c r="L1" s="2952"/>
      <c r="M1" s="2953"/>
      <c r="N1" s="2953"/>
      <c r="O1" s="2953"/>
      <c r="P1" s="3015"/>
      <c r="Q1" s="1854"/>
      <c r="R1" s="1854"/>
      <c r="S1" s="1854"/>
      <c r="T1" s="1854"/>
      <c r="U1" s="1854"/>
      <c r="V1" s="1854"/>
      <c r="W1" s="1854"/>
      <c r="X1" s="1854"/>
      <c r="Y1" s="1854"/>
      <c r="Z1" s="1854"/>
      <c r="AA1" s="1854"/>
      <c r="AB1" s="1854"/>
      <c r="AC1" s="2954"/>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3015"/>
      <c r="Q2" s="1854"/>
      <c r="R2" s="1854"/>
      <c r="S2" s="1854"/>
      <c r="T2" s="1854"/>
      <c r="U2" s="1854"/>
      <c r="V2" s="1854"/>
      <c r="W2" s="1854"/>
      <c r="X2" s="1854"/>
      <c r="Y2" s="1854"/>
      <c r="Z2" s="1854"/>
      <c r="AA2" s="1854"/>
      <c r="AB2" s="1854"/>
      <c r="AC2" s="2954"/>
    </row>
    <row r="3" spans="1:29" s="1196"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5"/>
      <c r="Q3" s="1854"/>
      <c r="R3" s="1854"/>
      <c r="S3" s="1854"/>
      <c r="T3" s="1854"/>
      <c r="U3" s="1854"/>
      <c r="V3" s="1854"/>
      <c r="W3" s="1854"/>
      <c r="X3" s="1854"/>
      <c r="Y3" s="1854"/>
      <c r="Z3" s="1854"/>
      <c r="AA3" s="1854"/>
      <c r="AB3" s="1854"/>
      <c r="AC3" s="2954"/>
    </row>
    <row r="4" spans="1:29" ht="15">
      <c r="A4" s="482" t="s">
        <v>470</v>
      </c>
      <c r="B4" s="483"/>
      <c r="C4" s="3849" t="s">
        <v>471</v>
      </c>
      <c r="D4" s="3850"/>
      <c r="E4" s="3889" t="s">
        <v>472</v>
      </c>
      <c r="F4" s="3890"/>
      <c r="G4" s="3849" t="s">
        <v>473</v>
      </c>
      <c r="H4" s="3850"/>
      <c r="I4" s="3849" t="s">
        <v>474</v>
      </c>
      <c r="J4" s="3850"/>
      <c r="K4" s="484" t="s">
        <v>475</v>
      </c>
      <c r="L4" s="1855"/>
      <c r="M4" s="1856"/>
      <c r="N4" s="1856"/>
      <c r="O4" s="1856"/>
      <c r="P4" s="3978" t="s">
        <v>476</v>
      </c>
      <c r="Q4" s="3852"/>
      <c r="R4" s="3857" t="s">
        <v>472</v>
      </c>
      <c r="S4" s="3858"/>
      <c r="T4" s="3857" t="s">
        <v>473</v>
      </c>
      <c r="U4" s="3858"/>
      <c r="V4" s="3844" t="s">
        <v>474</v>
      </c>
      <c r="W4" s="3844"/>
      <c r="X4" s="1379"/>
      <c r="Y4" s="3857" t="s">
        <v>476</v>
      </c>
      <c r="Z4" s="3858"/>
      <c r="AA4" s="3846" t="s">
        <v>472</v>
      </c>
      <c r="AB4" s="3846" t="s">
        <v>473</v>
      </c>
      <c r="AC4" s="3846" t="s">
        <v>474</v>
      </c>
    </row>
    <row r="5" spans="1:29" ht="15">
      <c r="A5" s="485"/>
      <c r="B5" s="486"/>
      <c r="C5" s="3867" t="s">
        <v>2183</v>
      </c>
      <c r="D5" s="3866"/>
      <c r="E5" s="3891" t="s">
        <v>2184</v>
      </c>
      <c r="F5" s="3892"/>
      <c r="G5" s="3867" t="s">
        <v>2185</v>
      </c>
      <c r="H5" s="3866"/>
      <c r="I5" s="3867" t="s">
        <v>2186</v>
      </c>
      <c r="J5" s="3866"/>
      <c r="K5" s="484"/>
      <c r="L5" s="1855"/>
      <c r="M5" s="1856"/>
      <c r="N5" s="1856"/>
      <c r="O5" s="1856"/>
      <c r="P5" s="3979"/>
      <c r="Q5" s="3854"/>
      <c r="R5" s="3859"/>
      <c r="S5" s="3860"/>
      <c r="T5" s="3859"/>
      <c r="U5" s="3860"/>
      <c r="V5" s="3844"/>
      <c r="W5" s="3844"/>
      <c r="X5" s="1379"/>
      <c r="Y5" s="3859"/>
      <c r="Z5" s="3860"/>
      <c r="AA5" s="3847"/>
      <c r="AB5" s="3847"/>
      <c r="AC5" s="3847"/>
    </row>
    <row r="6" spans="1:29" ht="15.75" thickBot="1">
      <c r="A6" s="487"/>
      <c r="B6" s="488"/>
      <c r="C6" s="3863" t="s">
        <v>2187</v>
      </c>
      <c r="D6" s="3864"/>
      <c r="E6" s="3887" t="s">
        <v>2187</v>
      </c>
      <c r="F6" s="3888"/>
      <c r="G6" s="3863" t="s">
        <v>2187</v>
      </c>
      <c r="H6" s="3864"/>
      <c r="I6" s="3863" t="s">
        <v>2187</v>
      </c>
      <c r="J6" s="3864"/>
      <c r="K6" s="484" t="s">
        <v>477</v>
      </c>
      <c r="L6" s="1855"/>
      <c r="M6" s="1856"/>
      <c r="N6" s="1856"/>
      <c r="O6" s="1856"/>
      <c r="P6" s="3980"/>
      <c r="Q6" s="3856"/>
      <c r="R6" s="3859"/>
      <c r="S6" s="3860"/>
      <c r="T6" s="3861"/>
      <c r="U6" s="3862"/>
      <c r="V6" s="3844"/>
      <c r="W6" s="3844"/>
      <c r="X6" s="1379"/>
      <c r="Y6" s="3861"/>
      <c r="Z6" s="3862"/>
      <c r="AA6" s="3848"/>
      <c r="AB6" s="3848"/>
      <c r="AC6" s="3848"/>
    </row>
    <row r="7" spans="1:29" s="1117" customFormat="1" ht="15.75" thickBot="1">
      <c r="A7" s="2391"/>
      <c r="B7" s="2398" t="s">
        <v>478</v>
      </c>
      <c r="C7" s="489">
        <f>'数据-取费表'!B2</f>
        <v>45175</v>
      </c>
      <c r="D7" s="490">
        <v>100</v>
      </c>
      <c r="E7" s="491"/>
      <c r="F7" s="492">
        <f>SUMIF(59:59,YEAR(E7)&amp;"-"&amp;MONTH(E7),60:60)</f>
        <v>0</v>
      </c>
      <c r="G7" s="491"/>
      <c r="H7" s="490">
        <f>SUMIF(59:59,YEAR(G7)&amp;"-"&amp;MONTH(G7),60:60)</f>
        <v>0</v>
      </c>
      <c r="I7" s="491"/>
      <c r="J7" s="490">
        <f>SUMIF(59:59,YEAR(I7)&amp;"-"&amp;MONTH(I7),60:60)</f>
        <v>0</v>
      </c>
      <c r="K7" s="494"/>
      <c r="L7" s="1857"/>
      <c r="M7" s="1858"/>
      <c r="N7" s="1858"/>
      <c r="O7" s="1858"/>
      <c r="P7" s="3876" t="s">
        <v>479</v>
      </c>
      <c r="Q7" s="3876"/>
      <c r="R7" s="1380" t="s">
        <v>5</v>
      </c>
      <c r="S7" s="1381">
        <f t="shared" ref="S7:S15" si="0">F7</f>
        <v>0</v>
      </c>
      <c r="T7" s="1380" t="s">
        <v>5</v>
      </c>
      <c r="U7" s="1381">
        <f t="shared" ref="U7:U15" si="1">H7</f>
        <v>0</v>
      </c>
      <c r="V7" s="1380" t="s">
        <v>5</v>
      </c>
      <c r="W7" s="1381">
        <f t="shared" ref="W7:W15" si="2">J7</f>
        <v>0</v>
      </c>
      <c r="X7" s="1382"/>
      <c r="Y7" s="3874" t="s">
        <v>479</v>
      </c>
      <c r="Z7" s="3875"/>
      <c r="AA7" s="1383" t="e">
        <f>D7/F7</f>
        <v>#DIV/0!</v>
      </c>
      <c r="AB7" s="1383" t="e">
        <f>D7/H7</f>
        <v>#DIV/0!</v>
      </c>
      <c r="AC7" s="1383" t="e">
        <f>D7/J7</f>
        <v>#DIV/0!</v>
      </c>
    </row>
    <row r="8" spans="1:29" s="1117"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876" t="s">
        <v>482</v>
      </c>
      <c r="Q8" s="3875"/>
      <c r="R8" s="1380" t="s">
        <v>5</v>
      </c>
      <c r="S8" s="1381">
        <f t="shared" si="0"/>
        <v>0</v>
      </c>
      <c r="T8" s="1380" t="s">
        <v>5</v>
      </c>
      <c r="U8" s="1381">
        <f t="shared" si="1"/>
        <v>0</v>
      </c>
      <c r="V8" s="1380" t="s">
        <v>5</v>
      </c>
      <c r="W8" s="1381">
        <f t="shared" si="2"/>
        <v>0</v>
      </c>
      <c r="X8" s="1382"/>
      <c r="Y8" s="3874" t="s">
        <v>482</v>
      </c>
      <c r="Z8" s="3875"/>
      <c r="AA8" s="1383" t="e">
        <f t="shared" ref="AA8:AA47" si="3">D8/F8</f>
        <v>#DIV/0!</v>
      </c>
      <c r="AB8" s="1383" t="e">
        <f t="shared" ref="AB8:AB47" si="4">D8/H8</f>
        <v>#DIV/0!</v>
      </c>
      <c r="AC8" s="1383" t="e">
        <f t="shared" ref="AC8:AC47" si="5">D8/J8</f>
        <v>#DIV/0!</v>
      </c>
    </row>
    <row r="9" spans="1:29" s="1117" customFormat="1" ht="15">
      <c r="A9" s="2393"/>
      <c r="B9" s="2400" t="s">
        <v>2038</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843" t="s">
        <v>484</v>
      </c>
      <c r="Q9" s="1049" t="str">
        <f t="shared" ref="Q9:Q15" si="6">B9</f>
        <v>用途</v>
      </c>
      <c r="R9" s="1380" t="s">
        <v>5</v>
      </c>
      <c r="S9" s="1381">
        <f t="shared" si="0"/>
        <v>100</v>
      </c>
      <c r="T9" s="1380" t="s">
        <v>5</v>
      </c>
      <c r="U9" s="1381">
        <f t="shared" si="1"/>
        <v>100</v>
      </c>
      <c r="V9" s="1380" t="s">
        <v>5</v>
      </c>
      <c r="W9" s="1381">
        <f t="shared" si="2"/>
        <v>100</v>
      </c>
      <c r="X9" s="1382"/>
      <c r="Y9" s="3791" t="s">
        <v>485</v>
      </c>
      <c r="Z9" s="1048" t="str">
        <f t="shared" ref="Z9:Z15" si="7">Q9</f>
        <v>用途</v>
      </c>
      <c r="AA9" s="1383">
        <f t="shared" si="3"/>
        <v>1</v>
      </c>
      <c r="AB9" s="1383">
        <f t="shared" si="4"/>
        <v>1</v>
      </c>
      <c r="AC9" s="1383">
        <f t="shared" si="5"/>
        <v>1</v>
      </c>
    </row>
    <row r="10" spans="1:29" s="1198" customFormat="1" ht="27">
      <c r="A10" s="2394"/>
      <c r="B10" s="2399" t="s">
        <v>2039</v>
      </c>
      <c r="C10" s="3659"/>
      <c r="D10" s="246">
        <v>100</v>
      </c>
      <c r="E10" s="3659"/>
      <c r="F10" s="246">
        <f>SUMIF(66:66,E10,67:67)-SUMIF(66:66,C10,67:67)+100</f>
        <v>100</v>
      </c>
      <c r="G10" s="3660"/>
      <c r="H10" s="246">
        <f>SUMIF(66:66,G10,67:67)-SUMIF(66:66,C10,67:67)+100</f>
        <v>100</v>
      </c>
      <c r="I10" s="3659"/>
      <c r="J10" s="246">
        <f>SUMIF(66:66,I10,67:67)-SUMIF(66:66,C10,67:67)+100</f>
        <v>100</v>
      </c>
      <c r="K10" s="494"/>
      <c r="L10" s="1860"/>
      <c r="M10" s="1899"/>
      <c r="N10" s="1899"/>
      <c r="O10" s="1899"/>
      <c r="P10" s="3843"/>
      <c r="Q10" s="1049" t="str">
        <f t="shared" si="6"/>
        <v>土地使用年限（年）</v>
      </c>
      <c r="R10" s="1380" t="s">
        <v>5</v>
      </c>
      <c r="S10" s="1381">
        <f t="shared" si="0"/>
        <v>100</v>
      </c>
      <c r="T10" s="1380" t="s">
        <v>5</v>
      </c>
      <c r="U10" s="1381">
        <f t="shared" si="1"/>
        <v>100</v>
      </c>
      <c r="V10" s="1380" t="s">
        <v>5</v>
      </c>
      <c r="W10" s="1381">
        <f t="shared" si="2"/>
        <v>100</v>
      </c>
      <c r="X10" s="1382"/>
      <c r="Y10" s="3791"/>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843"/>
      <c r="Q11" s="1049" t="str">
        <f t="shared" si="6"/>
        <v>容积率</v>
      </c>
      <c r="R11" s="1380" t="s">
        <v>5</v>
      </c>
      <c r="S11" s="1381" t="e">
        <f t="shared" si="0"/>
        <v>#N/A</v>
      </c>
      <c r="T11" s="1380" t="s">
        <v>5</v>
      </c>
      <c r="U11" s="1381" t="e">
        <f t="shared" si="1"/>
        <v>#N/A</v>
      </c>
      <c r="V11" s="1380" t="s">
        <v>5</v>
      </c>
      <c r="W11" s="1381" t="e">
        <f t="shared" si="2"/>
        <v>#N/A</v>
      </c>
      <c r="X11" s="1382"/>
      <c r="Y11" s="3791"/>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498"/>
      <c r="F12" s="246">
        <f>SUMIF(71:71,E12,72:72)-SUMIF(71:71,C12,72:72)+100</f>
        <v>100</v>
      </c>
      <c r="G12" s="872"/>
      <c r="H12" s="246">
        <f>SUMIF(71:71,G12,72:72)-SUMIF(71:71,C12,72:72)+100</f>
        <v>100</v>
      </c>
      <c r="I12" s="498"/>
      <c r="J12" s="246">
        <f>SUMIF(71:71,I12,72:72)-SUMIF(71:71,C12,72:72)+100</f>
        <v>100</v>
      </c>
      <c r="K12" s="551"/>
      <c r="L12" s="1857"/>
      <c r="M12" s="1858"/>
      <c r="N12" s="1858"/>
      <c r="O12" s="1858"/>
      <c r="P12" s="3843"/>
      <c r="Q12" s="1049">
        <f t="shared" si="6"/>
        <v>111</v>
      </c>
      <c r="R12" s="1380" t="s">
        <v>5</v>
      </c>
      <c r="S12" s="1381">
        <f t="shared" si="0"/>
        <v>100</v>
      </c>
      <c r="T12" s="1380" t="s">
        <v>5</v>
      </c>
      <c r="U12" s="1381">
        <f t="shared" si="1"/>
        <v>100</v>
      </c>
      <c r="V12" s="1380" t="s">
        <v>5</v>
      </c>
      <c r="W12" s="1381">
        <f t="shared" si="2"/>
        <v>100</v>
      </c>
      <c r="X12" s="1382"/>
      <c r="Y12" s="3791"/>
      <c r="Z12" s="1048">
        <f t="shared" si="7"/>
        <v>111</v>
      </c>
      <c r="AA12" s="1383">
        <f>D12/F12</f>
        <v>1</v>
      </c>
      <c r="AB12" s="1383">
        <f>D12/H12</f>
        <v>1</v>
      </c>
      <c r="AC12" s="1383">
        <f>D12/J12</f>
        <v>1</v>
      </c>
    </row>
    <row r="13" spans="1:29" ht="15">
      <c r="A13" s="2396"/>
      <c r="B13" s="2402">
        <v>111</v>
      </c>
      <c r="C13" s="509"/>
      <c r="D13" s="510">
        <v>100</v>
      </c>
      <c r="E13" s="498"/>
      <c r="F13" s="246">
        <f>SUMIF(73:73,E13,74:74)-SUMIF(73:73,C13,74:74)+100</f>
        <v>100</v>
      </c>
      <c r="G13" s="872"/>
      <c r="H13" s="510">
        <f>SUMIF(73:73,G13,74:74)-SUMIF(73:73,C13,74:74)+100</f>
        <v>100</v>
      </c>
      <c r="I13" s="498"/>
      <c r="J13" s="510">
        <f>SUMIF(73:73,I13,74:74)-SUMIF(73:73,C13,74:74)+100</f>
        <v>100</v>
      </c>
      <c r="K13" s="551"/>
      <c r="L13" s="1864"/>
      <c r="M13" s="1856"/>
      <c r="N13" s="1856"/>
      <c r="O13" s="1856"/>
      <c r="P13" s="3843"/>
      <c r="Q13" s="1049">
        <f t="shared" si="6"/>
        <v>111</v>
      </c>
      <c r="R13" s="1380" t="s">
        <v>5</v>
      </c>
      <c r="S13" s="1381">
        <f t="shared" si="0"/>
        <v>100</v>
      </c>
      <c r="T13" s="1380" t="s">
        <v>5</v>
      </c>
      <c r="U13" s="1381">
        <f t="shared" si="1"/>
        <v>100</v>
      </c>
      <c r="V13" s="1380" t="s">
        <v>5</v>
      </c>
      <c r="W13" s="1381">
        <f t="shared" si="2"/>
        <v>100</v>
      </c>
      <c r="X13" s="1382"/>
      <c r="Y13" s="3791"/>
      <c r="Z13" s="1048">
        <f t="shared" si="7"/>
        <v>111</v>
      </c>
      <c r="AA13" s="1383">
        <f t="shared" si="3"/>
        <v>1</v>
      </c>
      <c r="AB13" s="1383">
        <f t="shared" si="4"/>
        <v>1</v>
      </c>
      <c r="AC13" s="1383">
        <f t="shared" si="5"/>
        <v>1</v>
      </c>
    </row>
    <row r="14" spans="1:29" ht="15.75" thickBot="1">
      <c r="A14" s="2397"/>
      <c r="B14" s="2403">
        <v>111</v>
      </c>
      <c r="C14" s="515"/>
      <c r="D14" s="516">
        <v>100</v>
      </c>
      <c r="E14" s="873"/>
      <c r="F14" s="516">
        <f>SUMIF(75:75,E14,76:76)-SUMIF(75:75,C14,76:76)+100</f>
        <v>100</v>
      </c>
      <c r="G14" s="872"/>
      <c r="H14" s="516">
        <f>SUMIF(75:75,G14,76:76)-SUMIF(75:75,C14,76:76)+100</f>
        <v>100</v>
      </c>
      <c r="I14" s="498"/>
      <c r="J14" s="516">
        <f>SUMIF(75:75,I14,76:76)-SUMIF(75:75,C14,76:76)+100</f>
        <v>100</v>
      </c>
      <c r="K14" s="551"/>
      <c r="L14" s="1864"/>
      <c r="M14" s="1856"/>
      <c r="N14" s="1856"/>
      <c r="O14" s="1856"/>
      <c r="P14" s="3843"/>
      <c r="Q14" s="1049">
        <f t="shared" si="6"/>
        <v>111</v>
      </c>
      <c r="R14" s="1380" t="s">
        <v>5</v>
      </c>
      <c r="S14" s="1381">
        <f t="shared" si="0"/>
        <v>100</v>
      </c>
      <c r="T14" s="1380" t="s">
        <v>5</v>
      </c>
      <c r="U14" s="1381">
        <f t="shared" si="1"/>
        <v>100</v>
      </c>
      <c r="V14" s="1380" t="s">
        <v>5</v>
      </c>
      <c r="W14" s="1381">
        <f t="shared" si="2"/>
        <v>100</v>
      </c>
      <c r="X14" s="1382"/>
      <c r="Y14" s="3791"/>
      <c r="Z14" s="1048">
        <f t="shared" si="7"/>
        <v>111</v>
      </c>
      <c r="AA14" s="1383">
        <f t="shared" si="3"/>
        <v>1</v>
      </c>
      <c r="AB14" s="1383">
        <f t="shared" si="4"/>
        <v>1</v>
      </c>
      <c r="AC14" s="1383">
        <f t="shared" si="5"/>
        <v>1</v>
      </c>
    </row>
    <row r="15" spans="1:29" ht="15">
      <c r="A15" s="2389" t="s">
        <v>2036</v>
      </c>
      <c r="B15" s="517" t="s">
        <v>491</v>
      </c>
      <c r="C15" s="518">
        <f>估价对象房地状况!C5</f>
        <v>0</v>
      </c>
      <c r="D15" s="519">
        <v>100</v>
      </c>
      <c r="E15" s="522"/>
      <c r="F15" s="519">
        <f>SUMIF(77:77,E16,78:78)-SUMIF(77:77,C16,78:78)+100</f>
        <v>100</v>
      </c>
      <c r="G15" s="520"/>
      <c r="H15" s="519">
        <f>SUMIF(77:77,G16,78:78)-SUMIF(77:77,C16,78:78)+100</f>
        <v>100</v>
      </c>
      <c r="I15" s="520"/>
      <c r="J15" s="519">
        <f>SUMIF(77:77,I16,78:78)-SUMIF(77:77,C16,78:78)+100</f>
        <v>100</v>
      </c>
      <c r="K15" s="860"/>
      <c r="L15" s="1864"/>
      <c r="M15" s="1856"/>
      <c r="N15" s="1856"/>
      <c r="O15" s="1856"/>
      <c r="P15" s="3877" t="s">
        <v>489</v>
      </c>
      <c r="Q15" s="1384" t="str">
        <f t="shared" si="6"/>
        <v>办公集聚程度</v>
      </c>
      <c r="R15" s="1385" t="s">
        <v>5</v>
      </c>
      <c r="S15" s="1386">
        <f t="shared" si="0"/>
        <v>100</v>
      </c>
      <c r="T15" s="1385" t="s">
        <v>5</v>
      </c>
      <c r="U15" s="1386">
        <f t="shared" si="1"/>
        <v>100</v>
      </c>
      <c r="V15" s="1385" t="s">
        <v>5</v>
      </c>
      <c r="W15" s="1386">
        <f t="shared" si="2"/>
        <v>100</v>
      </c>
      <c r="X15" s="1379"/>
      <c r="Y15" s="3877" t="s">
        <v>489</v>
      </c>
      <c r="Z15" s="1387" t="str">
        <f t="shared" si="7"/>
        <v>办公集聚程度</v>
      </c>
      <c r="AA15" s="1388">
        <f t="shared" si="3"/>
        <v>1</v>
      </c>
      <c r="AB15" s="1388">
        <f t="shared" si="4"/>
        <v>1</v>
      </c>
      <c r="AC15" s="1388">
        <f t="shared" si="5"/>
        <v>1</v>
      </c>
    </row>
    <row r="16" spans="1:29" ht="15">
      <c r="A16" s="502"/>
      <c r="B16" s="523"/>
      <c r="C16" s="524"/>
      <c r="D16" s="525"/>
      <c r="E16" s="546"/>
      <c r="F16" s="525"/>
      <c r="G16" s="524"/>
      <c r="H16" s="529"/>
      <c r="I16" s="546"/>
      <c r="J16" s="525"/>
      <c r="K16" s="861"/>
      <c r="L16" s="1864"/>
      <c r="M16" s="1856"/>
      <c r="N16" s="1856"/>
      <c r="O16" s="1856"/>
      <c r="P16" s="3878"/>
      <c r="Q16" s="1384"/>
      <c r="R16" s="1385"/>
      <c r="S16" s="1386"/>
      <c r="T16" s="1385"/>
      <c r="U16" s="1386"/>
      <c r="V16" s="1385"/>
      <c r="W16" s="1386"/>
      <c r="X16" s="1379"/>
      <c r="Y16" s="3878"/>
      <c r="Z16" s="1387"/>
      <c r="AA16" s="1388">
        <v>1</v>
      </c>
      <c r="AB16" s="1388">
        <v>1</v>
      </c>
      <c r="AC16" s="1388">
        <v>1</v>
      </c>
    </row>
    <row r="17" spans="1:29" ht="15">
      <c r="A17" s="502"/>
      <c r="B17" s="530" t="s">
        <v>262</v>
      </c>
      <c r="C17" s="543">
        <f>估价对象房地状况!C6</f>
        <v>0</v>
      </c>
      <c r="D17" s="529">
        <v>100</v>
      </c>
      <c r="E17" s="534"/>
      <c r="F17" s="529">
        <f>SUMIF(79:79,E18,80:80)-SUMIF(79:79,C18,80:80)+100</f>
        <v>100</v>
      </c>
      <c r="G17" s="532"/>
      <c r="H17" s="535">
        <f>SUMIF(79:79,G18,80:80)-SUMIF(79:79,C18,80:80)+100</f>
        <v>100</v>
      </c>
      <c r="I17" s="532"/>
      <c r="J17" s="535">
        <f>SUMIF(79:79,I18,80:80)-SUMIF(79:79,C18,80:80)+100</f>
        <v>100</v>
      </c>
      <c r="K17" s="860"/>
      <c r="L17" s="1864"/>
      <c r="M17" s="1856"/>
      <c r="N17" s="1856"/>
      <c r="O17" s="1856"/>
      <c r="P17" s="3878"/>
      <c r="Q17" s="1384" t="str">
        <f>B17</f>
        <v>交通便捷度</v>
      </c>
      <c r="R17" s="1385" t="s">
        <v>5</v>
      </c>
      <c r="S17" s="1386">
        <f>F17</f>
        <v>100</v>
      </c>
      <c r="T17" s="1385" t="s">
        <v>5</v>
      </c>
      <c r="U17" s="1386">
        <f>H17</f>
        <v>100</v>
      </c>
      <c r="V17" s="1385" t="s">
        <v>5</v>
      </c>
      <c r="W17" s="1386">
        <f>J17</f>
        <v>100</v>
      </c>
      <c r="X17" s="1379"/>
      <c r="Y17" s="3878"/>
      <c r="Z17" s="1387" t="str">
        <f>Q17</f>
        <v>交通便捷度</v>
      </c>
      <c r="AA17" s="1388">
        <f t="shared" si="3"/>
        <v>1</v>
      </c>
      <c r="AB17" s="1388">
        <f t="shared" si="4"/>
        <v>1</v>
      </c>
      <c r="AC17" s="1388">
        <f t="shared" si="5"/>
        <v>1</v>
      </c>
    </row>
    <row r="18" spans="1:29" ht="15">
      <c r="A18" s="502"/>
      <c r="B18" s="536"/>
      <c r="C18" s="537"/>
      <c r="D18" s="529"/>
      <c r="E18" s="539"/>
      <c r="F18" s="529"/>
      <c r="G18" s="538"/>
      <c r="H18" s="525"/>
      <c r="I18" s="538"/>
      <c r="J18" s="525"/>
      <c r="K18" s="861"/>
      <c r="L18" s="1864"/>
      <c r="M18" s="1856"/>
      <c r="N18" s="1856"/>
      <c r="O18" s="1856"/>
      <c r="P18" s="3878"/>
      <c r="Q18" s="1384"/>
      <c r="R18" s="1385"/>
      <c r="S18" s="1386"/>
      <c r="T18" s="1385"/>
      <c r="U18" s="1386"/>
      <c r="V18" s="1385"/>
      <c r="W18" s="1386"/>
      <c r="X18" s="1379"/>
      <c r="Y18" s="3878"/>
      <c r="Z18" s="1387"/>
      <c r="AA18" s="1388">
        <v>1</v>
      </c>
      <c r="AB18" s="1388">
        <v>1</v>
      </c>
      <c r="AC18" s="1388">
        <v>1</v>
      </c>
    </row>
    <row r="19" spans="1:29" ht="15">
      <c r="A19" s="502"/>
      <c r="B19" s="2210" t="s">
        <v>1829</v>
      </c>
      <c r="C19" s="543">
        <f>估价对象房地状况!C7</f>
        <v>0</v>
      </c>
      <c r="D19" s="535">
        <v>100</v>
      </c>
      <c r="E19" s="542"/>
      <c r="F19" s="535">
        <f>SUMIF(81:81,E20,82:82)-SUMIF(81:81,C20,82:82)+100</f>
        <v>100</v>
      </c>
      <c r="G19" s="540"/>
      <c r="H19" s="529">
        <f>SUMIF(81:81,G20,82:82)-SUMIF(81:81,C20,82:82)+100</f>
        <v>100</v>
      </c>
      <c r="I19" s="540"/>
      <c r="J19" s="529">
        <f>SUMIF(81:81,I20,82:82)-SUMIF(81:81,C20,82:82)+100</f>
        <v>100</v>
      </c>
      <c r="K19" s="860"/>
      <c r="L19" s="1864"/>
      <c r="M19" s="1856"/>
      <c r="N19" s="1856"/>
      <c r="O19" s="1856"/>
      <c r="P19" s="3878"/>
      <c r="Q19" s="1384" t="str">
        <f>B19</f>
        <v>公共配套设施</v>
      </c>
      <c r="R19" s="1385" t="s">
        <v>5</v>
      </c>
      <c r="S19" s="1386">
        <f>F19</f>
        <v>100</v>
      </c>
      <c r="T19" s="1385" t="s">
        <v>5</v>
      </c>
      <c r="U19" s="1386">
        <f>H19</f>
        <v>100</v>
      </c>
      <c r="V19" s="1385" t="s">
        <v>5</v>
      </c>
      <c r="W19" s="1386">
        <f>J19</f>
        <v>100</v>
      </c>
      <c r="X19" s="1379"/>
      <c r="Y19" s="3878"/>
      <c r="Z19" s="1387" t="str">
        <f>Q19</f>
        <v>公共配套设施</v>
      </c>
      <c r="AA19" s="1388">
        <f t="shared" si="3"/>
        <v>1</v>
      </c>
      <c r="AB19" s="1388">
        <f t="shared" si="4"/>
        <v>1</v>
      </c>
      <c r="AC19" s="1388">
        <f t="shared" si="5"/>
        <v>1</v>
      </c>
    </row>
    <row r="20" spans="1:29" ht="15">
      <c r="A20" s="502"/>
      <c r="B20" s="536"/>
      <c r="C20" s="524"/>
      <c r="D20" s="525"/>
      <c r="E20" s="528"/>
      <c r="F20" s="525"/>
      <c r="G20" s="526"/>
      <c r="H20" s="525"/>
      <c r="I20" s="526"/>
      <c r="J20" s="525"/>
      <c r="K20" s="861"/>
      <c r="L20" s="1864"/>
      <c r="M20" s="1856"/>
      <c r="N20" s="1856"/>
      <c r="O20" s="1856"/>
      <c r="P20" s="3878"/>
      <c r="Q20" s="1384"/>
      <c r="R20" s="1385"/>
      <c r="S20" s="1386"/>
      <c r="T20" s="1385"/>
      <c r="U20" s="1386"/>
      <c r="V20" s="1385"/>
      <c r="W20" s="1386"/>
      <c r="X20" s="1379"/>
      <c r="Y20" s="3878"/>
      <c r="Z20" s="1387"/>
      <c r="AA20" s="1388">
        <v>1</v>
      </c>
      <c r="AB20" s="1388">
        <v>1</v>
      </c>
      <c r="AC20" s="1388">
        <v>1</v>
      </c>
    </row>
    <row r="21" spans="1:29" ht="15">
      <c r="A21" s="502"/>
      <c r="B21" s="2198" t="s">
        <v>1841</v>
      </c>
      <c r="C21" s="543">
        <f>估价对象房地状况!C8</f>
        <v>0</v>
      </c>
      <c r="D21" s="535">
        <v>100</v>
      </c>
      <c r="E21" s="542"/>
      <c r="F21" s="535">
        <f>SUMIF(83:83,E22,84:84)-SUMIF(83:83,C22,84:84)+100</f>
        <v>100</v>
      </c>
      <c r="G21" s="540"/>
      <c r="H21" s="535">
        <f>SUMIF(83:83,G22,84:84)-SUMIF(83:83,C22,84:84)+100</f>
        <v>100</v>
      </c>
      <c r="I21" s="540"/>
      <c r="J21" s="535">
        <f>SUMIF(83:83,I22,84:84)-SUMIF(83:83,C22,84:84)+100</f>
        <v>100</v>
      </c>
      <c r="K21" s="860"/>
      <c r="L21" s="1864"/>
      <c r="M21" s="1856"/>
      <c r="N21" s="1856"/>
      <c r="O21" s="1856"/>
      <c r="P21" s="3878"/>
      <c r="Q21" s="2192" t="str">
        <f>B21</f>
        <v>基础设施水平</v>
      </c>
      <c r="R21" s="1385" t="s">
        <v>5</v>
      </c>
      <c r="S21" s="1386">
        <f>F21</f>
        <v>100</v>
      </c>
      <c r="T21" s="1385" t="s">
        <v>5</v>
      </c>
      <c r="U21" s="1386">
        <f>H21</f>
        <v>100</v>
      </c>
      <c r="V21" s="1385" t="s">
        <v>5</v>
      </c>
      <c r="W21" s="1386">
        <f>J21</f>
        <v>100</v>
      </c>
      <c r="X21" s="2194"/>
      <c r="Y21" s="3878"/>
      <c r="Z21" s="2193" t="str">
        <f>Q21</f>
        <v>基础设施水平</v>
      </c>
      <c r="AA21" s="1388">
        <f>D21/F21</f>
        <v>1</v>
      </c>
      <c r="AB21" s="1388">
        <f>D21/H21</f>
        <v>1</v>
      </c>
      <c r="AC21" s="1388">
        <f>D21/J21</f>
        <v>1</v>
      </c>
    </row>
    <row r="22" spans="1:29" ht="15">
      <c r="A22" s="502"/>
      <c r="B22" s="548"/>
      <c r="C22" s="537"/>
      <c r="D22" s="525"/>
      <c r="E22" s="546"/>
      <c r="F22" s="525"/>
      <c r="G22" s="524"/>
      <c r="H22" s="525"/>
      <c r="I22" s="524"/>
      <c r="J22" s="525"/>
      <c r="K22" s="2209"/>
      <c r="L22" s="1864"/>
      <c r="M22" s="1856"/>
      <c r="N22" s="1856"/>
      <c r="O22" s="1856"/>
      <c r="P22" s="3878"/>
      <c r="Q22" s="2192"/>
      <c r="R22" s="1385"/>
      <c r="S22" s="1386"/>
      <c r="T22" s="1385"/>
      <c r="U22" s="1386"/>
      <c r="V22" s="1385"/>
      <c r="W22" s="1386"/>
      <c r="X22" s="2194"/>
      <c r="Y22" s="3878"/>
      <c r="Z22" s="2193"/>
      <c r="AA22" s="1388">
        <v>1</v>
      </c>
      <c r="AB22" s="1388">
        <v>1</v>
      </c>
      <c r="AC22" s="1388">
        <v>1</v>
      </c>
    </row>
    <row r="23" spans="1:29" ht="15">
      <c r="A23" s="502"/>
      <c r="B23" s="530" t="s">
        <v>718</v>
      </c>
      <c r="C23" s="543">
        <f>估价对象房地状况!C9</f>
        <v>0</v>
      </c>
      <c r="D23" s="529">
        <v>100</v>
      </c>
      <c r="E23" s="534"/>
      <c r="F23" s="529">
        <f>SUMIF(85:85,E24,86:86)-SUMIF(85:85,C24,86:86)+100</f>
        <v>100</v>
      </c>
      <c r="G23" s="532"/>
      <c r="H23" s="529">
        <f>SUMIF(85:85,G24,86:86)-SUMIF(85:85,C24,86:86)+100</f>
        <v>100</v>
      </c>
      <c r="I23" s="532"/>
      <c r="J23" s="529">
        <f>SUMIF(85:85,I24,86:86)-SUMIF(85:85,C24,86:86)+100</f>
        <v>100</v>
      </c>
      <c r="K23" s="860"/>
      <c r="L23" s="1864"/>
      <c r="M23" s="1856"/>
      <c r="N23" s="1856"/>
      <c r="O23" s="1856"/>
      <c r="P23" s="3878"/>
      <c r="Q23" s="1384" t="str">
        <f>B23</f>
        <v>环境质量</v>
      </c>
      <c r="R23" s="1385" t="s">
        <v>5</v>
      </c>
      <c r="S23" s="1386">
        <f>F23</f>
        <v>100</v>
      </c>
      <c r="T23" s="1385" t="s">
        <v>5</v>
      </c>
      <c r="U23" s="1386">
        <f>H23</f>
        <v>100</v>
      </c>
      <c r="V23" s="1385" t="s">
        <v>5</v>
      </c>
      <c r="W23" s="1386">
        <f>J23</f>
        <v>100</v>
      </c>
      <c r="X23" s="1379"/>
      <c r="Y23" s="3878"/>
      <c r="Z23" s="1387" t="str">
        <f>Q23</f>
        <v>环境质量</v>
      </c>
      <c r="AA23" s="1388">
        <f t="shared" si="3"/>
        <v>1</v>
      </c>
      <c r="AB23" s="1388">
        <f t="shared" si="4"/>
        <v>1</v>
      </c>
      <c r="AC23" s="1388">
        <f t="shared" si="5"/>
        <v>1</v>
      </c>
    </row>
    <row r="24" spans="1:29" ht="15">
      <c r="A24" s="502"/>
      <c r="B24" s="548"/>
      <c r="C24" s="524"/>
      <c r="D24" s="525"/>
      <c r="E24" s="528"/>
      <c r="F24" s="525"/>
      <c r="G24" s="526"/>
      <c r="H24" s="525"/>
      <c r="I24" s="526"/>
      <c r="J24" s="525"/>
      <c r="K24" s="861"/>
      <c r="L24" s="1864"/>
      <c r="M24" s="1856"/>
      <c r="N24" s="1856"/>
      <c r="O24" s="1856"/>
      <c r="P24" s="3878"/>
      <c r="Q24" s="1384"/>
      <c r="R24" s="1385"/>
      <c r="S24" s="1386"/>
      <c r="T24" s="1385"/>
      <c r="U24" s="1386"/>
      <c r="V24" s="1385"/>
      <c r="W24" s="1386"/>
      <c r="X24" s="1379"/>
      <c r="Y24" s="3878"/>
      <c r="Z24" s="1387"/>
      <c r="AA24" s="1388">
        <v>1</v>
      </c>
      <c r="AB24" s="1388">
        <v>1</v>
      </c>
      <c r="AC24" s="1388">
        <v>1</v>
      </c>
    </row>
    <row r="25" spans="1:29" ht="27">
      <c r="A25" s="485"/>
      <c r="B25" s="530" t="s">
        <v>497</v>
      </c>
      <c r="C25" s="874"/>
      <c r="D25" s="510">
        <v>100</v>
      </c>
      <c r="E25" s="509"/>
      <c r="F25" s="510">
        <f>SUMIF(87:87,E26,88:88)-SUMIF(87:87,C26,88:88)+100</f>
        <v>100</v>
      </c>
      <c r="G25" s="874"/>
      <c r="H25" s="510">
        <f>SUMIF(87:87,G26,88:88)-SUMIF(87:87,C26,88:88)+100</f>
        <v>100</v>
      </c>
      <c r="I25" s="509"/>
      <c r="J25" s="510">
        <f>SUMIF(87:87,I26,88:88)-SUMIF(87:87,C26,88:88)+100</f>
        <v>100</v>
      </c>
      <c r="K25" s="860"/>
      <c r="L25" s="1864"/>
      <c r="M25" s="1856"/>
      <c r="N25" s="1856"/>
      <c r="O25" s="1856"/>
      <c r="P25" s="3878"/>
      <c r="Q25" s="1384" t="str">
        <f>B25</f>
        <v>毗邻道路的类型与等级</v>
      </c>
      <c r="R25" s="1385" t="s">
        <v>5</v>
      </c>
      <c r="S25" s="1386">
        <f>F25</f>
        <v>100</v>
      </c>
      <c r="T25" s="1385" t="s">
        <v>5</v>
      </c>
      <c r="U25" s="1386">
        <f>H25</f>
        <v>100</v>
      </c>
      <c r="V25" s="1385" t="s">
        <v>5</v>
      </c>
      <c r="W25" s="1386">
        <f>J25</f>
        <v>100</v>
      </c>
      <c r="X25" s="1379"/>
      <c r="Y25" s="3878"/>
      <c r="Z25" s="1387" t="str">
        <f>Q25</f>
        <v>毗邻道路的类型与等级</v>
      </c>
      <c r="AA25" s="1388">
        <f t="shared" si="3"/>
        <v>1</v>
      </c>
      <c r="AB25" s="1388">
        <f t="shared" si="4"/>
        <v>1</v>
      </c>
      <c r="AC25" s="1388">
        <f t="shared" si="5"/>
        <v>1</v>
      </c>
    </row>
    <row r="26" spans="1:29" ht="15">
      <c r="A26" s="485"/>
      <c r="B26" s="536"/>
      <c r="C26" s="550"/>
      <c r="D26" s="510"/>
      <c r="E26" s="553"/>
      <c r="F26" s="510"/>
      <c r="G26" s="550"/>
      <c r="H26" s="510"/>
      <c r="I26" s="553"/>
      <c r="J26" s="510"/>
      <c r="K26" s="861"/>
      <c r="L26" s="1864"/>
      <c r="M26" s="1856"/>
      <c r="N26" s="1856"/>
      <c r="O26" s="1856"/>
      <c r="P26" s="3878"/>
      <c r="Q26" s="1384"/>
      <c r="R26" s="1385"/>
      <c r="S26" s="1386"/>
      <c r="T26" s="1385"/>
      <c r="U26" s="1386"/>
      <c r="V26" s="1385"/>
      <c r="W26" s="1386"/>
      <c r="X26" s="1379"/>
      <c r="Y26" s="3878"/>
      <c r="Z26" s="1387"/>
      <c r="AA26" s="1388">
        <v>1</v>
      </c>
      <c r="AB26" s="1388">
        <v>1</v>
      </c>
      <c r="AC26" s="1388">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878"/>
      <c r="Q27" s="1384" t="str">
        <f t="shared" ref="Q27:Q47" si="8">B27</f>
        <v>楼层</v>
      </c>
      <c r="R27" s="1385" t="s">
        <v>5</v>
      </c>
      <c r="S27" s="1386">
        <f>F27</f>
        <v>100</v>
      </c>
      <c r="T27" s="1385" t="s">
        <v>5</v>
      </c>
      <c r="U27" s="1386">
        <f>H27</f>
        <v>100</v>
      </c>
      <c r="V27" s="1385" t="s">
        <v>5</v>
      </c>
      <c r="W27" s="1386">
        <f>J27</f>
        <v>100</v>
      </c>
      <c r="X27" s="1379"/>
      <c r="Y27" s="3878"/>
      <c r="Z27" s="1387" t="str">
        <f>Q27</f>
        <v>楼层</v>
      </c>
      <c r="AA27" s="1388">
        <f t="shared" si="3"/>
        <v>1</v>
      </c>
      <c r="AB27" s="1388">
        <f t="shared" si="4"/>
        <v>1</v>
      </c>
      <c r="AC27" s="1388">
        <f t="shared" si="5"/>
        <v>1</v>
      </c>
    </row>
    <row r="28" spans="1:29" s="1117" customFormat="1" ht="15">
      <c r="A28" s="506"/>
      <c r="B28" s="530" t="s">
        <v>719</v>
      </c>
      <c r="C28" s="875"/>
      <c r="D28" s="838">
        <v>100</v>
      </c>
      <c r="E28" s="863"/>
      <c r="F28" s="838">
        <f>SUMIF(91:91,E28,92:92)-SUMIF(91:91,C28,92:92)+100</f>
        <v>100</v>
      </c>
      <c r="G28" s="875"/>
      <c r="H28" s="838">
        <f>SUMIF(91:91,G28,92:92)-SUMIF(91:91,C28,92:92)+100</f>
        <v>100</v>
      </c>
      <c r="I28" s="863"/>
      <c r="J28" s="838">
        <f>SUMIF(91:91,I28,92:92)-SUMIF(91:91,C28,92:92)+100</f>
        <v>100</v>
      </c>
      <c r="K28" s="554"/>
      <c r="L28" s="1857"/>
      <c r="M28" s="1858"/>
      <c r="N28" s="1858"/>
      <c r="O28" s="1858"/>
      <c r="P28" s="3878"/>
      <c r="Q28" s="1049" t="str">
        <f t="shared" si="8"/>
        <v>朝向</v>
      </c>
      <c r="R28" s="1380" t="s">
        <v>5</v>
      </c>
      <c r="S28" s="1381">
        <f>F28</f>
        <v>100</v>
      </c>
      <c r="T28" s="1380" t="s">
        <v>5</v>
      </c>
      <c r="U28" s="1381">
        <f>H28</f>
        <v>100</v>
      </c>
      <c r="V28" s="1380" t="s">
        <v>5</v>
      </c>
      <c r="W28" s="1381">
        <f>J28</f>
        <v>100</v>
      </c>
      <c r="X28" s="1382"/>
      <c r="Y28" s="3878"/>
      <c r="Z28" s="1048" t="str">
        <f>Q28</f>
        <v>朝向</v>
      </c>
      <c r="AA28" s="1388">
        <f>D28/F28</f>
        <v>1</v>
      </c>
      <c r="AB28" s="1388">
        <f>D28/H28</f>
        <v>1</v>
      </c>
      <c r="AC28" s="1388">
        <f>D28/J28</f>
        <v>1</v>
      </c>
    </row>
    <row r="29" spans="1:29" ht="15">
      <c r="A29" s="502"/>
      <c r="B29" s="555">
        <v>111</v>
      </c>
      <c r="C29" s="874"/>
      <c r="D29" s="510">
        <v>100</v>
      </c>
      <c r="E29" s="498"/>
      <c r="F29" s="510">
        <f>SUMIF(93:93,E29,94:94)-SUMIF(93:93,C29,94:94)+100</f>
        <v>100</v>
      </c>
      <c r="G29" s="872"/>
      <c r="H29" s="510">
        <f>SUMIF(93:93,G29,94:94)-SUMIF(93:93,C29,94:94)+100</f>
        <v>100</v>
      </c>
      <c r="I29" s="498"/>
      <c r="J29" s="510">
        <f>SUMIF(93:93,I29,94:94)-SUMIF(93:93,C29,94:94)+100</f>
        <v>100</v>
      </c>
      <c r="K29" s="551"/>
      <c r="L29" s="1864"/>
      <c r="M29" s="1856"/>
      <c r="N29" s="1856"/>
      <c r="O29" s="1856"/>
      <c r="P29" s="3878"/>
      <c r="Q29" s="1384">
        <f t="shared" si="8"/>
        <v>111</v>
      </c>
      <c r="R29" s="1385" t="s">
        <v>5</v>
      </c>
      <c r="S29" s="1386">
        <f t="shared" ref="S29:S47" si="9">F29</f>
        <v>100</v>
      </c>
      <c r="T29" s="1385" t="s">
        <v>5</v>
      </c>
      <c r="U29" s="1386">
        <f t="shared" ref="U29:U47" si="10">H29</f>
        <v>100</v>
      </c>
      <c r="V29" s="1385" t="s">
        <v>5</v>
      </c>
      <c r="W29" s="1386">
        <f t="shared" ref="W29:W47" si="11">J29</f>
        <v>100</v>
      </c>
      <c r="X29" s="1379"/>
      <c r="Y29" s="3878"/>
      <c r="Z29" s="1387">
        <f t="shared" ref="Z29:Z47" si="12">Q29</f>
        <v>111</v>
      </c>
      <c r="AA29" s="1388">
        <f t="shared" si="3"/>
        <v>1</v>
      </c>
      <c r="AB29" s="1388">
        <f t="shared" si="4"/>
        <v>1</v>
      </c>
      <c r="AC29" s="1388">
        <f t="shared" si="5"/>
        <v>1</v>
      </c>
    </row>
    <row r="30" spans="1:29" ht="15">
      <c r="A30" s="502"/>
      <c r="B30" s="555">
        <v>111</v>
      </c>
      <c r="C30" s="874"/>
      <c r="D30" s="510">
        <v>100</v>
      </c>
      <c r="E30" s="498"/>
      <c r="F30" s="510">
        <f>SUMIF(95:95,E30,96:96)-SUMIF(95:95,C30,96:96)+100</f>
        <v>100</v>
      </c>
      <c r="G30" s="872"/>
      <c r="H30" s="510">
        <f>SUMIF(95:95,G30,96:96)-SUMIF(95:95,C30,96:96)+100</f>
        <v>100</v>
      </c>
      <c r="I30" s="498"/>
      <c r="J30" s="510">
        <f>SUMIF(95:95,I30,96:96)-SUMIF(95:95,C30,96:96)+100</f>
        <v>100</v>
      </c>
      <c r="K30" s="551"/>
      <c r="L30" s="1864"/>
      <c r="M30" s="1856"/>
      <c r="N30" s="1856"/>
      <c r="O30" s="1856"/>
      <c r="P30" s="3878"/>
      <c r="Q30" s="1384">
        <f t="shared" si="8"/>
        <v>111</v>
      </c>
      <c r="R30" s="1385" t="s">
        <v>5</v>
      </c>
      <c r="S30" s="1386">
        <f t="shared" si="9"/>
        <v>100</v>
      </c>
      <c r="T30" s="1385" t="s">
        <v>5</v>
      </c>
      <c r="U30" s="1386">
        <f t="shared" si="10"/>
        <v>100</v>
      </c>
      <c r="V30" s="1385" t="s">
        <v>5</v>
      </c>
      <c r="W30" s="1386">
        <f t="shared" si="11"/>
        <v>100</v>
      </c>
      <c r="X30" s="1379"/>
      <c r="Y30" s="3878"/>
      <c r="Z30" s="1387">
        <f t="shared" si="12"/>
        <v>111</v>
      </c>
      <c r="AA30" s="1388">
        <f t="shared" si="3"/>
        <v>1</v>
      </c>
      <c r="AB30" s="1388">
        <f t="shared" si="4"/>
        <v>1</v>
      </c>
      <c r="AC30" s="1388">
        <f t="shared" si="5"/>
        <v>1</v>
      </c>
    </row>
    <row r="31" spans="1:29" ht="15">
      <c r="A31" s="502"/>
      <c r="B31" s="555">
        <v>111</v>
      </c>
      <c r="C31" s="874"/>
      <c r="D31" s="510">
        <v>100</v>
      </c>
      <c r="E31" s="498"/>
      <c r="F31" s="510">
        <f>SUMIF(97:97,E31,98:98)-SUMIF(97:97,C31,98:98)+100</f>
        <v>100</v>
      </c>
      <c r="G31" s="872"/>
      <c r="H31" s="510">
        <f>SUMIF(97:97,G31,98:98)-SUMIF(97:97,C31,98:98)+100</f>
        <v>100</v>
      </c>
      <c r="I31" s="498"/>
      <c r="J31" s="510">
        <f>SUMIF(97:97,I31,98:98)-SUMIF(97:97,C31,98:98)+100</f>
        <v>100</v>
      </c>
      <c r="K31" s="551"/>
      <c r="L31" s="1864"/>
      <c r="M31" s="1856"/>
      <c r="N31" s="1856"/>
      <c r="O31" s="1856"/>
      <c r="P31" s="3878"/>
      <c r="Q31" s="1384">
        <f t="shared" si="8"/>
        <v>111</v>
      </c>
      <c r="R31" s="1385" t="s">
        <v>5</v>
      </c>
      <c r="S31" s="1386">
        <f t="shared" si="9"/>
        <v>100</v>
      </c>
      <c r="T31" s="1385" t="s">
        <v>5</v>
      </c>
      <c r="U31" s="1386">
        <f t="shared" si="10"/>
        <v>100</v>
      </c>
      <c r="V31" s="1385" t="s">
        <v>5</v>
      </c>
      <c r="W31" s="1386">
        <f t="shared" si="11"/>
        <v>100</v>
      </c>
      <c r="X31" s="1379"/>
      <c r="Y31" s="3878"/>
      <c r="Z31" s="1387">
        <f t="shared" si="12"/>
        <v>111</v>
      </c>
      <c r="AA31" s="1388">
        <f t="shared" si="3"/>
        <v>1</v>
      </c>
      <c r="AB31" s="1388">
        <f t="shared" si="4"/>
        <v>1</v>
      </c>
      <c r="AC31" s="1388">
        <f t="shared" si="5"/>
        <v>1</v>
      </c>
    </row>
    <row r="32" spans="1:29" ht="15.75" thickBot="1">
      <c r="A32" s="513"/>
      <c r="B32" s="876">
        <v>111</v>
      </c>
      <c r="C32" s="877"/>
      <c r="D32" s="516">
        <v>100</v>
      </c>
      <c r="E32" s="873"/>
      <c r="F32" s="516">
        <f>SUMIF(99:99,E32,100:100)-SUMIF(99:99,C32,100:100)+100</f>
        <v>100</v>
      </c>
      <c r="G32" s="872"/>
      <c r="H32" s="516">
        <f>SUMIF(99:99,G32,100:100)-SUMIF(99:99,C32,100:100)+100</f>
        <v>100</v>
      </c>
      <c r="I32" s="498"/>
      <c r="J32" s="516">
        <f>SUMIF(99:99,I32,100:100)-SUMIF(99:99,C32,100:100)+100</f>
        <v>100</v>
      </c>
      <c r="K32" s="551"/>
      <c r="L32" s="1864"/>
      <c r="M32" s="1856"/>
      <c r="N32" s="1856"/>
      <c r="O32" s="1856"/>
      <c r="P32" s="3878"/>
      <c r="Q32" s="1384">
        <f t="shared" si="8"/>
        <v>111</v>
      </c>
      <c r="R32" s="1385" t="s">
        <v>5</v>
      </c>
      <c r="S32" s="1386">
        <f t="shared" si="9"/>
        <v>100</v>
      </c>
      <c r="T32" s="1385" t="s">
        <v>5</v>
      </c>
      <c r="U32" s="1386">
        <f t="shared" si="10"/>
        <v>100</v>
      </c>
      <c r="V32" s="1385" t="s">
        <v>5</v>
      </c>
      <c r="W32" s="1386">
        <f t="shared" si="11"/>
        <v>100</v>
      </c>
      <c r="X32" s="1379"/>
      <c r="Y32" s="3878"/>
      <c r="Z32" s="1387">
        <f t="shared" si="12"/>
        <v>111</v>
      </c>
      <c r="AA32" s="1388">
        <f t="shared" si="3"/>
        <v>1</v>
      </c>
      <c r="AB32" s="1388">
        <f t="shared" si="4"/>
        <v>1</v>
      </c>
      <c r="AC32" s="1388">
        <f t="shared" si="5"/>
        <v>1</v>
      </c>
    </row>
    <row r="33" spans="1:29" ht="15">
      <c r="A33" s="2386" t="s">
        <v>2037</v>
      </c>
      <c r="B33" s="165" t="s">
        <v>720</v>
      </c>
      <c r="C33" s="878"/>
      <c r="D33" s="567">
        <v>100</v>
      </c>
      <c r="E33" s="878"/>
      <c r="F33" s="545">
        <f>SUMIF(101:101,E33,102:102)-SUMIF(101:101,C33,102:102)+100</f>
        <v>100</v>
      </c>
      <c r="G33" s="878"/>
      <c r="H33" s="510">
        <f>SUMIF(101:101,G33,102:102)-SUMIF(101:101,C33,102:102)+100</f>
        <v>100</v>
      </c>
      <c r="I33" s="878"/>
      <c r="J33" s="567">
        <f>SUMIF(101:101,I33,102:102)-SUMIF(101:101,C33,102:102)+100</f>
        <v>100</v>
      </c>
      <c r="K33" s="554"/>
      <c r="L33" s="1864"/>
      <c r="M33" s="1856"/>
      <c r="N33" s="1856"/>
      <c r="O33" s="1856"/>
      <c r="P33" s="3879" t="s">
        <v>499</v>
      </c>
      <c r="Q33" s="1384" t="str">
        <f t="shared" si="8"/>
        <v>建筑类型</v>
      </c>
      <c r="R33" s="1385" t="s">
        <v>5</v>
      </c>
      <c r="S33" s="1386">
        <f t="shared" si="9"/>
        <v>100</v>
      </c>
      <c r="T33" s="1385" t="s">
        <v>5</v>
      </c>
      <c r="U33" s="1386">
        <f t="shared" si="10"/>
        <v>100</v>
      </c>
      <c r="V33" s="1385" t="s">
        <v>5</v>
      </c>
      <c r="W33" s="1386">
        <f t="shared" si="11"/>
        <v>100</v>
      </c>
      <c r="X33" s="1379"/>
      <c r="Y33" s="3880" t="s">
        <v>499</v>
      </c>
      <c r="Z33" s="1387" t="str">
        <f t="shared" si="12"/>
        <v>建筑类型</v>
      </c>
      <c r="AA33" s="1388">
        <f t="shared" si="3"/>
        <v>1</v>
      </c>
      <c r="AB33" s="1388">
        <f t="shared" si="4"/>
        <v>1</v>
      </c>
      <c r="AC33" s="1388">
        <f t="shared" si="5"/>
        <v>1</v>
      </c>
    </row>
    <row r="34" spans="1:29" s="1199" customFormat="1" ht="15">
      <c r="A34" s="573"/>
      <c r="B34" s="497" t="s">
        <v>673</v>
      </c>
      <c r="C34" s="842"/>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880"/>
      <c r="Q34" s="1413" t="str">
        <f t="shared" si="8"/>
        <v>项目建筑规模</v>
      </c>
      <c r="R34" s="1389" t="s">
        <v>5</v>
      </c>
      <c r="S34" s="1390" t="e">
        <f t="shared" si="9"/>
        <v>#N/A</v>
      </c>
      <c r="T34" s="1389" t="s">
        <v>5</v>
      </c>
      <c r="U34" s="1390" t="e">
        <f t="shared" si="10"/>
        <v>#N/A</v>
      </c>
      <c r="V34" s="1389" t="s">
        <v>5</v>
      </c>
      <c r="W34" s="1390" t="e">
        <f t="shared" si="11"/>
        <v>#N/A</v>
      </c>
      <c r="X34" s="1391"/>
      <c r="Y34" s="3880"/>
      <c r="Z34" s="1392" t="str">
        <f t="shared" si="12"/>
        <v>项目建筑规模</v>
      </c>
      <c r="AA34" s="1388" t="e">
        <f t="shared" si="3"/>
        <v>#N/A</v>
      </c>
      <c r="AB34" s="1388" t="e">
        <f t="shared" si="4"/>
        <v>#N/A</v>
      </c>
      <c r="AC34" s="1388"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880"/>
      <c r="Q35" s="1384" t="str">
        <f t="shared" si="8"/>
        <v>建筑结构</v>
      </c>
      <c r="R35" s="1385" t="s">
        <v>5</v>
      </c>
      <c r="S35" s="1386">
        <f t="shared" si="9"/>
        <v>100</v>
      </c>
      <c r="T35" s="1385" t="s">
        <v>5</v>
      </c>
      <c r="U35" s="1386">
        <f t="shared" si="10"/>
        <v>100</v>
      </c>
      <c r="V35" s="1385" t="s">
        <v>5</v>
      </c>
      <c r="W35" s="1386">
        <f t="shared" si="11"/>
        <v>100</v>
      </c>
      <c r="X35" s="1379"/>
      <c r="Y35" s="3880"/>
      <c r="Z35" s="1387" t="str">
        <f t="shared" si="12"/>
        <v>建筑结构</v>
      </c>
      <c r="AA35" s="1388">
        <f t="shared" si="3"/>
        <v>1</v>
      </c>
      <c r="AB35" s="1388">
        <f t="shared" si="4"/>
        <v>1</v>
      </c>
      <c r="AC35" s="1388">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880"/>
      <c r="Q36" s="1384" t="str">
        <f t="shared" si="8"/>
        <v>公共部分装修</v>
      </c>
      <c r="R36" s="1385" t="s">
        <v>5</v>
      </c>
      <c r="S36" s="1386">
        <f t="shared" si="9"/>
        <v>100</v>
      </c>
      <c r="T36" s="1385" t="s">
        <v>5</v>
      </c>
      <c r="U36" s="1386">
        <f t="shared" si="10"/>
        <v>100</v>
      </c>
      <c r="V36" s="1385" t="s">
        <v>5</v>
      </c>
      <c r="W36" s="1386">
        <f t="shared" si="11"/>
        <v>100</v>
      </c>
      <c r="X36" s="1379"/>
      <c r="Y36" s="3880"/>
      <c r="Z36" s="1387" t="str">
        <f t="shared" si="12"/>
        <v>公共部分装修</v>
      </c>
      <c r="AA36" s="1388">
        <f t="shared" si="3"/>
        <v>1</v>
      </c>
      <c r="AB36" s="1388">
        <f t="shared" si="4"/>
        <v>1</v>
      </c>
      <c r="AC36" s="1388">
        <f t="shared" si="5"/>
        <v>1</v>
      </c>
    </row>
    <row r="37" spans="1:29" ht="15">
      <c r="A37" s="564"/>
      <c r="B37" s="497" t="s">
        <v>704</v>
      </c>
      <c r="C37" s="845"/>
      <c r="D37" s="510">
        <v>100</v>
      </c>
      <c r="E37" s="845"/>
      <c r="F37" s="545" t="e">
        <f>LOOKUP(E37,111:111,112:112)-LOOKUP(C37,111:111,112:112)+100</f>
        <v>#N/A</v>
      </c>
      <c r="G37" s="845"/>
      <c r="H37" s="545" t="e">
        <f>LOOKUP(G37,111:111,112:112)-LOOKUP(C37,111:111,112:112)+100</f>
        <v>#N/A</v>
      </c>
      <c r="I37" s="845"/>
      <c r="J37" s="510" t="e">
        <f>LOOKUP(I37,111:111,112:112)-LOOKUP(C37,111:111,112:112)+100</f>
        <v>#N/A</v>
      </c>
      <c r="K37" s="554"/>
      <c r="L37" s="1864"/>
      <c r="M37" s="1856"/>
      <c r="N37" s="1856"/>
      <c r="O37" s="1856"/>
      <c r="P37" s="3880"/>
      <c r="Q37" s="1384" t="str">
        <f t="shared" si="8"/>
        <v>成新度</v>
      </c>
      <c r="R37" s="1385" t="s">
        <v>5</v>
      </c>
      <c r="S37" s="1386" t="e">
        <f t="shared" si="9"/>
        <v>#N/A</v>
      </c>
      <c r="T37" s="1385" t="s">
        <v>5</v>
      </c>
      <c r="U37" s="1386" t="e">
        <f t="shared" si="10"/>
        <v>#N/A</v>
      </c>
      <c r="V37" s="1385" t="s">
        <v>5</v>
      </c>
      <c r="W37" s="1386" t="e">
        <f t="shared" si="11"/>
        <v>#N/A</v>
      </c>
      <c r="X37" s="1379"/>
      <c r="Y37" s="3880"/>
      <c r="Z37" s="1387" t="str">
        <f t="shared" si="12"/>
        <v>成新度</v>
      </c>
      <c r="AA37" s="1388" t="e">
        <f t="shared" si="3"/>
        <v>#N/A</v>
      </c>
      <c r="AB37" s="1388" t="e">
        <f t="shared" si="4"/>
        <v>#N/A</v>
      </c>
      <c r="AC37" s="1388" t="e">
        <f t="shared" si="5"/>
        <v>#N/A</v>
      </c>
    </row>
    <row r="38" spans="1:29" s="1117"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880"/>
      <c r="Q38" s="1049" t="str">
        <f t="shared" si="8"/>
        <v>写字楼等级</v>
      </c>
      <c r="R38" s="1380" t="s">
        <v>5</v>
      </c>
      <c r="S38" s="1381">
        <f t="shared" si="9"/>
        <v>100</v>
      </c>
      <c r="T38" s="1380" t="s">
        <v>5</v>
      </c>
      <c r="U38" s="1381">
        <f t="shared" si="10"/>
        <v>100</v>
      </c>
      <c r="V38" s="1380" t="s">
        <v>5</v>
      </c>
      <c r="W38" s="1381">
        <f t="shared" si="11"/>
        <v>100</v>
      </c>
      <c r="X38" s="1382"/>
      <c r="Y38" s="3880"/>
      <c r="Z38" s="1048" t="str">
        <f t="shared" si="12"/>
        <v>写字楼等级</v>
      </c>
      <c r="AA38" s="1383">
        <f t="shared" si="3"/>
        <v>1</v>
      </c>
      <c r="AB38" s="1383">
        <f t="shared" si="4"/>
        <v>1</v>
      </c>
      <c r="AC38" s="1383">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880" t="s">
        <v>499</v>
      </c>
      <c r="Q39" s="1384" t="str">
        <f t="shared" si="8"/>
        <v>物业管理</v>
      </c>
      <c r="R39" s="1385" t="s">
        <v>5</v>
      </c>
      <c r="S39" s="1386">
        <f t="shared" si="9"/>
        <v>100</v>
      </c>
      <c r="T39" s="1385" t="s">
        <v>5</v>
      </c>
      <c r="U39" s="1386">
        <f t="shared" si="10"/>
        <v>100</v>
      </c>
      <c r="V39" s="1385" t="s">
        <v>5</v>
      </c>
      <c r="W39" s="1386">
        <f t="shared" si="11"/>
        <v>100</v>
      </c>
      <c r="X39" s="1379"/>
      <c r="Y39" s="3880" t="s">
        <v>499</v>
      </c>
      <c r="Z39" s="1387" t="str">
        <f t="shared" si="12"/>
        <v>物业管理</v>
      </c>
      <c r="AA39" s="1388">
        <f t="shared" si="3"/>
        <v>1</v>
      </c>
      <c r="AB39" s="1388">
        <f t="shared" si="4"/>
        <v>1</v>
      </c>
      <c r="AC39" s="1388">
        <f t="shared" si="5"/>
        <v>1</v>
      </c>
    </row>
    <row r="40" spans="1:29" ht="15">
      <c r="A40" s="564"/>
      <c r="B40" s="1650"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880"/>
      <c r="Q40" s="1384" t="str">
        <f t="shared" si="8"/>
        <v>市政基础设施</v>
      </c>
      <c r="R40" s="1385" t="s">
        <v>5</v>
      </c>
      <c r="S40" s="1386">
        <f t="shared" si="9"/>
        <v>100</v>
      </c>
      <c r="T40" s="1385" t="s">
        <v>5</v>
      </c>
      <c r="U40" s="1386">
        <f t="shared" si="10"/>
        <v>100</v>
      </c>
      <c r="V40" s="1385" t="s">
        <v>5</v>
      </c>
      <c r="W40" s="1386">
        <f t="shared" si="11"/>
        <v>100</v>
      </c>
      <c r="X40" s="1379"/>
      <c r="Y40" s="3880"/>
      <c r="Z40" s="1387" t="str">
        <f t="shared" si="12"/>
        <v>市政基础设施</v>
      </c>
      <c r="AA40" s="1388">
        <f t="shared" si="3"/>
        <v>1</v>
      </c>
      <c r="AB40" s="1388">
        <f t="shared" si="4"/>
        <v>1</v>
      </c>
      <c r="AC40" s="1388">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880"/>
      <c r="Q41" s="1384" t="str">
        <f t="shared" si="8"/>
        <v>层高</v>
      </c>
      <c r="R41" s="1385" t="s">
        <v>5</v>
      </c>
      <c r="S41" s="1386">
        <f t="shared" si="9"/>
        <v>100</v>
      </c>
      <c r="T41" s="1385" t="s">
        <v>5</v>
      </c>
      <c r="U41" s="1386">
        <f t="shared" si="10"/>
        <v>100</v>
      </c>
      <c r="V41" s="1385" t="s">
        <v>5</v>
      </c>
      <c r="W41" s="1386">
        <f t="shared" si="11"/>
        <v>100</v>
      </c>
      <c r="X41" s="1379"/>
      <c r="Y41" s="3880"/>
      <c r="Z41" s="1387" t="str">
        <f t="shared" si="12"/>
        <v>层高</v>
      </c>
      <c r="AA41" s="1388">
        <f t="shared" si="3"/>
        <v>1</v>
      </c>
      <c r="AB41" s="1388">
        <f t="shared" si="4"/>
        <v>1</v>
      </c>
      <c r="AC41" s="1388">
        <f t="shared" si="5"/>
        <v>1</v>
      </c>
    </row>
    <row r="42" spans="1:29" s="1199" customFormat="1" ht="15">
      <c r="A42" s="573"/>
      <c r="B42" s="866"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880"/>
      <c r="Q42" s="1413" t="str">
        <f t="shared" si="8"/>
        <v>单套建筑面积</v>
      </c>
      <c r="R42" s="1389" t="s">
        <v>5</v>
      </c>
      <c r="S42" s="1390">
        <f t="shared" si="9"/>
        <v>100</v>
      </c>
      <c r="T42" s="1389" t="s">
        <v>5</v>
      </c>
      <c r="U42" s="1390">
        <f t="shared" si="10"/>
        <v>100</v>
      </c>
      <c r="V42" s="1389" t="s">
        <v>5</v>
      </c>
      <c r="W42" s="1390">
        <f t="shared" si="11"/>
        <v>100</v>
      </c>
      <c r="X42" s="1391"/>
      <c r="Y42" s="3880"/>
      <c r="Z42" s="1392" t="str">
        <f t="shared" si="12"/>
        <v>单套建筑面积</v>
      </c>
      <c r="AA42" s="1388">
        <f t="shared" si="3"/>
        <v>1</v>
      </c>
      <c r="AB42" s="1388">
        <f t="shared" si="4"/>
        <v>1</v>
      </c>
      <c r="AC42" s="1388">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880"/>
      <c r="Q43" s="1384" t="str">
        <f t="shared" si="8"/>
        <v>内部装修</v>
      </c>
      <c r="R43" s="1385" t="s">
        <v>5</v>
      </c>
      <c r="S43" s="1386">
        <f t="shared" si="9"/>
        <v>100</v>
      </c>
      <c r="T43" s="1385" t="s">
        <v>5</v>
      </c>
      <c r="U43" s="1386">
        <f t="shared" si="10"/>
        <v>100</v>
      </c>
      <c r="V43" s="1385" t="s">
        <v>5</v>
      </c>
      <c r="W43" s="1386">
        <f t="shared" si="11"/>
        <v>100</v>
      </c>
      <c r="X43" s="1379"/>
      <c r="Y43" s="3880"/>
      <c r="Z43" s="1387" t="str">
        <f t="shared" si="12"/>
        <v>内部装修</v>
      </c>
      <c r="AA43" s="1388">
        <f t="shared" si="3"/>
        <v>1</v>
      </c>
      <c r="AB43" s="1388">
        <f t="shared" si="4"/>
        <v>1</v>
      </c>
      <c r="AC43" s="1388">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880"/>
      <c r="Q44" s="1384" t="str">
        <f t="shared" si="8"/>
        <v>内部装修维护情况</v>
      </c>
      <c r="R44" s="1385" t="s">
        <v>5</v>
      </c>
      <c r="S44" s="1386">
        <f t="shared" si="9"/>
        <v>100</v>
      </c>
      <c r="T44" s="1385" t="s">
        <v>5</v>
      </c>
      <c r="U44" s="1386">
        <f t="shared" si="10"/>
        <v>100</v>
      </c>
      <c r="V44" s="1385" t="s">
        <v>5</v>
      </c>
      <c r="W44" s="1386">
        <f t="shared" si="11"/>
        <v>100</v>
      </c>
      <c r="X44" s="1379"/>
      <c r="Y44" s="3880"/>
      <c r="Z44" s="1387" t="str">
        <f t="shared" si="12"/>
        <v>内部装修维护情况</v>
      </c>
      <c r="AA44" s="1388">
        <f t="shared" si="3"/>
        <v>1</v>
      </c>
      <c r="AB44" s="1388">
        <f t="shared" si="4"/>
        <v>1</v>
      </c>
      <c r="AC44" s="1388">
        <f t="shared" si="5"/>
        <v>1</v>
      </c>
    </row>
    <row r="45" spans="1:29" s="1117" customFormat="1" ht="15">
      <c r="A45" s="570"/>
      <c r="B45" s="840">
        <v>111</v>
      </c>
      <c r="C45" s="842"/>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880"/>
      <c r="Q45" s="1049">
        <f t="shared" si="8"/>
        <v>111</v>
      </c>
      <c r="R45" s="1380" t="s">
        <v>5</v>
      </c>
      <c r="S45" s="1381">
        <f t="shared" si="9"/>
        <v>100</v>
      </c>
      <c r="T45" s="1380" t="s">
        <v>5</v>
      </c>
      <c r="U45" s="1381">
        <f t="shared" si="10"/>
        <v>100</v>
      </c>
      <c r="V45" s="1380" t="s">
        <v>5</v>
      </c>
      <c r="W45" s="1381">
        <f t="shared" si="11"/>
        <v>100</v>
      </c>
      <c r="X45" s="1382"/>
      <c r="Y45" s="3880"/>
      <c r="Z45" s="1048">
        <f t="shared" si="12"/>
        <v>111</v>
      </c>
      <c r="AA45" s="1383">
        <f t="shared" si="3"/>
        <v>1</v>
      </c>
      <c r="AB45" s="1383">
        <f t="shared" si="4"/>
        <v>1</v>
      </c>
      <c r="AC45" s="1383">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880"/>
      <c r="Q46" s="1384">
        <f t="shared" si="8"/>
        <v>111</v>
      </c>
      <c r="R46" s="1385" t="s">
        <v>5</v>
      </c>
      <c r="S46" s="1386">
        <f t="shared" si="9"/>
        <v>100</v>
      </c>
      <c r="T46" s="1385" t="s">
        <v>5</v>
      </c>
      <c r="U46" s="1386">
        <f t="shared" si="10"/>
        <v>100</v>
      </c>
      <c r="V46" s="1385" t="s">
        <v>5</v>
      </c>
      <c r="W46" s="1386">
        <f t="shared" si="11"/>
        <v>100</v>
      </c>
      <c r="X46" s="1379"/>
      <c r="Y46" s="3880"/>
      <c r="Z46" s="1387">
        <f t="shared" si="12"/>
        <v>111</v>
      </c>
      <c r="AA46" s="1388">
        <f t="shared" si="3"/>
        <v>1</v>
      </c>
      <c r="AB46" s="1388">
        <f t="shared" si="4"/>
        <v>1</v>
      </c>
      <c r="AC46" s="1388">
        <f t="shared" si="5"/>
        <v>1</v>
      </c>
    </row>
    <row r="47" spans="1:29" ht="15.75" thickBot="1">
      <c r="A47" s="848"/>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3954"/>
      <c r="Q47" s="1384">
        <f t="shared" si="8"/>
        <v>111</v>
      </c>
      <c r="R47" s="1385" t="s">
        <v>5</v>
      </c>
      <c r="S47" s="1386">
        <f t="shared" si="9"/>
        <v>100</v>
      </c>
      <c r="T47" s="1385" t="s">
        <v>5</v>
      </c>
      <c r="U47" s="1386">
        <f t="shared" si="10"/>
        <v>100</v>
      </c>
      <c r="V47" s="1385" t="s">
        <v>5</v>
      </c>
      <c r="W47" s="1386">
        <f t="shared" si="11"/>
        <v>100</v>
      </c>
      <c r="X47" s="1379"/>
      <c r="Y47" s="3954"/>
      <c r="Z47" s="1387">
        <f t="shared" si="12"/>
        <v>111</v>
      </c>
      <c r="AA47" s="1388">
        <f t="shared" si="3"/>
        <v>1</v>
      </c>
      <c r="AB47" s="1388">
        <f t="shared" si="4"/>
        <v>1</v>
      </c>
      <c r="AC47" s="1388">
        <f t="shared" si="5"/>
        <v>1</v>
      </c>
    </row>
    <row r="48" spans="1:29" ht="15">
      <c r="A48" s="577" t="s">
        <v>683</v>
      </c>
      <c r="B48" s="849"/>
      <c r="C48" s="2233" t="s">
        <v>0</v>
      </c>
      <c r="D48" s="2234"/>
      <c r="E48" s="2235"/>
      <c r="F48" s="2236"/>
      <c r="G48" s="2237"/>
      <c r="H48" s="2238"/>
      <c r="I48" s="2235"/>
      <c r="J48" s="2238"/>
      <c r="K48" s="1418"/>
      <c r="L48" s="1866"/>
      <c r="M48" s="1856"/>
      <c r="N48" s="1856"/>
      <c r="O48" s="1856"/>
      <c r="P48" s="3882" t="str">
        <f>A48</f>
        <v>成交单价（元/平方米）</v>
      </c>
      <c r="Q48" s="3843"/>
      <c r="R48" s="3953">
        <f>E48</f>
        <v>0</v>
      </c>
      <c r="S48" s="3953"/>
      <c r="T48" s="3953">
        <f>G48</f>
        <v>0</v>
      </c>
      <c r="U48" s="3953"/>
      <c r="V48" s="3953">
        <f>I48</f>
        <v>0</v>
      </c>
      <c r="W48" s="3953"/>
      <c r="X48" s="1374"/>
      <c r="Y48" s="1393"/>
      <c r="Z48" s="1374"/>
      <c r="AA48" s="1374"/>
      <c r="AB48" s="1374"/>
      <c r="AC48" s="1374"/>
    </row>
    <row r="49" spans="1:29" ht="15.75" thickBot="1">
      <c r="A49" s="585" t="s">
        <v>2042</v>
      </c>
      <c r="B49" s="850"/>
      <c r="C49" s="2239" t="e">
        <f>R50</f>
        <v>#DIV/0!</v>
      </c>
      <c r="D49" s="2756" t="s">
        <v>2252</v>
      </c>
      <c r="E49" s="2240" t="e">
        <f>R49</f>
        <v>#DIV/0!</v>
      </c>
      <c r="F49" s="2757"/>
      <c r="G49" s="2239" t="e">
        <f>T49</f>
        <v>#DIV/0!</v>
      </c>
      <c r="H49" s="2757"/>
      <c r="I49" s="2240" t="e">
        <f>V49</f>
        <v>#DIV/0!</v>
      </c>
      <c r="J49" s="2757"/>
      <c r="K49" s="2765">
        <f>F49+H49+J49</f>
        <v>0</v>
      </c>
      <c r="L49" s="1866"/>
      <c r="M49" s="1856"/>
      <c r="N49" s="1856"/>
      <c r="O49" s="1856"/>
      <c r="P49" s="3882" t="str">
        <f>A49</f>
        <v>比较价格（元/平方米）</v>
      </c>
      <c r="Q49" s="3843"/>
      <c r="R49" s="3953" t="e">
        <f>IF(F1="售价",ROUND(PRODUCT(R48,AA7:AA47),0),ROUND(PRODUCT(R48,AA7:AA47),1))</f>
        <v>#DIV/0!</v>
      </c>
      <c r="S49" s="3953"/>
      <c r="T49" s="3953" t="e">
        <f>IF(F1="售价",ROUND(PRODUCT(T48,AB7:AB47),0),ROUND(PRODUCT(T48,AB7:AB47),1))</f>
        <v>#DIV/0!</v>
      </c>
      <c r="U49" s="3953"/>
      <c r="V49" s="3953" t="e">
        <f>IF(F1="售价",ROUND(PRODUCT(V48,AC7:AC47),0),ROUND(PRODUCT(V48,AC7:AC47),1))</f>
        <v>#DIV/0!</v>
      </c>
      <c r="W49" s="3953"/>
      <c r="X49" s="1374"/>
      <c r="Y49" s="1374"/>
      <c r="Z49" s="1374"/>
      <c r="AA49" s="1374"/>
      <c r="AB49" s="1374"/>
      <c r="AC49" s="1374"/>
    </row>
    <row r="50" spans="1:29" ht="15.75" thickBot="1">
      <c r="A50" s="589" t="s">
        <v>2189</v>
      </c>
      <c r="B50" s="590"/>
      <c r="C50" s="2241" t="e">
        <f>R50</f>
        <v>#DIV/0!</v>
      </c>
      <c r="D50" s="2241"/>
      <c r="E50" s="2241"/>
      <c r="F50" s="2241"/>
      <c r="G50" s="2241"/>
      <c r="H50" s="2241"/>
      <c r="I50" s="2241"/>
      <c r="J50" s="2241"/>
      <c r="K50" s="1419"/>
      <c r="L50" s="1866"/>
      <c r="M50" s="1856"/>
      <c r="N50" s="1856"/>
      <c r="O50" s="1856"/>
      <c r="P50" s="3977" t="str">
        <f>A50</f>
        <v>估价对象XX用房的比较价格（楼面单价，元/平方米）</v>
      </c>
      <c r="Q50" s="3882"/>
      <c r="R50" s="3952" t="e">
        <f>IF(F1="售价",ROUND(IF(D49="简单平均",AVERAGE(R49:V49),R49*F49+T49*H49+V49*J49),0),ROUND(IF(D49="简单平均",AVERAGE(R49:V49),R49*F49+T49*H49+V49*J49),1))</f>
        <v>#DIV/0!</v>
      </c>
      <c r="S50" s="3952"/>
      <c r="T50" s="3952"/>
      <c r="U50" s="3952"/>
      <c r="V50" s="3952"/>
      <c r="W50" s="3952"/>
      <c r="X50" s="1374"/>
      <c r="Y50" s="1374"/>
      <c r="Z50" s="1374"/>
      <c r="AA50" s="1374"/>
      <c r="AB50" s="1374"/>
      <c r="AC50" s="1374"/>
    </row>
    <row r="51" spans="1:29">
      <c r="A51" s="2956"/>
      <c r="B51" s="2956"/>
      <c r="C51" s="2956"/>
      <c r="D51" s="2956"/>
      <c r="E51" s="2956"/>
      <c r="F51" s="2956"/>
      <c r="G51" s="2958"/>
      <c r="H51" s="2956"/>
      <c r="I51" s="2956"/>
      <c r="J51" s="2956"/>
      <c r="K51" s="2959"/>
      <c r="L51" s="1871"/>
      <c r="M51" s="1867"/>
      <c r="N51" s="1867"/>
      <c r="O51" s="1867"/>
      <c r="P51" s="1926"/>
      <c r="Q51" s="1867"/>
      <c r="R51" s="1867"/>
      <c r="S51" s="1867"/>
      <c r="T51" s="1867"/>
      <c r="U51" s="1867"/>
      <c r="V51" s="1867"/>
      <c r="W51" s="1867"/>
      <c r="X51" s="1867"/>
      <c r="Y51" s="1867"/>
      <c r="Z51" s="1867"/>
      <c r="AA51" s="1867"/>
      <c r="AB51" s="1867"/>
      <c r="AC51" s="1867"/>
    </row>
    <row r="52" spans="1:29">
      <c r="A52" s="2956"/>
      <c r="B52" s="2956"/>
      <c r="C52" s="2956"/>
      <c r="D52" s="2956"/>
      <c r="E52" s="2956"/>
      <c r="F52" s="2956"/>
      <c r="G52" s="2956"/>
      <c r="H52" s="2956"/>
      <c r="I52" s="2956"/>
      <c r="J52" s="2956"/>
      <c r="K52" s="2959"/>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1"/>
      <c r="M54" s="1867"/>
      <c r="N54" s="1867"/>
      <c r="O54" s="1867"/>
      <c r="P54" s="1926"/>
      <c r="Q54" s="1867"/>
      <c r="R54" s="1867"/>
      <c r="S54" s="1867"/>
      <c r="T54" s="1867"/>
      <c r="U54" s="1867"/>
      <c r="V54" s="1867"/>
      <c r="W54" s="1867"/>
      <c r="X54" s="1867"/>
      <c r="Y54" s="1867"/>
      <c r="Z54" s="1867"/>
      <c r="AA54" s="1867"/>
      <c r="AB54" s="1867"/>
      <c r="AC54" s="1867"/>
    </row>
    <row r="55" spans="1:29" s="1204"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4"/>
      <c r="M55" s="1868"/>
      <c r="N55" s="1868"/>
      <c r="O55" s="1868"/>
      <c r="P55" s="1927"/>
      <c r="Q55" s="1868"/>
      <c r="R55" s="1868"/>
      <c r="S55" s="1868"/>
      <c r="T55" s="1868"/>
      <c r="U55" s="1868"/>
      <c r="V55" s="1868"/>
      <c r="W55" s="1868"/>
      <c r="X55" s="1868"/>
      <c r="Y55" s="1868"/>
      <c r="Z55" s="1868"/>
      <c r="AA55" s="1868"/>
      <c r="AB55" s="1868"/>
      <c r="AC55" s="1868"/>
    </row>
    <row r="56" spans="1:29" s="1204"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6" t="s">
        <v>522</v>
      </c>
      <c r="B58" s="1374"/>
      <c r="C58" s="1395"/>
      <c r="D58" s="1395"/>
      <c r="E58" s="1395"/>
      <c r="F58" s="1397"/>
      <c r="G58" s="1397"/>
      <c r="H58" s="1395"/>
      <c r="I58" s="1395"/>
      <c r="J58" s="1395"/>
      <c r="K58" s="1398"/>
      <c r="L58" s="1394"/>
      <c r="M58" s="1395"/>
      <c r="N58" s="1878"/>
      <c r="O58" s="1878"/>
      <c r="P58" s="1928"/>
      <c r="Q58" s="1879"/>
      <c r="R58" s="1867"/>
      <c r="S58" s="1867"/>
      <c r="T58" s="1867"/>
      <c r="U58" s="1867"/>
      <c r="V58" s="1867"/>
      <c r="W58" s="1867"/>
      <c r="X58" s="1867"/>
      <c r="Y58" s="1867"/>
      <c r="Z58" s="1867"/>
      <c r="AA58" s="1867"/>
      <c r="AB58" s="1867"/>
      <c r="AC58" s="1867"/>
    </row>
    <row r="59" spans="1:29" s="1206" customFormat="1" ht="15">
      <c r="A59" s="613" t="s">
        <v>478</v>
      </c>
      <c r="B59" s="614"/>
      <c r="C59" s="2281" t="str">
        <f>YEAR(C7)&amp;"-"&amp;MONTH(C7)</f>
        <v>2023-9</v>
      </c>
      <c r="D59" s="2283">
        <f>EDATE(C59,-1)</f>
        <v>45139</v>
      </c>
      <c r="E59" s="2283">
        <f t="shared" ref="E59:O59" si="13">EDATE(D59,-1)</f>
        <v>45108</v>
      </c>
      <c r="F59" s="2283">
        <f t="shared" si="13"/>
        <v>45078</v>
      </c>
      <c r="G59" s="2283">
        <f t="shared" si="13"/>
        <v>45047</v>
      </c>
      <c r="H59" s="2283">
        <f t="shared" si="13"/>
        <v>45017</v>
      </c>
      <c r="I59" s="2283">
        <f t="shared" si="13"/>
        <v>44986</v>
      </c>
      <c r="J59" s="2283">
        <f t="shared" si="13"/>
        <v>44958</v>
      </c>
      <c r="K59" s="2283">
        <f t="shared" si="13"/>
        <v>44927</v>
      </c>
      <c r="L59" s="2283">
        <f t="shared" si="13"/>
        <v>44896</v>
      </c>
      <c r="M59" s="2283">
        <f t="shared" si="13"/>
        <v>44866</v>
      </c>
      <c r="N59" s="2283">
        <f t="shared" si="13"/>
        <v>44835</v>
      </c>
      <c r="O59" s="2283">
        <f t="shared" si="13"/>
        <v>44805</v>
      </c>
      <c r="P59" s="1929"/>
      <c r="Q59" s="1882"/>
      <c r="R59" s="1882"/>
      <c r="S59" s="1882"/>
      <c r="T59" s="1882"/>
      <c r="U59" s="1882"/>
      <c r="V59" s="1882"/>
      <c r="W59" s="1882"/>
      <c r="X59" s="1882"/>
      <c r="Y59" s="1882"/>
      <c r="Z59" s="1882"/>
      <c r="AA59" s="1882"/>
      <c r="AB59" s="1882"/>
      <c r="AC59" s="1882"/>
    </row>
    <row r="60" spans="1:29" s="1117" customFormat="1" ht="15">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7" customFormat="1" ht="15.7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7" customFormat="1" ht="15">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7" customFormat="1" ht="15.75" thickBot="1">
      <c r="A63" s="627"/>
      <c r="B63" s="616"/>
      <c r="C63" s="851">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5.75"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7.75"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5.75"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199" customFormat="1" ht="15.75"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199" customFormat="1" ht="15.75"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199" customFormat="1" ht="15.75"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199" customFormat="1" ht="15.75"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199" customFormat="1" ht="15.75"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199" customFormat="1" ht="15.75"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7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75" thickTop="1">
      <c r="A81" s="637"/>
      <c r="B81" s="1651" t="s">
        <v>1840</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75" thickTop="1">
      <c r="A83" s="637"/>
      <c r="B83" s="2204" t="s">
        <v>1841</v>
      </c>
      <c r="C83" s="2205" t="s">
        <v>1842</v>
      </c>
      <c r="D83" s="2205" t="s">
        <v>1843</v>
      </c>
      <c r="E83" s="2205" t="s">
        <v>1844</v>
      </c>
      <c r="F83" s="2205" t="s">
        <v>1845</v>
      </c>
      <c r="G83" s="2205" t="s">
        <v>1846</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5.75" thickBot="1">
      <c r="A84" s="637"/>
      <c r="B84" s="649"/>
      <c r="C84" s="647">
        <v>100</v>
      </c>
      <c r="D84" s="647">
        <f>C84-$K21</f>
        <v>100</v>
      </c>
      <c r="E84" s="647">
        <f>D84-$K21</f>
        <v>100</v>
      </c>
      <c r="F84" s="647">
        <f>E84-$K21</f>
        <v>100</v>
      </c>
      <c r="G84" s="647">
        <f>F84-$K21</f>
        <v>100</v>
      </c>
      <c r="H84" s="897"/>
      <c r="I84" s="897"/>
      <c r="J84" s="897"/>
      <c r="K84" s="897"/>
      <c r="L84" s="897"/>
      <c r="M84" s="529"/>
      <c r="N84" s="1887"/>
      <c r="O84" s="1887"/>
      <c r="P84" s="1932"/>
      <c r="Q84" s="1879"/>
      <c r="R84" s="1867"/>
      <c r="S84" s="1867"/>
      <c r="T84" s="1867"/>
      <c r="U84" s="1867"/>
      <c r="V84" s="1867"/>
      <c r="W84" s="1867"/>
      <c r="X84" s="1867"/>
      <c r="Y84" s="1867"/>
      <c r="Z84" s="1867"/>
      <c r="AA84" s="1867"/>
      <c r="AB84" s="1867"/>
      <c r="AC84" s="1867"/>
    </row>
    <row r="85" spans="1:29" ht="15.7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7" customFormat="1" ht="27.75" thickTop="1">
      <c r="A87" s="677"/>
      <c r="B87" s="641" t="s">
        <v>725</v>
      </c>
      <c r="C87" s="656"/>
      <c r="D87" s="656"/>
      <c r="E87" s="656"/>
      <c r="F87" s="656"/>
      <c r="G87" s="656"/>
      <c r="H87" s="656"/>
      <c r="I87" s="656"/>
      <c r="J87" s="656"/>
      <c r="K87" s="656"/>
      <c r="L87" s="852"/>
      <c r="M87" s="853"/>
      <c r="N87" s="1883"/>
      <c r="O87" s="1883"/>
      <c r="P87" s="1932"/>
      <c r="Q87" s="1879"/>
      <c r="R87" s="1745"/>
      <c r="S87" s="1745"/>
      <c r="T87" s="1745"/>
      <c r="U87" s="1745"/>
      <c r="V87" s="1745"/>
      <c r="W87" s="1745"/>
      <c r="X87" s="1745"/>
      <c r="Y87" s="1745"/>
      <c r="Z87" s="1745"/>
      <c r="AA87" s="1745"/>
      <c r="AB87" s="1745"/>
      <c r="AC87" s="1745"/>
    </row>
    <row r="88" spans="1:29" s="1117"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7" customFormat="1" ht="15.75" thickTop="1">
      <c r="A89" s="677"/>
      <c r="B89" s="641" t="str">
        <f>B27</f>
        <v>楼层</v>
      </c>
      <c r="C89" s="656"/>
      <c r="D89" s="656"/>
      <c r="E89" s="656"/>
      <c r="F89" s="854"/>
      <c r="G89" s="656"/>
      <c r="H89" s="656"/>
      <c r="I89" s="656"/>
      <c r="J89" s="656"/>
      <c r="K89" s="656"/>
      <c r="L89" s="656"/>
      <c r="M89" s="853"/>
      <c r="N89" s="1883"/>
      <c r="O89" s="1883"/>
      <c r="P89" s="1932"/>
      <c r="Q89" s="1879"/>
      <c r="R89" s="1745"/>
      <c r="S89" s="1745"/>
      <c r="T89" s="1745"/>
      <c r="U89" s="1745"/>
      <c r="V89" s="1745"/>
      <c r="W89" s="1745"/>
      <c r="X89" s="1745"/>
      <c r="Y89" s="1745"/>
      <c r="Z89" s="1745"/>
      <c r="AA89" s="1745"/>
      <c r="AB89" s="1745"/>
      <c r="AC89" s="1745"/>
    </row>
    <row r="90" spans="1:29" s="1117"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199" customFormat="1" ht="15.75"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199"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7"/>
      <c r="B93" s="641">
        <f>B29</f>
        <v>111</v>
      </c>
      <c r="C93" s="656"/>
      <c r="D93" s="656"/>
      <c r="E93" s="656"/>
      <c r="F93" s="656"/>
      <c r="G93" s="656"/>
      <c r="H93" s="656"/>
      <c r="I93" s="656"/>
      <c r="J93" s="656"/>
      <c r="K93" s="656"/>
      <c r="L93" s="852"/>
      <c r="M93" s="853"/>
      <c r="N93" s="1885"/>
      <c r="O93" s="1885"/>
      <c r="P93" s="1932"/>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5.75"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5.75"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5.75"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5.75"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5.75"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5.75" thickBot="1">
      <c r="A100" s="855"/>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199"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199" customFormat="1" ht="15.75"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6">
        <v>0.5</v>
      </c>
      <c r="D111" s="856">
        <v>0.6</v>
      </c>
      <c r="E111" s="856">
        <v>0.7</v>
      </c>
      <c r="F111" s="856">
        <v>0.8</v>
      </c>
      <c r="G111" s="856">
        <v>0.9</v>
      </c>
      <c r="H111" s="856">
        <v>1.0001</v>
      </c>
      <c r="I111" s="867"/>
      <c r="J111" s="867"/>
      <c r="K111" s="868"/>
      <c r="L111" s="869"/>
      <c r="M111" s="870"/>
      <c r="N111" s="1885"/>
      <c r="O111" s="1885"/>
      <c r="P111" s="1932"/>
      <c r="Q111" s="1879"/>
      <c r="R111" s="1867"/>
      <c r="S111" s="1867"/>
      <c r="T111" s="1867"/>
      <c r="U111" s="1867"/>
      <c r="V111" s="1867"/>
      <c r="W111" s="1867"/>
      <c r="X111" s="1867"/>
      <c r="Y111" s="1867"/>
      <c r="Z111" s="1867"/>
      <c r="AA111" s="1867"/>
      <c r="AB111" s="1867"/>
      <c r="AC111" s="1867"/>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199"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199"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1839</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79" t="s">
        <v>727</v>
      </c>
      <c r="C119" s="686"/>
      <c r="D119" s="686"/>
      <c r="E119" s="686"/>
      <c r="F119" s="686"/>
      <c r="G119" s="686"/>
      <c r="H119" s="686"/>
      <c r="I119" s="686"/>
      <c r="J119" s="686"/>
      <c r="K119" s="686"/>
      <c r="L119" s="880"/>
      <c r="M119" s="881"/>
      <c r="N119" s="1887"/>
      <c r="O119" s="1887"/>
      <c r="P119" s="1937"/>
      <c r="Q119" s="1925"/>
      <c r="R119" s="1867"/>
      <c r="S119" s="1867"/>
      <c r="T119" s="1867"/>
      <c r="U119" s="1867"/>
      <c r="V119" s="1867"/>
      <c r="W119" s="1867"/>
      <c r="X119" s="1867"/>
      <c r="Y119" s="1867"/>
      <c r="Z119" s="1867"/>
      <c r="AA119" s="1867"/>
      <c r="AB119" s="1867"/>
      <c r="AC119" s="1867"/>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199"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199" customFormat="1" ht="15.75"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199" customFormat="1" ht="15"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199" customFormat="1" ht="15.75"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5"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5.75"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5"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5.75" thickBot="1">
      <c r="A132" s="855"/>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9" priority="20" stopIfTrue="1" operator="containsText" text="超过">
      <formula>NOT(ISERROR(SEARCH("超过",F53)))</formula>
    </cfRule>
  </conditionalFormatting>
  <conditionalFormatting sqref="H55">
    <cfRule type="containsText" dxfId="78" priority="19" stopIfTrue="1" operator="containsText" text="超过">
      <formula>NOT(ISERROR(SEARCH("超过",H55)))</formula>
    </cfRule>
  </conditionalFormatting>
  <conditionalFormatting sqref="F55">
    <cfRule type="containsText" dxfId="77" priority="18" stopIfTrue="1" operator="containsText" text="超过">
      <formula>NOT(ISERROR(SEARCH("超过",F55)))</formula>
    </cfRule>
  </conditionalFormatting>
  <conditionalFormatting sqref="F54 H54">
    <cfRule type="containsText" dxfId="76" priority="17" stopIfTrue="1" operator="containsText" text="超过">
      <formula>NOT(ISERROR(SEARCH("超过",F54)))</formula>
    </cfRule>
  </conditionalFormatting>
  <conditionalFormatting sqref="E53">
    <cfRule type="expression" dxfId="75" priority="16" stopIfTrue="1">
      <formula>$F$53="超过30%"</formula>
    </cfRule>
  </conditionalFormatting>
  <conditionalFormatting sqref="E54">
    <cfRule type="expression" dxfId="74" priority="15" stopIfTrue="1">
      <formula>$F$54="超过20%"</formula>
    </cfRule>
  </conditionalFormatting>
  <conditionalFormatting sqref="E55">
    <cfRule type="expression" dxfId="73" priority="14" stopIfTrue="1">
      <formula>$F$55="超过30%"</formula>
    </cfRule>
  </conditionalFormatting>
  <conditionalFormatting sqref="G55">
    <cfRule type="expression" dxfId="72" priority="13" stopIfTrue="1">
      <formula>$H$55="超过30%"</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J53">
    <cfRule type="containsText" dxfId="69" priority="10" stopIfTrue="1" operator="containsText" text="超过">
      <formula>NOT(ISERROR(SEARCH("超过",J53)))</formula>
    </cfRule>
  </conditionalFormatting>
  <conditionalFormatting sqref="J55">
    <cfRule type="containsText" dxfId="68" priority="9" stopIfTrue="1" operator="containsText" text="超过">
      <formula>NOT(ISERROR(SEARCH("超过",J55)))</formula>
    </cfRule>
  </conditionalFormatting>
  <conditionalFormatting sqref="J54">
    <cfRule type="containsText" dxfId="67" priority="8" stopIfTrue="1" operator="containsText" text="超过">
      <formula>NOT(ISERROR(SEARCH("超过",J54)))</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F49">
    <cfRule type="expression" dxfId="63" priority="4">
      <formula>$D$49="简单平均"</formula>
    </cfRule>
  </conditionalFormatting>
  <conditionalFormatting sqref="H49">
    <cfRule type="expression" dxfId="62" priority="3">
      <formula>$D$49="简单平均"</formula>
    </cfRule>
  </conditionalFormatting>
  <conditionalFormatting sqref="J49">
    <cfRule type="expression" dxfId="61" priority="2">
      <formula>$D$49="简单平均"</formula>
    </cfRule>
  </conditionalFormatting>
  <conditionalFormatting sqref="F7:F47 H7:H47 J7:J47">
    <cfRule type="cellIs" dxfId="60"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728</v>
      </c>
      <c r="C1" s="474" t="s">
        <v>667</v>
      </c>
      <c r="D1" s="814"/>
      <c r="E1" s="476"/>
      <c r="F1" s="2286"/>
      <c r="G1" s="1409" t="s">
        <v>668</v>
      </c>
      <c r="H1" s="476"/>
      <c r="I1" s="476"/>
      <c r="J1" s="476"/>
      <c r="K1" s="477"/>
      <c r="L1" s="2952"/>
      <c r="M1" s="2953"/>
      <c r="N1" s="2953"/>
      <c r="O1" s="2953"/>
      <c r="P1" s="1854"/>
      <c r="Q1" s="1854"/>
      <c r="R1" s="1854"/>
      <c r="S1" s="1854"/>
      <c r="T1" s="1854"/>
      <c r="U1" s="1854"/>
      <c r="V1" s="1854"/>
      <c r="W1" s="1854"/>
      <c r="X1" s="1854"/>
      <c r="Y1" s="1854"/>
      <c r="Z1" s="1854"/>
      <c r="AA1" s="1854"/>
      <c r="AB1" s="1854"/>
      <c r="AC1" s="1784"/>
    </row>
    <row r="2" spans="1:29" s="1196"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6"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2" t="s">
        <v>470</v>
      </c>
      <c r="B4" s="483"/>
      <c r="C4" s="3849" t="s">
        <v>471</v>
      </c>
      <c r="D4" s="3850"/>
      <c r="E4" s="3889" t="s">
        <v>472</v>
      </c>
      <c r="F4" s="3890"/>
      <c r="G4" s="3849" t="s">
        <v>473</v>
      </c>
      <c r="H4" s="3850"/>
      <c r="I4" s="3849" t="s">
        <v>474</v>
      </c>
      <c r="J4" s="3850"/>
      <c r="K4" s="484" t="s">
        <v>475</v>
      </c>
      <c r="L4" s="1855"/>
      <c r="M4" s="1856"/>
      <c r="N4" s="1856"/>
      <c r="O4" s="1856"/>
      <c r="P4" s="3851" t="s">
        <v>476</v>
      </c>
      <c r="Q4" s="3852"/>
      <c r="R4" s="3857" t="s">
        <v>472</v>
      </c>
      <c r="S4" s="3858"/>
      <c r="T4" s="3857" t="s">
        <v>473</v>
      </c>
      <c r="U4" s="3858"/>
      <c r="V4" s="3844" t="s">
        <v>474</v>
      </c>
      <c r="W4" s="3844"/>
      <c r="X4" s="1379"/>
      <c r="Y4" s="3857" t="s">
        <v>476</v>
      </c>
      <c r="Z4" s="3858"/>
      <c r="AA4" s="3846" t="s">
        <v>472</v>
      </c>
      <c r="AB4" s="3847" t="s">
        <v>473</v>
      </c>
      <c r="AC4" s="3846" t="s">
        <v>474</v>
      </c>
    </row>
    <row r="5" spans="1:29" ht="15">
      <c r="A5" s="485"/>
      <c r="B5" s="486"/>
      <c r="C5" s="3867" t="s">
        <v>2183</v>
      </c>
      <c r="D5" s="3866"/>
      <c r="E5" s="3891" t="s">
        <v>2184</v>
      </c>
      <c r="F5" s="3892"/>
      <c r="G5" s="3867" t="s">
        <v>2185</v>
      </c>
      <c r="H5" s="3866"/>
      <c r="I5" s="3867" t="s">
        <v>2186</v>
      </c>
      <c r="J5" s="3866"/>
      <c r="K5" s="484"/>
      <c r="L5" s="1855"/>
      <c r="M5" s="1856"/>
      <c r="N5" s="1856"/>
      <c r="O5" s="1856"/>
      <c r="P5" s="3853"/>
      <c r="Q5" s="3854"/>
      <c r="R5" s="3859"/>
      <c r="S5" s="3860"/>
      <c r="T5" s="3859"/>
      <c r="U5" s="3860"/>
      <c r="V5" s="3844"/>
      <c r="W5" s="3844"/>
      <c r="X5" s="1379"/>
      <c r="Y5" s="3859"/>
      <c r="Z5" s="3860"/>
      <c r="AA5" s="3847"/>
      <c r="AB5" s="3847"/>
      <c r="AC5" s="3847"/>
    </row>
    <row r="6" spans="1:29" ht="15.75" thickBot="1">
      <c r="A6" s="487"/>
      <c r="B6" s="488"/>
      <c r="C6" s="3863" t="s">
        <v>2187</v>
      </c>
      <c r="D6" s="3864"/>
      <c r="E6" s="3887" t="s">
        <v>2187</v>
      </c>
      <c r="F6" s="3888"/>
      <c r="G6" s="3863" t="s">
        <v>2187</v>
      </c>
      <c r="H6" s="3864"/>
      <c r="I6" s="3863" t="s">
        <v>2187</v>
      </c>
      <c r="J6" s="3864"/>
      <c r="K6" s="484" t="s">
        <v>477</v>
      </c>
      <c r="L6" s="1855"/>
      <c r="M6" s="1856"/>
      <c r="N6" s="1856"/>
      <c r="O6" s="1856"/>
      <c r="P6" s="3855"/>
      <c r="Q6" s="3856"/>
      <c r="R6" s="3859"/>
      <c r="S6" s="3860"/>
      <c r="T6" s="3861"/>
      <c r="U6" s="3862"/>
      <c r="V6" s="3844"/>
      <c r="W6" s="3844"/>
      <c r="X6" s="1379"/>
      <c r="Y6" s="3861"/>
      <c r="Z6" s="3862"/>
      <c r="AA6" s="3848"/>
      <c r="AB6" s="3848"/>
      <c r="AC6" s="3848"/>
    </row>
    <row r="7" spans="1:29" s="1117" customFormat="1" ht="15.75" thickBot="1">
      <c r="A7" s="2391"/>
      <c r="B7" s="2398" t="s">
        <v>478</v>
      </c>
      <c r="C7" s="489">
        <f>'数据-取费表'!B2</f>
        <v>45175</v>
      </c>
      <c r="D7" s="490">
        <v>100</v>
      </c>
      <c r="E7" s="491"/>
      <c r="F7" s="492">
        <f>SUMIF(52:52,YEAR(E7)&amp;"-"&amp;MONTH(E7),53:53)</f>
        <v>0</v>
      </c>
      <c r="G7" s="491"/>
      <c r="H7" s="490">
        <f>SUMIF(52:52,YEAR(G7)&amp;"-"&amp;MONTH(G7),53:53)</f>
        <v>0</v>
      </c>
      <c r="I7" s="491"/>
      <c r="J7" s="490">
        <f>SUMIF(52:52,YEAR(I7)&amp;"-"&amp;MONTH(I7),53:53)</f>
        <v>0</v>
      </c>
      <c r="K7" s="494"/>
      <c r="L7" s="1857"/>
      <c r="M7" s="1858"/>
      <c r="N7" s="1858"/>
      <c r="O7" s="1858"/>
      <c r="P7" s="3874" t="s">
        <v>479</v>
      </c>
      <c r="Q7" s="3876"/>
      <c r="R7" s="1380" t="s">
        <v>5</v>
      </c>
      <c r="S7" s="1381">
        <f t="shared" ref="S7:S15" si="0">F7</f>
        <v>0</v>
      </c>
      <c r="T7" s="1380" t="s">
        <v>5</v>
      </c>
      <c r="U7" s="1381">
        <f t="shared" ref="U7:U15" si="1">H7</f>
        <v>0</v>
      </c>
      <c r="V7" s="1380" t="s">
        <v>5</v>
      </c>
      <c r="W7" s="1381">
        <f t="shared" ref="W7:W15" si="2">J7</f>
        <v>0</v>
      </c>
      <c r="X7" s="1382"/>
      <c r="Y7" s="3874" t="s">
        <v>479</v>
      </c>
      <c r="Z7" s="3875"/>
      <c r="AA7" s="1383" t="e">
        <f>D7/F7</f>
        <v>#DIV/0!</v>
      </c>
      <c r="AB7" s="1383" t="e">
        <f>D7/H7</f>
        <v>#DIV/0!</v>
      </c>
      <c r="AC7" s="1383" t="e">
        <f>D7/J7</f>
        <v>#DIV/0!</v>
      </c>
    </row>
    <row r="8" spans="1:29" s="1117"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874" t="s">
        <v>482</v>
      </c>
      <c r="Q8" s="3875"/>
      <c r="R8" s="1380" t="s">
        <v>5</v>
      </c>
      <c r="S8" s="1381">
        <f t="shared" si="0"/>
        <v>0</v>
      </c>
      <c r="T8" s="1380" t="s">
        <v>5</v>
      </c>
      <c r="U8" s="1381">
        <f t="shared" si="1"/>
        <v>0</v>
      </c>
      <c r="V8" s="1380" t="s">
        <v>5</v>
      </c>
      <c r="W8" s="1381">
        <f t="shared" si="2"/>
        <v>0</v>
      </c>
      <c r="X8" s="1382"/>
      <c r="Y8" s="3874" t="s">
        <v>482</v>
      </c>
      <c r="Z8" s="3875"/>
      <c r="AA8" s="1383" t="e">
        <f t="shared" ref="AA8:AA40" si="3">D8/F8</f>
        <v>#DIV/0!</v>
      </c>
      <c r="AB8" s="1383" t="e">
        <f t="shared" ref="AB8:AB40" si="4">D8/H8</f>
        <v>#DIV/0!</v>
      </c>
      <c r="AC8" s="1383" t="e">
        <f t="shared" ref="AC8:AC40" si="5">D8/J8</f>
        <v>#DIV/0!</v>
      </c>
    </row>
    <row r="9" spans="1:29" s="1117" customFormat="1" ht="15">
      <c r="A9" s="2393"/>
      <c r="B9" s="2400" t="s">
        <v>2038</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843" t="s">
        <v>484</v>
      </c>
      <c r="Q9" s="1049" t="str">
        <f t="shared" ref="Q9:Q15" si="6">B9</f>
        <v>用途</v>
      </c>
      <c r="R9" s="1380" t="s">
        <v>5</v>
      </c>
      <c r="S9" s="1381">
        <f t="shared" si="0"/>
        <v>100</v>
      </c>
      <c r="T9" s="1380" t="s">
        <v>5</v>
      </c>
      <c r="U9" s="1381">
        <f t="shared" si="1"/>
        <v>100</v>
      </c>
      <c r="V9" s="1380" t="s">
        <v>5</v>
      </c>
      <c r="W9" s="1381">
        <f t="shared" si="2"/>
        <v>100</v>
      </c>
      <c r="X9" s="1382"/>
      <c r="Y9" s="3791" t="s">
        <v>485</v>
      </c>
      <c r="Z9" s="1048" t="str">
        <f t="shared" ref="Z9:Z15" si="7">Q9</f>
        <v>用途</v>
      </c>
      <c r="AA9" s="1383">
        <f t="shared" si="3"/>
        <v>1</v>
      </c>
      <c r="AB9" s="1383">
        <f t="shared" si="4"/>
        <v>1</v>
      </c>
      <c r="AC9" s="1383">
        <f t="shared" si="5"/>
        <v>1</v>
      </c>
    </row>
    <row r="10" spans="1:29" s="1198" customFormat="1" ht="27">
      <c r="A10" s="2394"/>
      <c r="B10" s="2399" t="s">
        <v>2039</v>
      </c>
      <c r="C10" s="3659"/>
      <c r="D10" s="246">
        <v>100</v>
      </c>
      <c r="E10" s="3659"/>
      <c r="F10" s="246">
        <f>SUMIF(59:59,E10,60:60)-SUMIF(59:59,C10,60:60)+100</f>
        <v>100</v>
      </c>
      <c r="G10" s="3660"/>
      <c r="H10" s="246">
        <f>SUMIF(59:59,G10,60:60)-SUMIF(59:59,C10,60:60)+100</f>
        <v>100</v>
      </c>
      <c r="I10" s="3659"/>
      <c r="J10" s="246">
        <f>SUMIF(59:59,I10,60:60)-SUMIF(59:59,C10,60:60)+100</f>
        <v>100</v>
      </c>
      <c r="K10" s="494"/>
      <c r="L10" s="1860"/>
      <c r="M10" s="1899"/>
      <c r="N10" s="1899"/>
      <c r="O10" s="1861"/>
      <c r="P10" s="3843"/>
      <c r="Q10" s="1049" t="str">
        <f t="shared" si="6"/>
        <v>土地使用年限（年）</v>
      </c>
      <c r="R10" s="1380" t="s">
        <v>5</v>
      </c>
      <c r="S10" s="1381">
        <f t="shared" si="0"/>
        <v>100</v>
      </c>
      <c r="T10" s="1380" t="s">
        <v>5</v>
      </c>
      <c r="U10" s="1381">
        <f t="shared" si="1"/>
        <v>100</v>
      </c>
      <c r="V10" s="1380" t="s">
        <v>5</v>
      </c>
      <c r="W10" s="1381">
        <f t="shared" si="2"/>
        <v>100</v>
      </c>
      <c r="X10" s="1382"/>
      <c r="Y10" s="3791"/>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843"/>
      <c r="Q11" s="1049" t="str">
        <f t="shared" si="6"/>
        <v>容积率</v>
      </c>
      <c r="R11" s="1380" t="s">
        <v>5</v>
      </c>
      <c r="S11" s="1381" t="e">
        <f t="shared" si="0"/>
        <v>#N/A</v>
      </c>
      <c r="T11" s="1380" t="s">
        <v>5</v>
      </c>
      <c r="U11" s="1381" t="e">
        <f t="shared" si="1"/>
        <v>#N/A</v>
      </c>
      <c r="V11" s="1380" t="s">
        <v>5</v>
      </c>
      <c r="W11" s="1381" t="e">
        <f t="shared" si="2"/>
        <v>#N/A</v>
      </c>
      <c r="X11" s="1382"/>
      <c r="Y11" s="3791"/>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SUMIF(64:64,E12,65:65)-SUMIF(64:64,C12,65:65)+100</f>
        <v>100</v>
      </c>
      <c r="G12" s="882"/>
      <c r="H12" s="246">
        <f>SUMIF(64:64,G12,65:65)-SUMIF(64:64,C12,65:65)+100</f>
        <v>100</v>
      </c>
      <c r="I12" s="842"/>
      <c r="J12" s="246">
        <f>SUMIF(64:64,I12,65:65)-SUMIF(64:64,C12,65:65)+100</f>
        <v>100</v>
      </c>
      <c r="K12" s="551"/>
      <c r="L12" s="1857"/>
      <c r="M12" s="1858"/>
      <c r="N12" s="1858"/>
      <c r="O12" s="1859"/>
      <c r="P12" s="3843"/>
      <c r="Q12" s="1049">
        <f t="shared" si="6"/>
        <v>111</v>
      </c>
      <c r="R12" s="1380" t="s">
        <v>5</v>
      </c>
      <c r="S12" s="1381">
        <f t="shared" si="0"/>
        <v>100</v>
      </c>
      <c r="T12" s="1380" t="s">
        <v>5</v>
      </c>
      <c r="U12" s="1381">
        <f t="shared" si="1"/>
        <v>100</v>
      </c>
      <c r="V12" s="1380" t="s">
        <v>5</v>
      </c>
      <c r="W12" s="1381">
        <f t="shared" si="2"/>
        <v>100</v>
      </c>
      <c r="X12" s="1382"/>
      <c r="Y12" s="3791"/>
      <c r="Z12" s="1048">
        <f t="shared" si="7"/>
        <v>111</v>
      </c>
      <c r="AA12" s="1383">
        <f>D12/F12</f>
        <v>1</v>
      </c>
      <c r="AB12" s="1383">
        <f>D12/H12</f>
        <v>1</v>
      </c>
      <c r="AC12" s="1383">
        <f>D12/J12</f>
        <v>1</v>
      </c>
    </row>
    <row r="13" spans="1:29" ht="15">
      <c r="A13" s="2396"/>
      <c r="B13" s="2402">
        <v>111</v>
      </c>
      <c r="C13" s="509"/>
      <c r="D13" s="510">
        <v>100</v>
      </c>
      <c r="E13" s="509"/>
      <c r="F13" s="246">
        <f>SUMIF(66:66,E13,67:67)-SUMIF(66:66,C13,67:67)+100</f>
        <v>100</v>
      </c>
      <c r="G13" s="882"/>
      <c r="H13" s="510">
        <f>SUMIF(66:66,G13,67:67)-SUMIF(66:66,C13,67:67)+100</f>
        <v>100</v>
      </c>
      <c r="I13" s="842"/>
      <c r="J13" s="510">
        <f>SUMIF(66:66,I13,67:67)-SUMIF(66:66,C13,67:67)+100</f>
        <v>100</v>
      </c>
      <c r="K13" s="551"/>
      <c r="L13" s="1864"/>
      <c r="M13" s="1856"/>
      <c r="N13" s="1856"/>
      <c r="O13" s="1863"/>
      <c r="P13" s="3843"/>
      <c r="Q13" s="1049">
        <f t="shared" si="6"/>
        <v>111</v>
      </c>
      <c r="R13" s="1380" t="s">
        <v>5</v>
      </c>
      <c r="S13" s="1381">
        <f t="shared" si="0"/>
        <v>100</v>
      </c>
      <c r="T13" s="1380" t="s">
        <v>5</v>
      </c>
      <c r="U13" s="1381">
        <f t="shared" si="1"/>
        <v>100</v>
      </c>
      <c r="V13" s="1380" t="s">
        <v>5</v>
      </c>
      <c r="W13" s="1381">
        <f t="shared" si="2"/>
        <v>100</v>
      </c>
      <c r="X13" s="1382"/>
      <c r="Y13" s="3791"/>
      <c r="Z13" s="1048">
        <f t="shared" si="7"/>
        <v>111</v>
      </c>
      <c r="AA13" s="1383">
        <f t="shared" si="3"/>
        <v>1</v>
      </c>
      <c r="AB13" s="1383">
        <f t="shared" si="4"/>
        <v>1</v>
      </c>
      <c r="AC13" s="1383">
        <f t="shared" si="5"/>
        <v>1</v>
      </c>
    </row>
    <row r="14" spans="1:29" ht="15.75" thickBot="1">
      <c r="A14" s="2397"/>
      <c r="B14" s="2403">
        <v>111</v>
      </c>
      <c r="C14" s="515"/>
      <c r="D14" s="516">
        <v>100</v>
      </c>
      <c r="E14" s="515"/>
      <c r="F14" s="516">
        <f>SUMIF(68:68,E14,69:69)-SUMIF(68:68,C14,69:69)+100</f>
        <v>100</v>
      </c>
      <c r="G14" s="882"/>
      <c r="H14" s="516">
        <f>SUMIF(68:68,G14,69:69)-SUMIF(68:68,C14,69:69)+100</f>
        <v>100</v>
      </c>
      <c r="I14" s="842"/>
      <c r="J14" s="516">
        <f>SUMIF(68:68,I14,69:69)-SUMIF(68:68,C14,69:69)+100</f>
        <v>100</v>
      </c>
      <c r="K14" s="551"/>
      <c r="L14" s="1864"/>
      <c r="M14" s="1856"/>
      <c r="N14" s="1856"/>
      <c r="O14" s="1863"/>
      <c r="P14" s="3843"/>
      <c r="Q14" s="1049">
        <f t="shared" si="6"/>
        <v>111</v>
      </c>
      <c r="R14" s="1380" t="s">
        <v>5</v>
      </c>
      <c r="S14" s="1381">
        <f t="shared" si="0"/>
        <v>100</v>
      </c>
      <c r="T14" s="1380" t="s">
        <v>5</v>
      </c>
      <c r="U14" s="1381">
        <f t="shared" si="1"/>
        <v>100</v>
      </c>
      <c r="V14" s="1380" t="s">
        <v>5</v>
      </c>
      <c r="W14" s="1381">
        <f t="shared" si="2"/>
        <v>100</v>
      </c>
      <c r="X14" s="1382"/>
      <c r="Y14" s="3791"/>
      <c r="Z14" s="1048">
        <f t="shared" si="7"/>
        <v>111</v>
      </c>
      <c r="AA14" s="1383">
        <f t="shared" si="3"/>
        <v>1</v>
      </c>
      <c r="AB14" s="1383">
        <f t="shared" si="4"/>
        <v>1</v>
      </c>
      <c r="AC14" s="1383">
        <f t="shared" si="5"/>
        <v>1</v>
      </c>
    </row>
    <row r="15" spans="1:29" ht="15">
      <c r="A15" s="2389" t="s">
        <v>2036</v>
      </c>
      <c r="B15" s="159" t="s">
        <v>729</v>
      </c>
      <c r="C15" s="883">
        <f>估价对象房地状况!G3</f>
        <v>0</v>
      </c>
      <c r="D15" s="519">
        <v>100</v>
      </c>
      <c r="E15" s="520"/>
      <c r="F15" s="521">
        <f>SUMIF(70:70,E16,71:71)-SUMIF(70:70,C16,71:71)+100</f>
        <v>100</v>
      </c>
      <c r="G15" s="522"/>
      <c r="H15" s="519">
        <f>SUMIF(70:70,G16,71:71)-SUMIF(70:70,C16,71:71)+100</f>
        <v>100</v>
      </c>
      <c r="I15" s="520"/>
      <c r="J15" s="519">
        <f>SUMIF(70:70,I16,71:71)-SUMIF(70:70,C16,71:71)+100</f>
        <v>100</v>
      </c>
      <c r="K15" s="860"/>
      <c r="L15" s="1864"/>
      <c r="M15" s="1856"/>
      <c r="N15" s="1856"/>
      <c r="O15" s="1863"/>
      <c r="P15" s="3877" t="s">
        <v>489</v>
      </c>
      <c r="Q15" s="1384" t="str">
        <f t="shared" si="6"/>
        <v>产业集聚程度</v>
      </c>
      <c r="R15" s="1385" t="s">
        <v>5</v>
      </c>
      <c r="S15" s="1386">
        <f t="shared" si="0"/>
        <v>100</v>
      </c>
      <c r="T15" s="1385" t="s">
        <v>5</v>
      </c>
      <c r="U15" s="1386">
        <f t="shared" si="1"/>
        <v>100</v>
      </c>
      <c r="V15" s="1385" t="s">
        <v>5</v>
      </c>
      <c r="W15" s="1386">
        <f t="shared" si="2"/>
        <v>100</v>
      </c>
      <c r="X15" s="1379"/>
      <c r="Y15" s="3877" t="s">
        <v>489</v>
      </c>
      <c r="Z15" s="1387" t="str">
        <f t="shared" si="7"/>
        <v>产业集聚程度</v>
      </c>
      <c r="AA15" s="1388">
        <f t="shared" si="3"/>
        <v>1</v>
      </c>
      <c r="AB15" s="1388">
        <f t="shared" si="4"/>
        <v>1</v>
      </c>
      <c r="AC15" s="1388">
        <f t="shared" si="5"/>
        <v>1</v>
      </c>
    </row>
    <row r="16" spans="1:29" ht="15">
      <c r="A16" s="502"/>
      <c r="B16" s="832"/>
      <c r="C16" s="546"/>
      <c r="D16" s="525"/>
      <c r="E16" s="546"/>
      <c r="F16" s="527"/>
      <c r="G16" s="546"/>
      <c r="H16" s="529"/>
      <c r="I16" s="546"/>
      <c r="J16" s="525"/>
      <c r="K16" s="861"/>
      <c r="L16" s="1864"/>
      <c r="M16" s="1856"/>
      <c r="N16" s="1856"/>
      <c r="O16" s="1863"/>
      <c r="P16" s="3878"/>
      <c r="Q16" s="1384"/>
      <c r="R16" s="1385"/>
      <c r="S16" s="1386"/>
      <c r="T16" s="1385"/>
      <c r="U16" s="1386"/>
      <c r="V16" s="1385"/>
      <c r="W16" s="1386"/>
      <c r="X16" s="1379"/>
      <c r="Y16" s="3878"/>
      <c r="Z16" s="1387"/>
      <c r="AA16" s="1388">
        <v>1</v>
      </c>
      <c r="AB16" s="1388">
        <v>1</v>
      </c>
      <c r="AC16" s="1388">
        <v>1</v>
      </c>
    </row>
    <row r="17" spans="1:29" ht="15">
      <c r="A17" s="502"/>
      <c r="B17" s="834" t="s">
        <v>262</v>
      </c>
      <c r="C17" s="835">
        <f>估价对象房地状况!G4</f>
        <v>0</v>
      </c>
      <c r="D17" s="529">
        <v>100</v>
      </c>
      <c r="E17" s="532"/>
      <c r="F17" s="533">
        <f>SUMIF(72:72,E18,73:73)-SUMIF(72:72,C18,73:73)+100</f>
        <v>100</v>
      </c>
      <c r="G17" s="534"/>
      <c r="H17" s="535">
        <f>SUMIF(72:72,G18,73:73)-SUMIF(72:72,C18,73:73)+100</f>
        <v>100</v>
      </c>
      <c r="I17" s="532"/>
      <c r="J17" s="535">
        <f>SUMIF(72:72,I18,73:73)-SUMIF(72:72,C18,73:73)+100</f>
        <v>100</v>
      </c>
      <c r="K17" s="860"/>
      <c r="L17" s="1864"/>
      <c r="M17" s="1856"/>
      <c r="N17" s="1856"/>
      <c r="O17" s="1863"/>
      <c r="P17" s="3878"/>
      <c r="Q17" s="1384" t="str">
        <f>B17</f>
        <v>交通便捷度</v>
      </c>
      <c r="R17" s="1385" t="s">
        <v>5</v>
      </c>
      <c r="S17" s="1386">
        <f>F17</f>
        <v>100</v>
      </c>
      <c r="T17" s="1385" t="s">
        <v>5</v>
      </c>
      <c r="U17" s="1386">
        <f>H17</f>
        <v>100</v>
      </c>
      <c r="V17" s="1385" t="s">
        <v>5</v>
      </c>
      <c r="W17" s="1386">
        <f>J17</f>
        <v>100</v>
      </c>
      <c r="X17" s="1379"/>
      <c r="Y17" s="3878"/>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1"/>
      <c r="L18" s="1864"/>
      <c r="M18" s="1856"/>
      <c r="N18" s="1856"/>
      <c r="O18" s="1863"/>
      <c r="P18" s="3878"/>
      <c r="Q18" s="1384"/>
      <c r="R18" s="1385"/>
      <c r="S18" s="1386"/>
      <c r="T18" s="1385"/>
      <c r="U18" s="1386"/>
      <c r="V18" s="1385"/>
      <c r="W18" s="1386"/>
      <c r="X18" s="1379"/>
      <c r="Y18" s="3878"/>
      <c r="Z18" s="1387"/>
      <c r="AA18" s="1388">
        <v>1</v>
      </c>
      <c r="AB18" s="1388">
        <v>1</v>
      </c>
      <c r="AC18" s="1388">
        <v>1</v>
      </c>
    </row>
    <row r="19" spans="1:29" ht="15">
      <c r="A19" s="502"/>
      <c r="B19" s="2210" t="s">
        <v>1829</v>
      </c>
      <c r="C19" s="835">
        <f>估价对象房地状况!G5</f>
        <v>0</v>
      </c>
      <c r="D19" s="535">
        <v>100</v>
      </c>
      <c r="E19" s="540"/>
      <c r="F19" s="541">
        <f>SUMIF(74:74,E20,75:75)-SUMIF(74:74,C20,75:75)+100</f>
        <v>100</v>
      </c>
      <c r="G19" s="542"/>
      <c r="H19" s="529">
        <f>SUMIF(74:74,G20,75:75)-SUMIF(74:74,C20,75:75)+100</f>
        <v>100</v>
      </c>
      <c r="I19" s="540"/>
      <c r="J19" s="529">
        <f>SUMIF(74:74,I20,75:75)-SUMIF(74:74,C20,75:75)+100</f>
        <v>100</v>
      </c>
      <c r="K19" s="860"/>
      <c r="L19" s="1864"/>
      <c r="M19" s="1856"/>
      <c r="N19" s="1856"/>
      <c r="O19" s="1863"/>
      <c r="P19" s="3878"/>
      <c r="Q19" s="1384" t="str">
        <f>B19</f>
        <v>公共配套设施</v>
      </c>
      <c r="R19" s="1385" t="s">
        <v>5</v>
      </c>
      <c r="S19" s="1386">
        <f>F19</f>
        <v>100</v>
      </c>
      <c r="T19" s="1385" t="s">
        <v>5</v>
      </c>
      <c r="U19" s="1386">
        <f>H19</f>
        <v>100</v>
      </c>
      <c r="V19" s="1385" t="s">
        <v>5</v>
      </c>
      <c r="W19" s="1386">
        <f>J19</f>
        <v>100</v>
      </c>
      <c r="X19" s="1379"/>
      <c r="Y19" s="3878"/>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1"/>
      <c r="L20" s="1864"/>
      <c r="M20" s="1856"/>
      <c r="N20" s="1856"/>
      <c r="O20" s="1863"/>
      <c r="P20" s="3878"/>
      <c r="Q20" s="1384"/>
      <c r="R20" s="1385"/>
      <c r="S20" s="1386"/>
      <c r="T20" s="1385"/>
      <c r="U20" s="1386"/>
      <c r="V20" s="1385"/>
      <c r="W20" s="1386"/>
      <c r="X20" s="1379"/>
      <c r="Y20" s="3878"/>
      <c r="Z20" s="1387"/>
      <c r="AA20" s="1388">
        <v>1</v>
      </c>
      <c r="AB20" s="1388">
        <v>1</v>
      </c>
      <c r="AC20" s="1388">
        <v>1</v>
      </c>
    </row>
    <row r="21" spans="1:29" ht="15">
      <c r="A21" s="502"/>
      <c r="B21" s="2198" t="s">
        <v>1841</v>
      </c>
      <c r="C21" s="835">
        <f>估价对象房地状况!G6</f>
        <v>0</v>
      </c>
      <c r="D21" s="535">
        <v>100</v>
      </c>
      <c r="E21" s="542"/>
      <c r="F21" s="541">
        <f>SUMIF(76:76,E22,77:77)-SUMIF(76:76,C22,77:77)+100</f>
        <v>100</v>
      </c>
      <c r="G21" s="542"/>
      <c r="H21" s="535">
        <f>SUMIF(76:76,G22,77:77)-SUMIF(76:76,C22,77:77)+100</f>
        <v>100</v>
      </c>
      <c r="I21" s="540"/>
      <c r="J21" s="535">
        <f>SUMIF(76:76,I22,77:77)-SUMIF(76:76,C22,77:77)+100</f>
        <v>100</v>
      </c>
      <c r="K21" s="860"/>
      <c r="L21" s="1864"/>
      <c r="M21" s="1856"/>
      <c r="N21" s="1856"/>
      <c r="O21" s="1863"/>
      <c r="P21" s="3878"/>
      <c r="Q21" s="2192" t="str">
        <f>B21</f>
        <v>基础设施水平</v>
      </c>
      <c r="R21" s="1385" t="s">
        <v>5</v>
      </c>
      <c r="S21" s="1386">
        <f>F21</f>
        <v>100</v>
      </c>
      <c r="T21" s="1385" t="s">
        <v>5</v>
      </c>
      <c r="U21" s="1386">
        <f>H21</f>
        <v>100</v>
      </c>
      <c r="V21" s="1385" t="s">
        <v>5</v>
      </c>
      <c r="W21" s="1386">
        <f>J21</f>
        <v>100</v>
      </c>
      <c r="X21" s="2194"/>
      <c r="Y21" s="3878"/>
      <c r="Z21" s="2193" t="str">
        <f>Q21</f>
        <v>基础设施水平</v>
      </c>
      <c r="AA21" s="1388">
        <f>D21/F21</f>
        <v>1</v>
      </c>
      <c r="AB21" s="1388">
        <f>D21/H21</f>
        <v>1</v>
      </c>
      <c r="AC21" s="1388">
        <f>D21/J21</f>
        <v>1</v>
      </c>
    </row>
    <row r="22" spans="1:29" ht="15">
      <c r="A22" s="502"/>
      <c r="B22" s="548"/>
      <c r="C22" s="836"/>
      <c r="D22" s="525"/>
      <c r="E22" s="546"/>
      <c r="F22" s="527"/>
      <c r="G22" s="546"/>
      <c r="H22" s="525"/>
      <c r="I22" s="546"/>
      <c r="J22" s="525"/>
      <c r="K22" s="2209"/>
      <c r="L22" s="1864"/>
      <c r="M22" s="1856"/>
      <c r="N22" s="1856"/>
      <c r="O22" s="1863"/>
      <c r="P22" s="3878"/>
      <c r="Q22" s="2192"/>
      <c r="R22" s="1385"/>
      <c r="S22" s="1386"/>
      <c r="T22" s="1385"/>
      <c r="U22" s="1386"/>
      <c r="V22" s="1385"/>
      <c r="W22" s="1386"/>
      <c r="X22" s="2194"/>
      <c r="Y22" s="3878"/>
      <c r="Z22" s="2193"/>
      <c r="AA22" s="1388">
        <v>1</v>
      </c>
      <c r="AB22" s="1388">
        <v>1</v>
      </c>
      <c r="AC22" s="1388">
        <v>1</v>
      </c>
    </row>
    <row r="23" spans="1:29" ht="15">
      <c r="A23" s="502"/>
      <c r="B23" s="834" t="s">
        <v>718</v>
      </c>
      <c r="C23" s="835">
        <f>估价对象房地状况!G7</f>
        <v>0</v>
      </c>
      <c r="D23" s="529">
        <v>100</v>
      </c>
      <c r="E23" s="532"/>
      <c r="F23" s="533">
        <f>SUMIF(78:78,E24,79:79)-SUMIF(78:78,C24,79:79)+100</f>
        <v>100</v>
      </c>
      <c r="G23" s="534"/>
      <c r="H23" s="529">
        <f>SUMIF(78:78,G24,79:79)-SUMIF(78:78,C24,79:79)+100</f>
        <v>100</v>
      </c>
      <c r="I23" s="532"/>
      <c r="J23" s="529">
        <f>SUMIF(78:78,I24,79:79)-SUMIF(78:78,C24,79:79)+100</f>
        <v>100</v>
      </c>
      <c r="K23" s="860"/>
      <c r="L23" s="1864"/>
      <c r="M23" s="1856"/>
      <c r="N23" s="1856"/>
      <c r="O23" s="1863"/>
      <c r="P23" s="3878"/>
      <c r="Q23" s="1384" t="str">
        <f>B23</f>
        <v>环境质量</v>
      </c>
      <c r="R23" s="1385" t="s">
        <v>5</v>
      </c>
      <c r="S23" s="1386">
        <f>F23</f>
        <v>100</v>
      </c>
      <c r="T23" s="1385" t="s">
        <v>5</v>
      </c>
      <c r="U23" s="1386">
        <f>H23</f>
        <v>100</v>
      </c>
      <c r="V23" s="1385" t="s">
        <v>5</v>
      </c>
      <c r="W23" s="1386">
        <f>J23</f>
        <v>100</v>
      </c>
      <c r="X23" s="1379"/>
      <c r="Y23" s="3878"/>
      <c r="Z23" s="1387" t="str">
        <f>Q23</f>
        <v>环境质量</v>
      </c>
      <c r="AA23" s="1388">
        <f t="shared" si="3"/>
        <v>1</v>
      </c>
      <c r="AB23" s="1388">
        <f t="shared" si="4"/>
        <v>1</v>
      </c>
      <c r="AC23" s="1388">
        <f t="shared" si="5"/>
        <v>1</v>
      </c>
    </row>
    <row r="24" spans="1:29" ht="15">
      <c r="A24" s="502"/>
      <c r="B24" s="884"/>
      <c r="C24" s="546"/>
      <c r="D24" s="525"/>
      <c r="E24" s="526"/>
      <c r="F24" s="527"/>
      <c r="G24" s="528"/>
      <c r="H24" s="525"/>
      <c r="I24" s="526"/>
      <c r="J24" s="525"/>
      <c r="K24" s="861"/>
      <c r="L24" s="1864"/>
      <c r="M24" s="1856"/>
      <c r="N24" s="1856"/>
      <c r="O24" s="1863"/>
      <c r="P24" s="3878"/>
      <c r="Q24" s="1384"/>
      <c r="R24" s="1385"/>
      <c r="S24" s="1386"/>
      <c r="T24" s="1385"/>
      <c r="U24" s="1386"/>
      <c r="V24" s="1385"/>
      <c r="W24" s="1386"/>
      <c r="X24" s="1379"/>
      <c r="Y24" s="3878"/>
      <c r="Z24" s="1387"/>
      <c r="AA24" s="1388">
        <v>1</v>
      </c>
      <c r="AB24" s="1388">
        <v>1</v>
      </c>
      <c r="AC24" s="1388">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878"/>
      <c r="Q25" s="1384">
        <f>B25</f>
        <v>111</v>
      </c>
      <c r="R25" s="1385" t="s">
        <v>5</v>
      </c>
      <c r="S25" s="1386">
        <f>F25</f>
        <v>100</v>
      </c>
      <c r="T25" s="1385" t="s">
        <v>5</v>
      </c>
      <c r="U25" s="1386">
        <f>H25</f>
        <v>100</v>
      </c>
      <c r="V25" s="1385" t="s">
        <v>5</v>
      </c>
      <c r="W25" s="1386">
        <f>J25</f>
        <v>100</v>
      </c>
      <c r="X25" s="1379"/>
      <c r="Y25" s="3878"/>
      <c r="Z25" s="1387">
        <f>Q25</f>
        <v>111</v>
      </c>
      <c r="AA25" s="1388">
        <f t="shared" si="3"/>
        <v>1</v>
      </c>
      <c r="AB25" s="1388">
        <f t="shared" si="4"/>
        <v>1</v>
      </c>
      <c r="AC25" s="1388">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878"/>
      <c r="Q26" s="1384">
        <f t="shared" ref="Q26:Q40" si="8">B26</f>
        <v>111</v>
      </c>
      <c r="R26" s="1385" t="s">
        <v>5</v>
      </c>
      <c r="S26" s="1386">
        <f>F26</f>
        <v>100</v>
      </c>
      <c r="T26" s="1385" t="s">
        <v>5</v>
      </c>
      <c r="U26" s="1386">
        <f>H26</f>
        <v>100</v>
      </c>
      <c r="V26" s="1385" t="s">
        <v>5</v>
      </c>
      <c r="W26" s="1386">
        <f>J26</f>
        <v>100</v>
      </c>
      <c r="X26" s="1379"/>
      <c r="Y26" s="3878"/>
      <c r="Z26" s="1387">
        <f>Q26</f>
        <v>111</v>
      </c>
      <c r="AA26" s="1388">
        <f t="shared" si="3"/>
        <v>1</v>
      </c>
      <c r="AB26" s="1388">
        <f t="shared" si="4"/>
        <v>1</v>
      </c>
      <c r="AC26" s="1388">
        <f t="shared" si="5"/>
        <v>1</v>
      </c>
    </row>
    <row r="27" spans="1:29" s="1117"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878"/>
      <c r="Q27" s="1049">
        <f t="shared" si="8"/>
        <v>111</v>
      </c>
      <c r="R27" s="1380" t="s">
        <v>5</v>
      </c>
      <c r="S27" s="1381">
        <f>F27</f>
        <v>100</v>
      </c>
      <c r="T27" s="1380" t="s">
        <v>5</v>
      </c>
      <c r="U27" s="1381">
        <f>H27</f>
        <v>100</v>
      </c>
      <c r="V27" s="1380" t="s">
        <v>5</v>
      </c>
      <c r="W27" s="1381">
        <f>J27</f>
        <v>100</v>
      </c>
      <c r="X27" s="1382"/>
      <c r="Y27" s="3878"/>
      <c r="Z27" s="1048">
        <f>Q27</f>
        <v>111</v>
      </c>
      <c r="AA27" s="1388">
        <f>D27/F27</f>
        <v>1</v>
      </c>
      <c r="AB27" s="1388">
        <f>D27/H27</f>
        <v>1</v>
      </c>
      <c r="AC27" s="1388">
        <f>D27/J27</f>
        <v>1</v>
      </c>
    </row>
    <row r="28" spans="1:29" ht="15.75" thickBot="1">
      <c r="A28" s="513"/>
      <c r="B28" s="840">
        <v>111</v>
      </c>
      <c r="C28" s="515"/>
      <c r="D28" s="516">
        <v>100</v>
      </c>
      <c r="E28" s="509"/>
      <c r="F28" s="829">
        <f>SUMIF(86:86,E28,87:87)-SUMIF(86:86,C28,87:87)+100</f>
        <v>100</v>
      </c>
      <c r="G28" s="842"/>
      <c r="H28" s="516">
        <f>SUMIF(86:86,G28,87:87)-SUMIF(86:86,C28,87:87)+100</f>
        <v>100</v>
      </c>
      <c r="I28" s="842"/>
      <c r="J28" s="516">
        <f>SUMIF(86:86,I28,87:87)-SUMIF(86:86,C28,87:87)+100</f>
        <v>100</v>
      </c>
      <c r="K28" s="551"/>
      <c r="L28" s="1864"/>
      <c r="M28" s="1856"/>
      <c r="N28" s="1856"/>
      <c r="O28" s="1863"/>
      <c r="P28" s="3878"/>
      <c r="Q28" s="1384">
        <f t="shared" si="8"/>
        <v>111</v>
      </c>
      <c r="R28" s="1385" t="s">
        <v>5</v>
      </c>
      <c r="S28" s="1386">
        <f t="shared" ref="S28:S40" si="9">F28</f>
        <v>100</v>
      </c>
      <c r="T28" s="1385" t="s">
        <v>5</v>
      </c>
      <c r="U28" s="1386">
        <f t="shared" ref="U28:U40" si="10">H28</f>
        <v>100</v>
      </c>
      <c r="V28" s="1385" t="s">
        <v>5</v>
      </c>
      <c r="W28" s="1386">
        <f t="shared" ref="W28:W40" si="11">J28</f>
        <v>100</v>
      </c>
      <c r="X28" s="1379"/>
      <c r="Y28" s="3878"/>
      <c r="Z28" s="1387">
        <f t="shared" ref="Z28:Z40" si="12">Q28</f>
        <v>111</v>
      </c>
      <c r="AA28" s="1388">
        <f t="shared" si="3"/>
        <v>1</v>
      </c>
      <c r="AB28" s="1388">
        <f t="shared" si="4"/>
        <v>1</v>
      </c>
      <c r="AC28" s="1388">
        <f t="shared" si="5"/>
        <v>1</v>
      </c>
    </row>
    <row r="29" spans="1:29" ht="15">
      <c r="A29" s="2386" t="s">
        <v>2037</v>
      </c>
      <c r="B29" s="165" t="s">
        <v>720</v>
      </c>
      <c r="C29" s="878"/>
      <c r="D29" s="567">
        <v>100</v>
      </c>
      <c r="E29" s="878"/>
      <c r="F29" s="545">
        <f>SUMIF(88:88,E29,89:89)-SUMIF(88:88,C29,89:89)+100</f>
        <v>100</v>
      </c>
      <c r="G29" s="878"/>
      <c r="H29" s="510">
        <f>SUMIF(88:88,G29,89:89)-SUMIF(88:88,C29,89:89)+100</f>
        <v>100</v>
      </c>
      <c r="I29" s="878"/>
      <c r="J29" s="567">
        <f>SUMIF(88:88,I29,89:89)-SUMIF(88:88,C29,89:89)+100</f>
        <v>100</v>
      </c>
      <c r="K29" s="554"/>
      <c r="L29" s="1864"/>
      <c r="M29" s="1856"/>
      <c r="N29" s="1856"/>
      <c r="O29" s="1863"/>
      <c r="P29" s="3879" t="s">
        <v>499</v>
      </c>
      <c r="Q29" s="1384" t="str">
        <f t="shared" si="8"/>
        <v>建筑类型</v>
      </c>
      <c r="R29" s="1385" t="s">
        <v>5</v>
      </c>
      <c r="S29" s="1386">
        <f t="shared" si="9"/>
        <v>100</v>
      </c>
      <c r="T29" s="1385" t="s">
        <v>5</v>
      </c>
      <c r="U29" s="1386">
        <f t="shared" si="10"/>
        <v>100</v>
      </c>
      <c r="V29" s="1385" t="s">
        <v>5</v>
      </c>
      <c r="W29" s="1386">
        <f t="shared" si="11"/>
        <v>100</v>
      </c>
      <c r="X29" s="1379"/>
      <c r="Y29" s="3880" t="s">
        <v>499</v>
      </c>
      <c r="Z29" s="1387" t="str">
        <f t="shared" si="12"/>
        <v>建筑类型</v>
      </c>
      <c r="AA29" s="1388">
        <f t="shared" si="3"/>
        <v>1</v>
      </c>
      <c r="AB29" s="1388">
        <f t="shared" si="4"/>
        <v>1</v>
      </c>
      <c r="AC29" s="1388">
        <f t="shared" si="5"/>
        <v>1</v>
      </c>
    </row>
    <row r="30" spans="1:29" s="1199" customFormat="1" ht="15">
      <c r="A30" s="573"/>
      <c r="B30" s="497" t="s">
        <v>673</v>
      </c>
      <c r="C30" s="842"/>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880"/>
      <c r="Q30" s="1413" t="str">
        <f t="shared" si="8"/>
        <v>项目建筑规模</v>
      </c>
      <c r="R30" s="1389" t="s">
        <v>5</v>
      </c>
      <c r="S30" s="1390" t="e">
        <f t="shared" si="9"/>
        <v>#N/A</v>
      </c>
      <c r="T30" s="1389" t="s">
        <v>5</v>
      </c>
      <c r="U30" s="1390" t="e">
        <f t="shared" si="10"/>
        <v>#N/A</v>
      </c>
      <c r="V30" s="1389" t="s">
        <v>5</v>
      </c>
      <c r="W30" s="1390" t="e">
        <f t="shared" si="11"/>
        <v>#N/A</v>
      </c>
      <c r="X30" s="1391"/>
      <c r="Y30" s="3880"/>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880"/>
      <c r="Q31" s="1384" t="str">
        <f t="shared" si="8"/>
        <v>建筑结构</v>
      </c>
      <c r="R31" s="1385" t="s">
        <v>5</v>
      </c>
      <c r="S31" s="1386">
        <f t="shared" si="9"/>
        <v>100</v>
      </c>
      <c r="T31" s="1385" t="s">
        <v>5</v>
      </c>
      <c r="U31" s="1386">
        <f t="shared" si="10"/>
        <v>100</v>
      </c>
      <c r="V31" s="1385" t="s">
        <v>5</v>
      </c>
      <c r="W31" s="1386">
        <f t="shared" si="11"/>
        <v>100</v>
      </c>
      <c r="X31" s="1379"/>
      <c r="Y31" s="3880"/>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880"/>
      <c r="Q32" s="1384" t="str">
        <f t="shared" si="8"/>
        <v>公共部分装修</v>
      </c>
      <c r="R32" s="1385" t="s">
        <v>5</v>
      </c>
      <c r="S32" s="1386">
        <f t="shared" si="9"/>
        <v>100</v>
      </c>
      <c r="T32" s="1385" t="s">
        <v>5</v>
      </c>
      <c r="U32" s="1386">
        <f t="shared" si="10"/>
        <v>100</v>
      </c>
      <c r="V32" s="1385" t="s">
        <v>5</v>
      </c>
      <c r="W32" s="1386">
        <f t="shared" si="11"/>
        <v>100</v>
      </c>
      <c r="X32" s="1379"/>
      <c r="Y32" s="3880"/>
      <c r="Z32" s="1387" t="str">
        <f t="shared" si="12"/>
        <v>公共部分装修</v>
      </c>
      <c r="AA32" s="1388">
        <f t="shared" si="3"/>
        <v>1</v>
      </c>
      <c r="AB32" s="1388">
        <f t="shared" si="4"/>
        <v>1</v>
      </c>
      <c r="AC32" s="1388">
        <f t="shared" si="5"/>
        <v>1</v>
      </c>
    </row>
    <row r="33" spans="1:29" ht="15">
      <c r="A33" s="564"/>
      <c r="B33" s="497" t="s">
        <v>704</v>
      </c>
      <c r="C33" s="842"/>
      <c r="D33" s="510">
        <v>100</v>
      </c>
      <c r="E33" s="845"/>
      <c r="F33" s="545" t="e">
        <f>LOOKUP(E33,98:98,99:99)-LOOKUP(C33,98:98,99:99)+100</f>
        <v>#N/A</v>
      </c>
      <c r="G33" s="845"/>
      <c r="H33" s="545" t="e">
        <f>LOOKUP(G33,98:98,99:99)-LOOKUP(C33,98:98,99:99)+100</f>
        <v>#N/A</v>
      </c>
      <c r="I33" s="845"/>
      <c r="J33" s="510" t="e">
        <f>LOOKUP(I33,98:98,99:99)-LOOKUP(C33,98:98,99:99)+100</f>
        <v>#N/A</v>
      </c>
      <c r="K33" s="554"/>
      <c r="L33" s="1864"/>
      <c r="M33" s="1856"/>
      <c r="N33" s="1856"/>
      <c r="O33" s="1863"/>
      <c r="P33" s="3880"/>
      <c r="Q33" s="1384" t="str">
        <f t="shared" si="8"/>
        <v>成新度</v>
      </c>
      <c r="R33" s="1385" t="s">
        <v>5</v>
      </c>
      <c r="S33" s="1386" t="e">
        <f t="shared" si="9"/>
        <v>#N/A</v>
      </c>
      <c r="T33" s="1385" t="s">
        <v>5</v>
      </c>
      <c r="U33" s="1386" t="e">
        <f t="shared" si="10"/>
        <v>#N/A</v>
      </c>
      <c r="V33" s="1385" t="s">
        <v>5</v>
      </c>
      <c r="W33" s="1386" t="e">
        <f t="shared" si="11"/>
        <v>#N/A</v>
      </c>
      <c r="X33" s="1379"/>
      <c r="Y33" s="3880"/>
      <c r="Z33" s="1387" t="str">
        <f t="shared" si="12"/>
        <v>成新度</v>
      </c>
      <c r="AA33" s="1388" t="e">
        <f t="shared" si="3"/>
        <v>#N/A</v>
      </c>
      <c r="AB33" s="1388" t="e">
        <f t="shared" si="4"/>
        <v>#N/A</v>
      </c>
      <c r="AC33" s="1388" t="e">
        <f t="shared" si="5"/>
        <v>#N/A</v>
      </c>
    </row>
    <row r="34" spans="1:29" s="1117"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880"/>
      <c r="Q34" s="1049" t="str">
        <f t="shared" si="8"/>
        <v>物业管理</v>
      </c>
      <c r="R34" s="1380" t="s">
        <v>5</v>
      </c>
      <c r="S34" s="1381">
        <f t="shared" si="9"/>
        <v>100</v>
      </c>
      <c r="T34" s="1380" t="s">
        <v>5</v>
      </c>
      <c r="U34" s="1381">
        <f t="shared" si="10"/>
        <v>100</v>
      </c>
      <c r="V34" s="1380" t="s">
        <v>5</v>
      </c>
      <c r="W34" s="1381">
        <f t="shared" si="11"/>
        <v>100</v>
      </c>
      <c r="X34" s="1382"/>
      <c r="Y34" s="3880"/>
      <c r="Z34" s="1048" t="str">
        <f t="shared" si="12"/>
        <v>物业管理</v>
      </c>
      <c r="AA34" s="1383">
        <f t="shared" si="3"/>
        <v>1</v>
      </c>
      <c r="AB34" s="1383">
        <f t="shared" si="4"/>
        <v>1</v>
      </c>
      <c r="AC34" s="1383">
        <f t="shared" si="5"/>
        <v>1</v>
      </c>
    </row>
    <row r="35" spans="1:29" ht="15">
      <c r="A35" s="564"/>
      <c r="B35" s="1650"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880" t="s">
        <v>499</v>
      </c>
      <c r="Q35" s="1384" t="str">
        <f t="shared" si="8"/>
        <v>市政基础设施</v>
      </c>
      <c r="R35" s="1385" t="s">
        <v>5</v>
      </c>
      <c r="S35" s="1386">
        <f t="shared" si="9"/>
        <v>100</v>
      </c>
      <c r="T35" s="1385" t="s">
        <v>5</v>
      </c>
      <c r="U35" s="1386">
        <f t="shared" si="10"/>
        <v>100</v>
      </c>
      <c r="V35" s="1385" t="s">
        <v>5</v>
      </c>
      <c r="W35" s="1386">
        <f t="shared" si="11"/>
        <v>100</v>
      </c>
      <c r="X35" s="1379"/>
      <c r="Y35" s="3880"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880"/>
      <c r="Q36" s="1384" t="str">
        <f t="shared" si="8"/>
        <v>内部装修</v>
      </c>
      <c r="R36" s="1385" t="s">
        <v>5</v>
      </c>
      <c r="S36" s="1386">
        <f t="shared" si="9"/>
        <v>100</v>
      </c>
      <c r="T36" s="1385" t="s">
        <v>5</v>
      </c>
      <c r="U36" s="1386">
        <f t="shared" si="10"/>
        <v>100</v>
      </c>
      <c r="V36" s="1385" t="s">
        <v>5</v>
      </c>
      <c r="W36" s="1386">
        <f t="shared" si="11"/>
        <v>100</v>
      </c>
      <c r="X36" s="1379"/>
      <c r="Y36" s="3880"/>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880"/>
      <c r="Q37" s="1384" t="str">
        <f t="shared" si="8"/>
        <v>内部装修状况</v>
      </c>
      <c r="R37" s="1385" t="s">
        <v>5</v>
      </c>
      <c r="S37" s="1386">
        <f t="shared" si="9"/>
        <v>100</v>
      </c>
      <c r="T37" s="1385" t="s">
        <v>5</v>
      </c>
      <c r="U37" s="1386">
        <f t="shared" si="10"/>
        <v>100</v>
      </c>
      <c r="V37" s="1385" t="s">
        <v>5</v>
      </c>
      <c r="W37" s="1386">
        <f t="shared" si="11"/>
        <v>100</v>
      </c>
      <c r="X37" s="1379"/>
      <c r="Y37" s="3880"/>
      <c r="Z37" s="1387" t="str">
        <f t="shared" si="12"/>
        <v>内部装修状况</v>
      </c>
      <c r="AA37" s="1388">
        <f t="shared" si="3"/>
        <v>1</v>
      </c>
      <c r="AB37" s="1388">
        <f t="shared" si="4"/>
        <v>1</v>
      </c>
      <c r="AC37" s="1388">
        <f t="shared" si="5"/>
        <v>1</v>
      </c>
    </row>
    <row r="38" spans="1:29" s="1199" customFormat="1" ht="15">
      <c r="A38" s="573"/>
      <c r="B38" s="840">
        <v>111</v>
      </c>
      <c r="C38" s="842"/>
      <c r="D38" s="510">
        <v>100</v>
      </c>
      <c r="E38" s="509"/>
      <c r="F38" s="545">
        <f>SUMIF(108:108,E38,109:109)-SUMIF(108:108,C38,109:109)+100</f>
        <v>100</v>
      </c>
      <c r="G38" s="842"/>
      <c r="H38" s="510">
        <f>SUMIF(108:108,G38,109:109)-SUMIF(108:108,C38,109:109)+100</f>
        <v>100</v>
      </c>
      <c r="I38" s="842"/>
      <c r="J38" s="510">
        <f>SUMIF(108:108,I38,109:1038)-SUMIF(108:108,C38,109:109)+100</f>
        <v>100</v>
      </c>
      <c r="K38" s="551"/>
      <c r="L38" s="1862"/>
      <c r="M38" s="1892"/>
      <c r="N38" s="1892"/>
      <c r="O38" s="1865"/>
      <c r="P38" s="3880"/>
      <c r="Q38" s="1413">
        <f t="shared" si="8"/>
        <v>111</v>
      </c>
      <c r="R38" s="1389" t="s">
        <v>5</v>
      </c>
      <c r="S38" s="1390">
        <f t="shared" si="9"/>
        <v>100</v>
      </c>
      <c r="T38" s="1389" t="s">
        <v>5</v>
      </c>
      <c r="U38" s="1390">
        <f t="shared" si="10"/>
        <v>100</v>
      </c>
      <c r="V38" s="1389" t="s">
        <v>5</v>
      </c>
      <c r="W38" s="1390">
        <f t="shared" si="11"/>
        <v>100</v>
      </c>
      <c r="X38" s="1391"/>
      <c r="Y38" s="3880"/>
      <c r="Z38" s="1392">
        <f t="shared" si="12"/>
        <v>111</v>
      </c>
      <c r="AA38" s="1388">
        <f t="shared" si="3"/>
        <v>1</v>
      </c>
      <c r="AB38" s="1388">
        <f t="shared" si="4"/>
        <v>1</v>
      </c>
      <c r="AC38" s="1388">
        <f t="shared" si="5"/>
        <v>1</v>
      </c>
    </row>
    <row r="39" spans="1:29" ht="15">
      <c r="A39" s="564"/>
      <c r="B39" s="840">
        <v>111</v>
      </c>
      <c r="C39" s="842"/>
      <c r="D39" s="510">
        <v>100</v>
      </c>
      <c r="E39" s="509"/>
      <c r="F39" s="545">
        <f>SUMIF(110:110,E39,111:111)-SUMIF(110:110,C39,111:111)+100</f>
        <v>100</v>
      </c>
      <c r="G39" s="842"/>
      <c r="H39" s="510">
        <f>SUMIF(110:110,G39,111:111)-SUMIF(110:110,C39,111:111)+100</f>
        <v>100</v>
      </c>
      <c r="I39" s="842"/>
      <c r="J39" s="510">
        <f>SUMIF(110:110,I39,111:111)-SUMIF(110:110,C39,111:111)+100</f>
        <v>100</v>
      </c>
      <c r="K39" s="551"/>
      <c r="L39" s="1864"/>
      <c r="M39" s="1856"/>
      <c r="N39" s="1856"/>
      <c r="O39" s="1863"/>
      <c r="P39" s="3880"/>
      <c r="Q39" s="1384">
        <f t="shared" si="8"/>
        <v>111</v>
      </c>
      <c r="R39" s="1385" t="s">
        <v>5</v>
      </c>
      <c r="S39" s="1386">
        <f t="shared" si="9"/>
        <v>100</v>
      </c>
      <c r="T39" s="1385" t="s">
        <v>5</v>
      </c>
      <c r="U39" s="1386">
        <f t="shared" si="10"/>
        <v>100</v>
      </c>
      <c r="V39" s="1385" t="s">
        <v>5</v>
      </c>
      <c r="W39" s="1386">
        <f t="shared" si="11"/>
        <v>100</v>
      </c>
      <c r="X39" s="1379"/>
      <c r="Y39" s="3880"/>
      <c r="Z39" s="1387">
        <f t="shared" si="12"/>
        <v>111</v>
      </c>
      <c r="AA39" s="1388">
        <f t="shared" si="3"/>
        <v>1</v>
      </c>
      <c r="AB39" s="1388">
        <f t="shared" si="4"/>
        <v>1</v>
      </c>
      <c r="AC39" s="1388">
        <f t="shared" si="5"/>
        <v>1</v>
      </c>
    </row>
    <row r="40" spans="1:29" ht="15.75" thickBot="1">
      <c r="A40" s="848"/>
      <c r="B40" s="514">
        <v>111</v>
      </c>
      <c r="C40" s="515"/>
      <c r="D40" s="516">
        <v>100</v>
      </c>
      <c r="E40" s="509"/>
      <c r="F40" s="829">
        <f>SUMIF(112:112,E40,113:113)-SUMIF(112:112,C40,113:113)+100</f>
        <v>100</v>
      </c>
      <c r="G40" s="842"/>
      <c r="H40" s="516">
        <f>SUMIF(112:112,G40,113:113)-SUMIF(112:112,C40,113:113)+100</f>
        <v>100</v>
      </c>
      <c r="I40" s="842"/>
      <c r="J40" s="516">
        <f>SUMIF(112:112,I40,113:113)-SUMIF(112:112,C40,113:113)+100</f>
        <v>100</v>
      </c>
      <c r="K40" s="551"/>
      <c r="L40" s="1864"/>
      <c r="M40" s="1856"/>
      <c r="N40" s="1856"/>
      <c r="O40" s="1863"/>
      <c r="P40" s="3954"/>
      <c r="Q40" s="1384">
        <f t="shared" si="8"/>
        <v>111</v>
      </c>
      <c r="R40" s="1385" t="s">
        <v>5</v>
      </c>
      <c r="S40" s="1386">
        <f t="shared" si="9"/>
        <v>100</v>
      </c>
      <c r="T40" s="1385" t="s">
        <v>5</v>
      </c>
      <c r="U40" s="1386">
        <f t="shared" si="10"/>
        <v>100</v>
      </c>
      <c r="V40" s="1385" t="s">
        <v>5</v>
      </c>
      <c r="W40" s="1386">
        <f t="shared" si="11"/>
        <v>100</v>
      </c>
      <c r="X40" s="1379"/>
      <c r="Y40" s="3954"/>
      <c r="Z40" s="1387">
        <f t="shared" si="12"/>
        <v>111</v>
      </c>
      <c r="AA40" s="1388">
        <f t="shared" si="3"/>
        <v>1</v>
      </c>
      <c r="AB40" s="1388">
        <f t="shared" si="4"/>
        <v>1</v>
      </c>
      <c r="AC40" s="1388">
        <f t="shared" si="5"/>
        <v>1</v>
      </c>
    </row>
    <row r="41" spans="1:29" ht="15">
      <c r="A41" s="577" t="s">
        <v>683</v>
      </c>
      <c r="B41" s="849"/>
      <c r="C41" s="2233" t="s">
        <v>0</v>
      </c>
      <c r="D41" s="2234"/>
      <c r="E41" s="2235"/>
      <c r="F41" s="2236"/>
      <c r="G41" s="2237"/>
      <c r="H41" s="2238"/>
      <c r="I41" s="2235"/>
      <c r="J41" s="2238"/>
      <c r="K41" s="1418"/>
      <c r="L41" s="1866"/>
      <c r="M41" s="1867"/>
      <c r="N41" s="1856"/>
      <c r="O41" s="1867"/>
      <c r="P41" s="3843" t="str">
        <f>A41</f>
        <v>成交单价（元/平方米）</v>
      </c>
      <c r="Q41" s="3843"/>
      <c r="R41" s="3953">
        <f>E41</f>
        <v>0</v>
      </c>
      <c r="S41" s="3953"/>
      <c r="T41" s="3953">
        <f>G41</f>
        <v>0</v>
      </c>
      <c r="U41" s="3953"/>
      <c r="V41" s="3953">
        <f>I41</f>
        <v>0</v>
      </c>
      <c r="W41" s="3953"/>
      <c r="X41" s="1374"/>
      <c r="Y41" s="1393"/>
      <c r="Z41" s="1374"/>
      <c r="AA41" s="1374"/>
      <c r="AB41" s="1374"/>
      <c r="AC41" s="1374"/>
    </row>
    <row r="42" spans="1:29" ht="15.75" thickBot="1">
      <c r="A42" s="585" t="s">
        <v>2042</v>
      </c>
      <c r="B42" s="850"/>
      <c r="C42" s="2239" t="e">
        <f>R43</f>
        <v>#DIV/0!</v>
      </c>
      <c r="D42" s="2756" t="s">
        <v>2252</v>
      </c>
      <c r="E42" s="2240" t="e">
        <f>R42</f>
        <v>#DIV/0!</v>
      </c>
      <c r="F42" s="2757"/>
      <c r="G42" s="2239" t="e">
        <f>T42</f>
        <v>#DIV/0!</v>
      </c>
      <c r="H42" s="2757"/>
      <c r="I42" s="2240" t="e">
        <f>V42</f>
        <v>#DIV/0!</v>
      </c>
      <c r="J42" s="2757"/>
      <c r="K42" s="2765">
        <f>F42+H42+J42</f>
        <v>0</v>
      </c>
      <c r="L42" s="1866"/>
      <c r="M42" s="1867"/>
      <c r="N42" s="1856"/>
      <c r="O42" s="1867"/>
      <c r="P42" s="3843" t="str">
        <f>A42</f>
        <v>比较价格（元/平方米）</v>
      </c>
      <c r="Q42" s="3843"/>
      <c r="R42" s="3953" t="e">
        <f>IF(F1="售价",ROUND(PRODUCT(R41,AA7:AA40),0),ROUND(PRODUCT(R41,AA7:AA40),1))</f>
        <v>#DIV/0!</v>
      </c>
      <c r="S42" s="3953"/>
      <c r="T42" s="3953" t="e">
        <f>IF(F1="售价",ROUND(PRODUCT(T41,AB7:AB40),0),ROUND(PRODUCT(T41,AB7:AB40),1))</f>
        <v>#DIV/0!</v>
      </c>
      <c r="U42" s="3953"/>
      <c r="V42" s="3953" t="e">
        <f>IF(F1="售价",ROUND(PRODUCT(V41,AC7:AC40),0),ROUND(PRODUCT(V41,AC7:AC40),1))</f>
        <v>#DIV/0!</v>
      </c>
      <c r="W42" s="3953"/>
      <c r="X42" s="1374"/>
      <c r="Y42" s="1374"/>
      <c r="Z42" s="1374"/>
      <c r="AA42" s="1374"/>
      <c r="AB42" s="1374"/>
      <c r="AC42" s="1374"/>
    </row>
    <row r="43" spans="1:29" ht="15.75" thickBot="1">
      <c r="A43" s="589" t="s">
        <v>2189</v>
      </c>
      <c r="B43" s="590"/>
      <c r="C43" s="2241" t="e">
        <f>R43</f>
        <v>#DIV/0!</v>
      </c>
      <c r="D43" s="2241"/>
      <c r="E43" s="2241"/>
      <c r="F43" s="2241"/>
      <c r="G43" s="2241"/>
      <c r="H43" s="2241"/>
      <c r="I43" s="2241"/>
      <c r="J43" s="2241"/>
      <c r="K43" s="1419"/>
      <c r="L43" s="1866"/>
      <c r="M43" s="1867"/>
      <c r="N43" s="1867"/>
      <c r="O43" s="1867"/>
      <c r="P43" s="3881" t="str">
        <f>A43</f>
        <v>估价对象XX用房的比较价格（楼面单价，元/平方米）</v>
      </c>
      <c r="Q43" s="3882"/>
      <c r="R43" s="3952" t="e">
        <f>IF(F1="售价",ROUND(IF(D42="简单平均",AVERAGE(R42:V42),R42*F42+T42*H42+V42*J42),0),ROUND(IF(D42="简单平均",AVERAGE(R42:V42),R42*F42+T42*H42+V42*J42),1))</f>
        <v>#DIV/0!</v>
      </c>
      <c r="S43" s="3952"/>
      <c r="T43" s="3952"/>
      <c r="U43" s="3952"/>
      <c r="V43" s="3952"/>
      <c r="W43" s="3952"/>
      <c r="X43" s="1374"/>
      <c r="Y43" s="1374"/>
      <c r="Z43" s="1374"/>
      <c r="AA43" s="1374"/>
      <c r="AB43" s="1374"/>
      <c r="AC43" s="1374"/>
    </row>
    <row r="44" spans="1:29">
      <c r="A44" s="2956"/>
      <c r="B44" s="2956"/>
      <c r="C44" s="2956"/>
      <c r="D44" s="2956"/>
      <c r="E44" s="2956"/>
      <c r="F44" s="2956"/>
      <c r="G44" s="2958"/>
      <c r="H44" s="2956"/>
      <c r="I44" s="2956"/>
      <c r="J44" s="2956"/>
      <c r="K44" s="2959"/>
      <c r="L44" s="1871"/>
      <c r="M44" s="1867"/>
      <c r="N44" s="1867"/>
      <c r="O44" s="1867"/>
      <c r="P44" s="1867"/>
      <c r="Q44" s="1867"/>
      <c r="R44" s="1867"/>
      <c r="S44" s="1867"/>
      <c r="T44" s="1867"/>
      <c r="U44" s="1867"/>
      <c r="V44" s="1867"/>
      <c r="W44" s="1867"/>
      <c r="X44" s="1867"/>
      <c r="Y44" s="1867"/>
      <c r="Z44" s="1867"/>
      <c r="AA44" s="1867"/>
      <c r="AB44" s="1867"/>
      <c r="AC44" s="1867"/>
    </row>
    <row r="45" spans="1:29">
      <c r="A45" s="2956"/>
      <c r="B45" s="2956"/>
      <c r="C45" s="2956"/>
      <c r="D45" s="2956"/>
      <c r="E45" s="2956"/>
      <c r="F45" s="2956"/>
      <c r="G45" s="2956"/>
      <c r="H45" s="2956"/>
      <c r="I45" s="2956"/>
      <c r="J45" s="2956"/>
      <c r="K45" s="2959"/>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6"/>
      <c r="B46" s="2956"/>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9"/>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6"/>
      <c r="B47" s="2956"/>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9"/>
      <c r="L47" s="1871"/>
      <c r="M47" s="1867"/>
      <c r="N47" s="1867"/>
      <c r="O47" s="1867"/>
      <c r="P47" s="1867"/>
      <c r="Q47" s="1867"/>
      <c r="R47" s="1867"/>
      <c r="S47" s="1867"/>
      <c r="T47" s="1867"/>
      <c r="U47" s="1867"/>
      <c r="V47" s="1867"/>
      <c r="W47" s="1867"/>
      <c r="X47" s="1867"/>
      <c r="Y47" s="1867"/>
      <c r="Z47" s="1867"/>
      <c r="AA47" s="1867"/>
      <c r="AB47" s="1867"/>
      <c r="AC47" s="1867"/>
    </row>
    <row r="48" spans="1:29" s="1204" customFormat="1" ht="13.5" customHeight="1">
      <c r="A48" s="2957"/>
      <c r="B48" s="2957"/>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0"/>
      <c r="L48" s="1874"/>
      <c r="M48" s="1868"/>
      <c r="N48" s="1868"/>
      <c r="O48" s="1868"/>
      <c r="P48" s="1868"/>
      <c r="Q48" s="1868"/>
      <c r="R48" s="1868"/>
      <c r="S48" s="1868"/>
      <c r="T48" s="1868"/>
      <c r="U48" s="1868"/>
      <c r="V48" s="1868"/>
      <c r="W48" s="1868"/>
      <c r="X48" s="1868"/>
      <c r="Y48" s="1868"/>
      <c r="Z48" s="1868"/>
      <c r="AA48" s="1868"/>
      <c r="AB48" s="1868"/>
      <c r="AC48" s="1868"/>
    </row>
    <row r="49" spans="1:29" s="1204"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6" t="s">
        <v>522</v>
      </c>
      <c r="B51" s="1374"/>
      <c r="C51" s="1395"/>
      <c r="D51" s="1395"/>
      <c r="E51" s="1395"/>
      <c r="F51" s="1397"/>
      <c r="G51" s="1397"/>
      <c r="H51" s="1395"/>
      <c r="I51" s="1395"/>
      <c r="J51" s="1395"/>
      <c r="K51" s="1398"/>
      <c r="L51" s="1394"/>
      <c r="M51" s="1395"/>
      <c r="N51" s="1878"/>
      <c r="O51" s="1878"/>
      <c r="P51" s="1878"/>
      <c r="Q51" s="1879"/>
      <c r="R51" s="1867"/>
      <c r="S51" s="1867"/>
      <c r="T51" s="1867"/>
      <c r="U51" s="1867"/>
      <c r="V51" s="1867"/>
      <c r="W51" s="1867"/>
      <c r="X51" s="1867"/>
      <c r="Y51" s="1867"/>
      <c r="Z51" s="1867"/>
      <c r="AA51" s="1867"/>
      <c r="AB51" s="1867"/>
      <c r="AC51" s="1867"/>
    </row>
    <row r="52" spans="1:29" s="1206" customFormat="1" ht="15">
      <c r="A52" s="613" t="s">
        <v>478</v>
      </c>
      <c r="B52" s="614"/>
      <c r="C52" s="2281" t="str">
        <f>YEAR(C7)&amp;"-"&amp;MONTH(C7)</f>
        <v>2023-9</v>
      </c>
      <c r="D52" s="2283">
        <f>EDATE(C52,-1)</f>
        <v>45139</v>
      </c>
      <c r="E52" s="2283">
        <f t="shared" ref="E52:O52" si="13">EDATE(D52,-1)</f>
        <v>45108</v>
      </c>
      <c r="F52" s="2283">
        <f t="shared" si="13"/>
        <v>45078</v>
      </c>
      <c r="G52" s="2283">
        <f t="shared" si="13"/>
        <v>45047</v>
      </c>
      <c r="H52" s="2283">
        <f t="shared" si="13"/>
        <v>45017</v>
      </c>
      <c r="I52" s="2283">
        <f t="shared" si="13"/>
        <v>44986</v>
      </c>
      <c r="J52" s="2283">
        <f t="shared" si="13"/>
        <v>44958</v>
      </c>
      <c r="K52" s="2283">
        <f t="shared" si="13"/>
        <v>44927</v>
      </c>
      <c r="L52" s="2283">
        <f t="shared" si="13"/>
        <v>44896</v>
      </c>
      <c r="M52" s="2283">
        <f t="shared" si="13"/>
        <v>44866</v>
      </c>
      <c r="N52" s="2283">
        <f t="shared" si="13"/>
        <v>44835</v>
      </c>
      <c r="O52" s="2283">
        <f t="shared" si="13"/>
        <v>44805</v>
      </c>
      <c r="P52" s="1881"/>
      <c r="Q52" s="1882"/>
      <c r="R52" s="1882"/>
      <c r="S52" s="1882"/>
      <c r="T52" s="1882"/>
      <c r="U52" s="1882"/>
      <c r="V52" s="1882"/>
      <c r="W52" s="1882"/>
      <c r="X52" s="1882"/>
      <c r="Y52" s="1882"/>
      <c r="Z52" s="1882"/>
      <c r="AA52" s="1882"/>
      <c r="AB52" s="1882"/>
      <c r="AC52" s="1882"/>
    </row>
    <row r="53" spans="1:29" s="1117" customFormat="1" ht="15">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7" customFormat="1" ht="15.75" thickBot="1">
      <c r="A54" s="621" t="s">
        <v>523</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7" customFormat="1" ht="15">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7" customFormat="1" ht="15.75"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7.75"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5.75"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199" customFormat="1" ht="15.75"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199" customFormat="1" ht="15.75"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199" customFormat="1" ht="15.75"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199" customFormat="1" ht="15.75"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199" customFormat="1" ht="15.75"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199" customFormat="1" ht="15.75"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7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75" thickTop="1">
      <c r="A74" s="637"/>
      <c r="B74" s="1651" t="s">
        <v>1840</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75" thickTop="1">
      <c r="A76" s="637"/>
      <c r="B76" s="2204" t="s">
        <v>1841</v>
      </c>
      <c r="C76" s="2205" t="s">
        <v>1842</v>
      </c>
      <c r="D76" s="2205" t="s">
        <v>1843</v>
      </c>
      <c r="E76" s="2205" t="s">
        <v>1844</v>
      </c>
      <c r="F76" s="2205" t="s">
        <v>1845</v>
      </c>
      <c r="G76" s="2205" t="s">
        <v>1846</v>
      </c>
      <c r="H76" s="897"/>
      <c r="I76" s="897"/>
      <c r="J76" s="897"/>
      <c r="K76" s="897"/>
      <c r="L76" s="897"/>
      <c r="M76" s="529"/>
      <c r="N76" s="1887"/>
      <c r="O76" s="1887"/>
      <c r="P76" s="1886"/>
      <c r="Q76" s="1879"/>
      <c r="R76" s="1867"/>
      <c r="S76" s="1867"/>
      <c r="T76" s="1867"/>
      <c r="U76" s="1867"/>
      <c r="V76" s="1867"/>
      <c r="W76" s="1867"/>
      <c r="X76" s="1867"/>
      <c r="Y76" s="1867"/>
      <c r="Z76" s="1867"/>
      <c r="AA76" s="1867"/>
      <c r="AB76" s="1867"/>
      <c r="AC76" s="1867"/>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7" customFormat="1" ht="15.75" thickTop="1">
      <c r="A80" s="677"/>
      <c r="B80" s="641">
        <f>B25</f>
        <v>111</v>
      </c>
      <c r="C80" s="656"/>
      <c r="D80" s="656"/>
      <c r="E80" s="656"/>
      <c r="F80" s="656"/>
      <c r="G80" s="656"/>
      <c r="H80" s="656"/>
      <c r="I80" s="656"/>
      <c r="J80" s="656"/>
      <c r="K80" s="656"/>
      <c r="L80" s="852"/>
      <c r="M80" s="853"/>
      <c r="N80" s="1883"/>
      <c r="O80" s="1883"/>
      <c r="P80" s="1886"/>
      <c r="Q80" s="1879"/>
      <c r="R80" s="1745"/>
      <c r="S80" s="1745"/>
      <c r="T80" s="1745"/>
      <c r="U80" s="1745"/>
      <c r="V80" s="1745"/>
      <c r="W80" s="1745"/>
      <c r="X80" s="1745"/>
      <c r="Y80" s="1745"/>
      <c r="Z80" s="1745"/>
      <c r="AA80" s="1745"/>
      <c r="AB80" s="1745"/>
      <c r="AC80" s="1745"/>
    </row>
    <row r="81" spans="1:29" s="1117" customFormat="1" ht="15.75"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7" customFormat="1" ht="15.75" thickTop="1">
      <c r="A82" s="677"/>
      <c r="B82" s="641">
        <f>B26</f>
        <v>111</v>
      </c>
      <c r="C82" s="656"/>
      <c r="D82" s="656"/>
      <c r="E82" s="656"/>
      <c r="F82" s="656"/>
      <c r="G82" s="656"/>
      <c r="H82" s="656"/>
      <c r="I82" s="656"/>
      <c r="J82" s="656"/>
      <c r="K82" s="656"/>
      <c r="L82" s="852"/>
      <c r="M82" s="853"/>
      <c r="N82" s="1883"/>
      <c r="O82" s="1883"/>
      <c r="P82" s="1886"/>
      <c r="Q82" s="1879"/>
      <c r="R82" s="1745"/>
      <c r="S82" s="1745"/>
      <c r="T82" s="1745"/>
      <c r="U82" s="1745"/>
      <c r="V82" s="1745"/>
      <c r="W82" s="1745"/>
      <c r="X82" s="1745"/>
      <c r="Y82" s="1745"/>
      <c r="Z82" s="1745"/>
      <c r="AA82" s="1745"/>
      <c r="AB82" s="1745"/>
      <c r="AC82" s="1745"/>
    </row>
    <row r="83" spans="1:29" s="1117" customFormat="1" ht="15.75"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199" customFormat="1" ht="15.75" thickTop="1">
      <c r="A84" s="655"/>
      <c r="B84" s="641">
        <f>B27</f>
        <v>111</v>
      </c>
      <c r="C84" s="656"/>
      <c r="D84" s="656"/>
      <c r="E84" s="656"/>
      <c r="F84" s="656"/>
      <c r="G84" s="656"/>
      <c r="H84" s="656"/>
      <c r="I84" s="656"/>
      <c r="J84" s="656"/>
      <c r="K84" s="656"/>
      <c r="L84" s="852"/>
      <c r="M84" s="853"/>
      <c r="N84" s="1888"/>
      <c r="O84" s="1888"/>
      <c r="P84" s="1889"/>
      <c r="Q84" s="1890"/>
      <c r="R84" s="1891"/>
      <c r="S84" s="1891"/>
      <c r="T84" s="1891"/>
      <c r="U84" s="1891"/>
      <c r="V84" s="1891"/>
      <c r="W84" s="1891"/>
      <c r="X84" s="1891"/>
      <c r="Y84" s="1891"/>
      <c r="Z84" s="1891"/>
      <c r="AA84" s="1891"/>
      <c r="AB84" s="1891"/>
      <c r="AC84" s="1891"/>
    </row>
    <row r="85" spans="1:29" s="1199" customFormat="1" ht="15.75"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5.75"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5.75" thickBot="1">
      <c r="A87" s="855"/>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199"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6">
        <v>0.5</v>
      </c>
      <c r="D98" s="856">
        <v>0.6</v>
      </c>
      <c r="E98" s="856">
        <v>0.7</v>
      </c>
      <c r="F98" s="856">
        <v>0.8</v>
      </c>
      <c r="G98" s="856">
        <v>0.9</v>
      </c>
      <c r="H98" s="856">
        <v>1.0001</v>
      </c>
      <c r="I98" s="867"/>
      <c r="J98" s="867"/>
      <c r="K98" s="868"/>
      <c r="L98" s="869"/>
      <c r="M98" s="870"/>
      <c r="N98" s="1885"/>
      <c r="O98" s="1885"/>
      <c r="P98" s="1886"/>
      <c r="Q98" s="1879"/>
      <c r="R98" s="1867"/>
      <c r="S98" s="1867"/>
      <c r="T98" s="1867"/>
      <c r="U98" s="1867"/>
      <c r="V98" s="1867"/>
      <c r="W98" s="1867"/>
      <c r="X98" s="1867"/>
      <c r="Y98" s="1867"/>
      <c r="Z98" s="1867"/>
      <c r="AA98" s="1867"/>
      <c r="AB98" s="1867"/>
      <c r="AC98" s="1867"/>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199"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199"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1839</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7.75" thickTop="1">
      <c r="A106" s="703"/>
      <c r="B106" s="879"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199" customFormat="1" ht="15"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199" customFormat="1" ht="15.75"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5"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5"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5.75" thickBot="1">
      <c r="A113" s="855"/>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9" priority="20" stopIfTrue="1" operator="containsText" text="超过">
      <formula>NOT(ISERROR(SEARCH("超过",F46)))</formula>
    </cfRule>
  </conditionalFormatting>
  <conditionalFormatting sqref="H48">
    <cfRule type="containsText" dxfId="58" priority="19" stopIfTrue="1" operator="containsText" text="超过">
      <formula>NOT(ISERROR(SEARCH("超过",H48)))</formula>
    </cfRule>
  </conditionalFormatting>
  <conditionalFormatting sqref="F48">
    <cfRule type="containsText" dxfId="57" priority="18" stopIfTrue="1" operator="containsText" text="超过">
      <formula>NOT(ISERROR(SEARCH("超过",F48)))</formula>
    </cfRule>
  </conditionalFormatting>
  <conditionalFormatting sqref="F47 H47">
    <cfRule type="containsText" dxfId="56" priority="17" stopIfTrue="1" operator="containsText" text="超过">
      <formula>NOT(ISERROR(SEARCH("超过",F47)))</formula>
    </cfRule>
  </conditionalFormatting>
  <conditionalFormatting sqref="E46">
    <cfRule type="expression" dxfId="55" priority="16" stopIfTrue="1">
      <formula>$F$46="超过30%"</formula>
    </cfRule>
  </conditionalFormatting>
  <conditionalFormatting sqref="E47">
    <cfRule type="expression" dxfId="54" priority="15" stopIfTrue="1">
      <formula>$F$47="超过20%"</formula>
    </cfRule>
  </conditionalFormatting>
  <conditionalFormatting sqref="E48">
    <cfRule type="expression" dxfId="53" priority="14" stopIfTrue="1">
      <formula>$F$48="超过30%"</formula>
    </cfRule>
  </conditionalFormatting>
  <conditionalFormatting sqref="G48">
    <cfRule type="expression" dxfId="52" priority="13" stopIfTrue="1">
      <formula>$H$48="超过30%"</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J46">
    <cfRule type="containsText" dxfId="49" priority="10" stopIfTrue="1" operator="containsText" text="超过">
      <formula>NOT(ISERROR(SEARCH("超过",J46)))</formula>
    </cfRule>
  </conditionalFormatting>
  <conditionalFormatting sqref="J48">
    <cfRule type="containsText" dxfId="48" priority="9" stopIfTrue="1" operator="containsText" text="超过">
      <formula>NOT(ISERROR(SEARCH("超过",J48)))</formula>
    </cfRule>
  </conditionalFormatting>
  <conditionalFormatting sqref="J47">
    <cfRule type="containsText" dxfId="47" priority="8" stopIfTrue="1" operator="containsText" text="超过">
      <formula>NOT(ISERROR(SEARCH("超过",J47)))</formula>
    </cfRule>
  </conditionalFormatting>
  <conditionalFormatting sqref="I46">
    <cfRule type="expression" dxfId="46" priority="7" stopIfTrue="1">
      <formula>$J$46="超过30%"</formula>
    </cfRule>
  </conditionalFormatting>
  <conditionalFormatting sqref="I47">
    <cfRule type="expression" dxfId="45" priority="6" stopIfTrue="1">
      <formula>$J$47="超过20%"</formula>
    </cfRule>
  </conditionalFormatting>
  <conditionalFormatting sqref="I48">
    <cfRule type="expression" dxfId="44" priority="5" stopIfTrue="1">
      <formula>$J$48="超过30%"</formula>
    </cfRule>
  </conditionalFormatting>
  <conditionalFormatting sqref="F42">
    <cfRule type="expression" dxfId="43" priority="4">
      <formula>$D$42="简单平均"</formula>
    </cfRule>
  </conditionalFormatting>
  <conditionalFormatting sqref="H42">
    <cfRule type="expression" dxfId="42" priority="3">
      <formula>$D$42="简单平均"</formula>
    </cfRule>
  </conditionalFormatting>
  <conditionalFormatting sqref="J42">
    <cfRule type="expression" dxfId="41" priority="2">
      <formula>$D$42="简单平均"</formula>
    </cfRule>
  </conditionalFormatting>
  <conditionalFormatting sqref="F7:F40 H7:H40 J7:J40">
    <cfRule type="cellIs" dxfId="40"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H49" sqref="H49"/>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t="s">
        <v>2734</v>
      </c>
      <c r="C1" s="474" t="s">
        <v>732</v>
      </c>
      <c r="D1" s="814" t="s">
        <v>3293</v>
      </c>
      <c r="E1" s="476"/>
      <c r="F1" s="2286" t="s">
        <v>3274</v>
      </c>
      <c r="G1" s="1409" t="s">
        <v>733</v>
      </c>
      <c r="H1" s="476"/>
      <c r="I1" s="476"/>
      <c r="J1" s="476"/>
      <c r="K1" s="477"/>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10" t="s">
        <v>734</v>
      </c>
      <c r="B2" s="815">
        <f>IF(B37="元/平方米",ROUND(B3*D3/10000,0),ROUND(F3*C39/10000,0))</f>
        <v>11193</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thickBot="1">
      <c r="A3" s="479" t="s">
        <v>735</v>
      </c>
      <c r="B3" s="480">
        <f>IF(B37="元/平方米",C39,ROUND(B2*10000/D3,0))</f>
        <v>7950</v>
      </c>
      <c r="C3" s="817" t="s">
        <v>736</v>
      </c>
      <c r="D3" s="816">
        <f>SUMIF('数据-汇总表'!$C19:$C33,D1,'数据-汇总表'!$E19:$E33)</f>
        <v>14080</v>
      </c>
      <c r="E3" s="1633" t="s">
        <v>1594</v>
      </c>
      <c r="F3" s="816">
        <f>SUMIF('数据-取费表'!A5:A15,D1,'数据-取费表'!AH5:AH15)</f>
        <v>412</v>
      </c>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2" t="s">
        <v>737</v>
      </c>
      <c r="B4" s="483"/>
      <c r="C4" s="3849" t="s">
        <v>738</v>
      </c>
      <c r="D4" s="3850"/>
      <c r="E4" s="3849" t="s">
        <v>739</v>
      </c>
      <c r="F4" s="3850"/>
      <c r="G4" s="3849" t="s">
        <v>740</v>
      </c>
      <c r="H4" s="3850"/>
      <c r="I4" s="3849" t="s">
        <v>741</v>
      </c>
      <c r="J4" s="3850"/>
      <c r="K4" s="484" t="s">
        <v>742</v>
      </c>
      <c r="L4" s="1855"/>
      <c r="M4" s="1856"/>
      <c r="N4" s="1856"/>
      <c r="O4" s="1856"/>
      <c r="P4" s="3851" t="s">
        <v>743</v>
      </c>
      <c r="Q4" s="3852"/>
      <c r="R4" s="3857" t="s">
        <v>739</v>
      </c>
      <c r="S4" s="3858"/>
      <c r="T4" s="3857" t="s">
        <v>740</v>
      </c>
      <c r="U4" s="3858"/>
      <c r="V4" s="3844" t="s">
        <v>741</v>
      </c>
      <c r="W4" s="3844"/>
      <c r="X4" s="1379"/>
      <c r="Y4" s="3857" t="s">
        <v>743</v>
      </c>
      <c r="Z4" s="3858"/>
      <c r="AA4" s="3846" t="s">
        <v>739</v>
      </c>
      <c r="AB4" s="3847" t="s">
        <v>740</v>
      </c>
      <c r="AC4" s="3846" t="s">
        <v>741</v>
      </c>
    </row>
    <row r="5" spans="1:29" ht="15">
      <c r="A5" s="485"/>
      <c r="B5" s="486"/>
      <c r="C5" s="3867" t="s">
        <v>2183</v>
      </c>
      <c r="D5" s="3866"/>
      <c r="E5" s="3865" t="s">
        <v>3319</v>
      </c>
      <c r="F5" s="3866"/>
      <c r="G5" s="3865" t="s">
        <v>3309</v>
      </c>
      <c r="H5" s="3866"/>
      <c r="I5" s="3865" t="s">
        <v>3310</v>
      </c>
      <c r="J5" s="3866"/>
      <c r="K5" s="484"/>
      <c r="L5" s="1855"/>
      <c r="M5" s="1856"/>
      <c r="N5" s="1856"/>
      <c r="O5" s="1856"/>
      <c r="P5" s="3853"/>
      <c r="Q5" s="3854"/>
      <c r="R5" s="3859"/>
      <c r="S5" s="3860"/>
      <c r="T5" s="3859"/>
      <c r="U5" s="3860"/>
      <c r="V5" s="3844"/>
      <c r="W5" s="3844"/>
      <c r="X5" s="1379"/>
      <c r="Y5" s="3859"/>
      <c r="Z5" s="3860"/>
      <c r="AA5" s="3847"/>
      <c r="AB5" s="3847"/>
      <c r="AC5" s="3847"/>
    </row>
    <row r="6" spans="1:29" ht="15.75" thickBot="1">
      <c r="A6" s="487"/>
      <c r="B6" s="488"/>
      <c r="C6" s="3863" t="s">
        <v>2187</v>
      </c>
      <c r="D6" s="3864"/>
      <c r="E6" s="3868" t="s">
        <v>2187</v>
      </c>
      <c r="F6" s="3869"/>
      <c r="G6" s="3863" t="s">
        <v>2187</v>
      </c>
      <c r="H6" s="3864"/>
      <c r="I6" s="3863" t="s">
        <v>2187</v>
      </c>
      <c r="J6" s="3864"/>
      <c r="K6" s="484" t="s">
        <v>477</v>
      </c>
      <c r="L6" s="1855"/>
      <c r="M6" s="1856"/>
      <c r="N6" s="1856"/>
      <c r="O6" s="1856"/>
      <c r="P6" s="3855"/>
      <c r="Q6" s="3856"/>
      <c r="R6" s="3859"/>
      <c r="S6" s="3860"/>
      <c r="T6" s="3861"/>
      <c r="U6" s="3862"/>
      <c r="V6" s="3844"/>
      <c r="W6" s="3844"/>
      <c r="X6" s="1379"/>
      <c r="Y6" s="3861"/>
      <c r="Z6" s="3862"/>
      <c r="AA6" s="3848"/>
      <c r="AB6" s="3848"/>
      <c r="AC6" s="3848"/>
    </row>
    <row r="7" spans="1:29" s="1117" customFormat="1" ht="15.75" thickBot="1">
      <c r="A7" s="2391"/>
      <c r="B7" s="2398" t="s">
        <v>478</v>
      </c>
      <c r="C7" s="489">
        <f>'数据-取费表'!B2</f>
        <v>45175</v>
      </c>
      <c r="D7" s="490">
        <v>100</v>
      </c>
      <c r="E7" s="491">
        <v>45148</v>
      </c>
      <c r="F7" s="492">
        <f>SUMIF(48:48,YEAR(E7)&amp;"-"&amp;MONTH(E7),49:49)</f>
        <v>100</v>
      </c>
      <c r="G7" s="493">
        <v>45164</v>
      </c>
      <c r="H7" s="490">
        <f>SUMIF(48:48,YEAR(G7)&amp;"-"&amp;MONTH(G7),49:49)</f>
        <v>100</v>
      </c>
      <c r="I7" s="493">
        <v>45169</v>
      </c>
      <c r="J7" s="490">
        <f>SUMIF(48:48,YEAR(I7)&amp;"-"&amp;MONTH(I7),49:49)</f>
        <v>100</v>
      </c>
      <c r="K7" s="494"/>
      <c r="L7" s="1857"/>
      <c r="M7" s="1858"/>
      <c r="N7" s="1858"/>
      <c r="O7" s="1858"/>
      <c r="P7" s="3874" t="s">
        <v>479</v>
      </c>
      <c r="Q7" s="3876"/>
      <c r="R7" s="1380" t="s">
        <v>5</v>
      </c>
      <c r="S7" s="1381">
        <f t="shared" ref="S7:S14" si="0">F7</f>
        <v>100</v>
      </c>
      <c r="T7" s="1380" t="s">
        <v>5</v>
      </c>
      <c r="U7" s="1381">
        <f t="shared" ref="U7:U14" si="1">H7</f>
        <v>100</v>
      </c>
      <c r="V7" s="1380" t="s">
        <v>5</v>
      </c>
      <c r="W7" s="1381">
        <f t="shared" ref="W7:W14" si="2">J7</f>
        <v>100</v>
      </c>
      <c r="X7" s="1382"/>
      <c r="Y7" s="3874" t="s">
        <v>479</v>
      </c>
      <c r="Z7" s="3875"/>
      <c r="AA7" s="1383">
        <f>D7/F7</f>
        <v>1</v>
      </c>
      <c r="AB7" s="1383">
        <f>D7/H7</f>
        <v>1</v>
      </c>
      <c r="AC7" s="1383">
        <f>D7/J7</f>
        <v>1</v>
      </c>
    </row>
    <row r="8" spans="1:29" s="1117" customFormat="1" ht="15.75" thickBot="1">
      <c r="A8" s="2392"/>
      <c r="B8" s="2399" t="s">
        <v>480</v>
      </c>
      <c r="C8" s="495" t="s">
        <v>524</v>
      </c>
      <c r="D8" s="490">
        <v>100</v>
      </c>
      <c r="E8" s="495" t="s">
        <v>3262</v>
      </c>
      <c r="F8" s="492">
        <f>SUMIF(51:51,E8,52:52)-SUMIF(51:51,C8,52:52)+100</f>
        <v>100</v>
      </c>
      <c r="G8" s="495" t="s">
        <v>3262</v>
      </c>
      <c r="H8" s="490">
        <f>SUMIF(51:51,G8,52:52)-SUMIF(51:51,C8,52:52)+100</f>
        <v>100</v>
      </c>
      <c r="I8" s="495" t="s">
        <v>3262</v>
      </c>
      <c r="J8" s="490">
        <f>SUMIF(51:51,I8,52:52)-SUMIF(51:51,C8,52:52)+100</f>
        <v>100</v>
      </c>
      <c r="K8" s="494"/>
      <c r="L8" s="1857"/>
      <c r="M8" s="1858"/>
      <c r="N8" s="1858"/>
      <c r="O8" s="1858"/>
      <c r="P8" s="3874" t="s">
        <v>482</v>
      </c>
      <c r="Q8" s="3875"/>
      <c r="R8" s="1380" t="s">
        <v>5</v>
      </c>
      <c r="S8" s="1381">
        <f t="shared" si="0"/>
        <v>100</v>
      </c>
      <c r="T8" s="1380" t="s">
        <v>5</v>
      </c>
      <c r="U8" s="1381">
        <f t="shared" si="1"/>
        <v>100</v>
      </c>
      <c r="V8" s="1380" t="s">
        <v>5</v>
      </c>
      <c r="W8" s="1381">
        <f t="shared" si="2"/>
        <v>100</v>
      </c>
      <c r="X8" s="1382"/>
      <c r="Y8" s="3874" t="s">
        <v>482</v>
      </c>
      <c r="Z8" s="3875"/>
      <c r="AA8" s="1383">
        <f t="shared" ref="AA8:AA36" si="3">D8/F8</f>
        <v>1</v>
      </c>
      <c r="AB8" s="1383">
        <f t="shared" ref="AB8:AB36" si="4">D8/H8</f>
        <v>1</v>
      </c>
      <c r="AC8" s="1383">
        <f t="shared" ref="AC8:AC36" si="5">D8/J8</f>
        <v>1</v>
      </c>
    </row>
    <row r="9" spans="1:29" s="1117" customFormat="1" ht="15">
      <c r="A9" s="2393"/>
      <c r="B9" s="2400" t="s">
        <v>2038</v>
      </c>
      <c r="C9" s="3667" t="s">
        <v>3311</v>
      </c>
      <c r="D9" s="245">
        <v>100</v>
      </c>
      <c r="E9" s="825" t="s">
        <v>3293</v>
      </c>
      <c r="F9" s="245">
        <f>SUMIF(53:53,E9,54:54)-SUMIF(53:53,C9,54:54)+100</f>
        <v>100</v>
      </c>
      <c r="G9" s="825" t="s">
        <v>3293</v>
      </c>
      <c r="H9" s="245">
        <f>SUMIF(53:53,G9,54:54)-SUMIF(53:53,C9,54:54)+100</f>
        <v>100</v>
      </c>
      <c r="I9" s="825" t="s">
        <v>3293</v>
      </c>
      <c r="J9" s="245">
        <f>SUMIF(53:53,I9,54:54)-SUMIF(53:53,C9,54:54)+100</f>
        <v>100</v>
      </c>
      <c r="K9" s="494"/>
      <c r="L9" s="1857"/>
      <c r="M9" s="1858"/>
      <c r="N9" s="1858"/>
      <c r="O9" s="1859"/>
      <c r="P9" s="3843" t="s">
        <v>484</v>
      </c>
      <c r="Q9" s="1049" t="str">
        <f t="shared" ref="Q9:Q14" si="6">B9</f>
        <v>用途</v>
      </c>
      <c r="R9" s="1380" t="s">
        <v>5</v>
      </c>
      <c r="S9" s="1381">
        <f t="shared" si="0"/>
        <v>100</v>
      </c>
      <c r="T9" s="1380" t="s">
        <v>5</v>
      </c>
      <c r="U9" s="1381">
        <f t="shared" si="1"/>
        <v>100</v>
      </c>
      <c r="V9" s="1380" t="s">
        <v>5</v>
      </c>
      <c r="W9" s="1381">
        <f t="shared" si="2"/>
        <v>100</v>
      </c>
      <c r="X9" s="1382"/>
      <c r="Y9" s="3791" t="s">
        <v>485</v>
      </c>
      <c r="Z9" s="1048" t="str">
        <f t="shared" ref="Z9:Z14" si="7">Q9</f>
        <v>用途</v>
      </c>
      <c r="AA9" s="1383">
        <f t="shared" si="3"/>
        <v>1</v>
      </c>
      <c r="AB9" s="1383">
        <f t="shared" si="4"/>
        <v>1</v>
      </c>
      <c r="AC9" s="1383">
        <f t="shared" si="5"/>
        <v>1</v>
      </c>
    </row>
    <row r="10" spans="1:29" s="1198" customFormat="1" ht="27.75" thickBot="1">
      <c r="A10" s="2394"/>
      <c r="B10" s="2399" t="s">
        <v>2039</v>
      </c>
      <c r="C10" s="3659" t="s">
        <v>3312</v>
      </c>
      <c r="D10" s="246">
        <v>100</v>
      </c>
      <c r="E10" s="3659" t="s">
        <v>3312</v>
      </c>
      <c r="F10" s="246">
        <f>SUMIF(55:55,E10,56:56)-SUMIF(55:55,C10,56:56)+100</f>
        <v>100</v>
      </c>
      <c r="G10" s="3660" t="s">
        <v>3312</v>
      </c>
      <c r="H10" s="246">
        <f>SUMIF(55:55,G10,56:56)-SUMIF(55:55,C10,56:56)+100</f>
        <v>100</v>
      </c>
      <c r="I10" s="3659" t="s">
        <v>3312</v>
      </c>
      <c r="J10" s="246">
        <f>SUMIF(55:55,I10,56:56)-SUMIF(55:55,C10,56:56)+100</f>
        <v>100</v>
      </c>
      <c r="K10" s="494"/>
      <c r="L10" s="1860"/>
      <c r="M10" s="1899"/>
      <c r="N10" s="1899"/>
      <c r="O10" s="1861"/>
      <c r="P10" s="3843"/>
      <c r="Q10" s="1049" t="str">
        <f t="shared" si="6"/>
        <v>土地使用年限（年）</v>
      </c>
      <c r="R10" s="1380" t="s">
        <v>5</v>
      </c>
      <c r="S10" s="1381">
        <f t="shared" si="0"/>
        <v>100</v>
      </c>
      <c r="T10" s="1380" t="s">
        <v>5</v>
      </c>
      <c r="U10" s="1381">
        <f t="shared" si="1"/>
        <v>100</v>
      </c>
      <c r="V10" s="1380" t="s">
        <v>5</v>
      </c>
      <c r="W10" s="1381">
        <f t="shared" si="2"/>
        <v>100</v>
      </c>
      <c r="X10" s="1382"/>
      <c r="Y10" s="3791"/>
      <c r="Z10" s="1048" t="str">
        <f t="shared" si="7"/>
        <v>土地使用年限（年）</v>
      </c>
      <c r="AA10" s="1383">
        <f t="shared" si="3"/>
        <v>1</v>
      </c>
      <c r="AB10" s="1383">
        <f t="shared" si="4"/>
        <v>1</v>
      </c>
      <c r="AC10" s="1383">
        <f t="shared" si="5"/>
        <v>1</v>
      </c>
    </row>
    <row r="11" spans="1:29" ht="15" hidden="1">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843"/>
      <c r="Q11" s="1049">
        <f t="shared" si="6"/>
        <v>111</v>
      </c>
      <c r="R11" s="1380" t="s">
        <v>5</v>
      </c>
      <c r="S11" s="1381">
        <f t="shared" si="0"/>
        <v>100</v>
      </c>
      <c r="T11" s="1380" t="s">
        <v>5</v>
      </c>
      <c r="U11" s="1381">
        <f t="shared" si="1"/>
        <v>100</v>
      </c>
      <c r="V11" s="1380" t="s">
        <v>5</v>
      </c>
      <c r="W11" s="1381">
        <f t="shared" si="2"/>
        <v>100</v>
      </c>
      <c r="X11" s="1382"/>
      <c r="Y11" s="3791"/>
      <c r="Z11" s="1048">
        <f t="shared" si="7"/>
        <v>111</v>
      </c>
      <c r="AA11" s="1383">
        <f t="shared" si="3"/>
        <v>1</v>
      </c>
      <c r="AB11" s="1383">
        <f t="shared" si="4"/>
        <v>1</v>
      </c>
      <c r="AC11" s="1383">
        <f t="shared" si="5"/>
        <v>1</v>
      </c>
    </row>
    <row r="12" spans="1:29" s="1117" customFormat="1" ht="15" hidden="1">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843"/>
      <c r="Q12" s="1049">
        <f t="shared" si="6"/>
        <v>111</v>
      </c>
      <c r="R12" s="1380" t="s">
        <v>5</v>
      </c>
      <c r="S12" s="1381">
        <f t="shared" si="0"/>
        <v>100</v>
      </c>
      <c r="T12" s="1380" t="s">
        <v>5</v>
      </c>
      <c r="U12" s="1381">
        <f t="shared" si="1"/>
        <v>100</v>
      </c>
      <c r="V12" s="1380" t="s">
        <v>5</v>
      </c>
      <c r="W12" s="1381">
        <f t="shared" si="2"/>
        <v>100</v>
      </c>
      <c r="X12" s="1382"/>
      <c r="Y12" s="3791"/>
      <c r="Z12" s="1048">
        <f t="shared" si="7"/>
        <v>111</v>
      </c>
      <c r="AA12" s="1383">
        <f>D12/F12</f>
        <v>1</v>
      </c>
      <c r="AB12" s="1383">
        <f>D12/H12</f>
        <v>1</v>
      </c>
      <c r="AC12" s="1383">
        <f>D12/J12</f>
        <v>1</v>
      </c>
    </row>
    <row r="13" spans="1:29" ht="15.75" hidden="1"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843"/>
      <c r="Q13" s="1049">
        <f t="shared" si="6"/>
        <v>111</v>
      </c>
      <c r="R13" s="1380" t="s">
        <v>5</v>
      </c>
      <c r="S13" s="1381">
        <f t="shared" si="0"/>
        <v>100</v>
      </c>
      <c r="T13" s="1380" t="s">
        <v>5</v>
      </c>
      <c r="U13" s="1381">
        <f t="shared" si="1"/>
        <v>100</v>
      </c>
      <c r="V13" s="1380" t="s">
        <v>5</v>
      </c>
      <c r="W13" s="1381">
        <f t="shared" si="2"/>
        <v>100</v>
      </c>
      <c r="X13" s="1382"/>
      <c r="Y13" s="3791"/>
      <c r="Z13" s="1048">
        <f t="shared" si="7"/>
        <v>111</v>
      </c>
      <c r="AA13" s="1383">
        <f t="shared" si="3"/>
        <v>1</v>
      </c>
      <c r="AB13" s="1383">
        <f t="shared" si="4"/>
        <v>1</v>
      </c>
      <c r="AC13" s="1383">
        <f t="shared" si="5"/>
        <v>1</v>
      </c>
    </row>
    <row r="14" spans="1:29" ht="15">
      <c r="A14" s="2389" t="s">
        <v>2036</v>
      </c>
      <c r="B14" s="517" t="s">
        <v>492</v>
      </c>
      <c r="C14" s="883">
        <f>IF(B1="工业",估价对象房地状况!G4,估价对象房地状况!C6)</f>
        <v>0</v>
      </c>
      <c r="D14" s="519">
        <v>100</v>
      </c>
      <c r="E14" s="520"/>
      <c r="F14" s="521">
        <f>SUMIF(63:63,E15,64:64)-SUMIF(63:63,C15,64:64)+100</f>
        <v>100</v>
      </c>
      <c r="G14" s="522"/>
      <c r="H14" s="519">
        <f>SUMIF(63:63,G15,64:64)-SUMIF(63:63,C15,64:64)+100</f>
        <v>100</v>
      </c>
      <c r="I14" s="520"/>
      <c r="J14" s="519">
        <f>SUMIF(63:63,I15,64:64)-SUMIF(63:63,C15,64:64)+100</f>
        <v>100</v>
      </c>
      <c r="K14" s="860">
        <v>2</v>
      </c>
      <c r="L14" s="1864"/>
      <c r="M14" s="1856"/>
      <c r="N14" s="1856"/>
      <c r="O14" s="1863"/>
      <c r="P14" s="3877" t="s">
        <v>489</v>
      </c>
      <c r="Q14" s="1384" t="str">
        <f t="shared" si="6"/>
        <v>交通便捷度</v>
      </c>
      <c r="R14" s="1385" t="s">
        <v>5</v>
      </c>
      <c r="S14" s="1386">
        <f t="shared" si="0"/>
        <v>100</v>
      </c>
      <c r="T14" s="1385" t="s">
        <v>5</v>
      </c>
      <c r="U14" s="1386">
        <f t="shared" si="1"/>
        <v>100</v>
      </c>
      <c r="V14" s="1385" t="s">
        <v>5</v>
      </c>
      <c r="W14" s="1386">
        <f t="shared" si="2"/>
        <v>100</v>
      </c>
      <c r="X14" s="1379"/>
      <c r="Y14" s="3877" t="s">
        <v>489</v>
      </c>
      <c r="Z14" s="1387" t="str">
        <f t="shared" si="7"/>
        <v>交通便捷度</v>
      </c>
      <c r="AA14" s="1388">
        <f t="shared" si="3"/>
        <v>1</v>
      </c>
      <c r="AB14" s="1388">
        <f t="shared" si="4"/>
        <v>1</v>
      </c>
      <c r="AC14" s="1388">
        <f t="shared" si="5"/>
        <v>1</v>
      </c>
    </row>
    <row r="15" spans="1:29" ht="15">
      <c r="A15" s="485"/>
      <c r="B15" s="886"/>
      <c r="C15" s="546" t="s">
        <v>3270</v>
      </c>
      <c r="D15" s="525"/>
      <c r="E15" s="546" t="s">
        <v>3270</v>
      </c>
      <c r="F15" s="527"/>
      <c r="G15" s="546" t="s">
        <v>3270</v>
      </c>
      <c r="H15" s="529"/>
      <c r="I15" s="546" t="s">
        <v>3270</v>
      </c>
      <c r="J15" s="525"/>
      <c r="K15" s="861"/>
      <c r="L15" s="1864"/>
      <c r="M15" s="1856"/>
      <c r="N15" s="1856"/>
      <c r="O15" s="1863"/>
      <c r="P15" s="3878"/>
      <c r="Q15" s="1384"/>
      <c r="R15" s="1385"/>
      <c r="S15" s="1386"/>
      <c r="T15" s="1385"/>
      <c r="U15" s="1386"/>
      <c r="V15" s="1385"/>
      <c r="W15" s="1386"/>
      <c r="X15" s="1379"/>
      <c r="Y15" s="3878"/>
      <c r="Z15" s="1387"/>
      <c r="AA15" s="1388">
        <v>1</v>
      </c>
      <c r="AB15" s="1388">
        <v>1</v>
      </c>
      <c r="AC15" s="1388">
        <v>1</v>
      </c>
    </row>
    <row r="16" spans="1:29" ht="15">
      <c r="A16" s="485"/>
      <c r="B16" s="2210" t="s">
        <v>1829</v>
      </c>
      <c r="C16" s="835">
        <f>IF(B1="工业",估价对象房地状况!G5,估价对象房地状况!C7)</f>
        <v>0</v>
      </c>
      <c r="D16" s="535">
        <v>100</v>
      </c>
      <c r="E16" s="542"/>
      <c r="F16" s="541">
        <f>SUMIF(65:65,E17,66:66)-SUMIF(65:65,C17,66:66)+100</f>
        <v>100</v>
      </c>
      <c r="G16" s="542"/>
      <c r="H16" s="535">
        <f>SUMIF(65:65,G17,66:66)-SUMIF(65:65,C17,66:66)+100</f>
        <v>100</v>
      </c>
      <c r="I16" s="540"/>
      <c r="J16" s="535">
        <f>SUMIF(65:65,I17,66:66)-SUMIF(65:65,C17,66:66)+100</f>
        <v>100</v>
      </c>
      <c r="K16" s="860">
        <v>2</v>
      </c>
      <c r="L16" s="1864"/>
      <c r="M16" s="1856"/>
      <c r="N16" s="1856"/>
      <c r="O16" s="1863"/>
      <c r="P16" s="3878"/>
      <c r="Q16" s="1384" t="str">
        <f>B16</f>
        <v>公共配套设施</v>
      </c>
      <c r="R16" s="1385" t="s">
        <v>5</v>
      </c>
      <c r="S16" s="1386">
        <f>F16</f>
        <v>100</v>
      </c>
      <c r="T16" s="1385" t="s">
        <v>5</v>
      </c>
      <c r="U16" s="1386">
        <f>H16</f>
        <v>100</v>
      </c>
      <c r="V16" s="1385" t="s">
        <v>5</v>
      </c>
      <c r="W16" s="1386">
        <f>J16</f>
        <v>100</v>
      </c>
      <c r="X16" s="1379"/>
      <c r="Y16" s="3878"/>
      <c r="Z16" s="1387" t="str">
        <f>Q16</f>
        <v>公共配套设施</v>
      </c>
      <c r="AA16" s="1388">
        <f t="shared" si="3"/>
        <v>1</v>
      </c>
      <c r="AB16" s="1388">
        <f t="shared" si="4"/>
        <v>1</v>
      </c>
      <c r="AC16" s="1388">
        <f t="shared" si="5"/>
        <v>1</v>
      </c>
    </row>
    <row r="17" spans="1:29" ht="15">
      <c r="A17" s="485"/>
      <c r="B17" s="536"/>
      <c r="C17" s="546" t="s">
        <v>3270</v>
      </c>
      <c r="D17" s="525"/>
      <c r="E17" s="546" t="s">
        <v>3270</v>
      </c>
      <c r="F17" s="527"/>
      <c r="G17" s="546" t="s">
        <v>3270</v>
      </c>
      <c r="H17" s="525"/>
      <c r="I17" s="546" t="s">
        <v>3270</v>
      </c>
      <c r="J17" s="525"/>
      <c r="K17" s="861"/>
      <c r="L17" s="1864"/>
      <c r="M17" s="1856"/>
      <c r="N17" s="1856"/>
      <c r="O17" s="1863"/>
      <c r="P17" s="3878"/>
      <c r="Q17" s="1384"/>
      <c r="R17" s="1385"/>
      <c r="S17" s="1386"/>
      <c r="T17" s="1385"/>
      <c r="U17" s="1386"/>
      <c r="V17" s="1385"/>
      <c r="W17" s="1386"/>
      <c r="X17" s="1379"/>
      <c r="Y17" s="3878"/>
      <c r="Z17" s="1387"/>
      <c r="AA17" s="1388">
        <v>1</v>
      </c>
      <c r="AB17" s="1388">
        <v>1</v>
      </c>
      <c r="AC17" s="1388">
        <v>1</v>
      </c>
    </row>
    <row r="18" spans="1:29" ht="15">
      <c r="A18" s="485"/>
      <c r="B18" s="2198" t="s">
        <v>1841</v>
      </c>
      <c r="C18" s="835">
        <f>IF(B1="工业",估价对象房地状况!G6,估价对象房地状况!C8)</f>
        <v>0</v>
      </c>
      <c r="D18" s="529">
        <v>100</v>
      </c>
      <c r="E18" s="542"/>
      <c r="F18" s="541">
        <f>SUMIF(67:67,E19,68:68)-SUMIF(67:67,C19,68:68)+100</f>
        <v>100</v>
      </c>
      <c r="G18" s="542"/>
      <c r="H18" s="535">
        <f>SUMIF(67:67,G19,68:68)-SUMIF(67:67,C19,68:68)+100</f>
        <v>100</v>
      </c>
      <c r="I18" s="540"/>
      <c r="J18" s="535">
        <f>SUMIF(67:67,I19,68:68)-SUMIF(67:67,C19,68:68)+100</f>
        <v>100</v>
      </c>
      <c r="K18" s="860">
        <v>2</v>
      </c>
      <c r="L18" s="1864"/>
      <c r="M18" s="1856"/>
      <c r="N18" s="1856"/>
      <c r="O18" s="1863"/>
      <c r="P18" s="3878"/>
      <c r="Q18" s="2192" t="str">
        <f>B18</f>
        <v>基础设施水平</v>
      </c>
      <c r="R18" s="1385" t="s">
        <v>5</v>
      </c>
      <c r="S18" s="1386">
        <f>F18</f>
        <v>100</v>
      </c>
      <c r="T18" s="1385" t="s">
        <v>5</v>
      </c>
      <c r="U18" s="1386">
        <f>H18</f>
        <v>100</v>
      </c>
      <c r="V18" s="1385" t="s">
        <v>5</v>
      </c>
      <c r="W18" s="1386">
        <f>J18</f>
        <v>100</v>
      </c>
      <c r="X18" s="2194"/>
      <c r="Y18" s="3878"/>
      <c r="Z18" s="2193" t="str">
        <f>Q18</f>
        <v>基础设施水平</v>
      </c>
      <c r="AA18" s="1388">
        <f>D18/F18</f>
        <v>1</v>
      </c>
      <c r="AB18" s="1388">
        <f>D18/H18</f>
        <v>1</v>
      </c>
      <c r="AC18" s="1388">
        <f>D18/J18</f>
        <v>1</v>
      </c>
    </row>
    <row r="19" spans="1:29" ht="15">
      <c r="A19" s="485"/>
      <c r="B19" s="548"/>
      <c r="C19" s="836" t="s">
        <v>3272</v>
      </c>
      <c r="D19" s="529"/>
      <c r="E19" s="836" t="s">
        <v>3272</v>
      </c>
      <c r="F19" s="527"/>
      <c r="G19" s="836" t="s">
        <v>3272</v>
      </c>
      <c r="H19" s="525"/>
      <c r="I19" s="836" t="s">
        <v>3272</v>
      </c>
      <c r="J19" s="525"/>
      <c r="K19" s="2209"/>
      <c r="L19" s="1864"/>
      <c r="M19" s="1856"/>
      <c r="N19" s="1856"/>
      <c r="O19" s="1863"/>
      <c r="P19" s="3878"/>
      <c r="Q19" s="2192"/>
      <c r="R19" s="1385"/>
      <c r="S19" s="1386"/>
      <c r="T19" s="1385"/>
      <c r="U19" s="1386"/>
      <c r="V19" s="1385"/>
      <c r="W19" s="1386"/>
      <c r="X19" s="2194"/>
      <c r="Y19" s="3878"/>
      <c r="Z19" s="2193"/>
      <c r="AA19" s="1388">
        <v>1</v>
      </c>
      <c r="AB19" s="1388">
        <v>1</v>
      </c>
      <c r="AC19" s="1388">
        <v>1</v>
      </c>
    </row>
    <row r="20" spans="1:29" ht="15">
      <c r="A20" s="485"/>
      <c r="B20" s="530" t="s">
        <v>744</v>
      </c>
      <c r="C20" s="835">
        <f>IF(B1="工业",估价对象房地状况!G7,估价对象房地状况!C9)</f>
        <v>0</v>
      </c>
      <c r="D20" s="535">
        <v>100</v>
      </c>
      <c r="E20" s="532"/>
      <c r="F20" s="533">
        <f>SUMIF(69:69,E21,70:70)-SUMIF(69:69,C21,70:70)+100</f>
        <v>100</v>
      </c>
      <c r="G20" s="534"/>
      <c r="H20" s="529">
        <f>SUMIF(69:69,G21,70:70)-SUMIF(69:69,C21,70:70)+100</f>
        <v>100</v>
      </c>
      <c r="I20" s="532"/>
      <c r="J20" s="529">
        <f>SUMIF(69:69,I21,70:70)-SUMIF(69:69,C21,70:70)+100</f>
        <v>100</v>
      </c>
      <c r="K20" s="860">
        <v>2</v>
      </c>
      <c r="L20" s="1864"/>
      <c r="M20" s="1856"/>
      <c r="N20" s="1856"/>
      <c r="O20" s="1863"/>
      <c r="P20" s="3878"/>
      <c r="Q20" s="1384" t="str">
        <f>B20</f>
        <v>自然及人文环境</v>
      </c>
      <c r="R20" s="1385" t="s">
        <v>5</v>
      </c>
      <c r="S20" s="1386">
        <f>F20</f>
        <v>100</v>
      </c>
      <c r="T20" s="1385" t="s">
        <v>5</v>
      </c>
      <c r="U20" s="1386">
        <f>H20</f>
        <v>100</v>
      </c>
      <c r="V20" s="1385" t="s">
        <v>5</v>
      </c>
      <c r="W20" s="1386">
        <f>J20</f>
        <v>100</v>
      </c>
      <c r="X20" s="1379"/>
      <c r="Y20" s="3878"/>
      <c r="Z20" s="1387" t="str">
        <f>Q20</f>
        <v>自然及人文环境</v>
      </c>
      <c r="AA20" s="1388">
        <f t="shared" si="3"/>
        <v>1</v>
      </c>
      <c r="AB20" s="1388">
        <f t="shared" si="4"/>
        <v>1</v>
      </c>
      <c r="AC20" s="1388">
        <f t="shared" si="5"/>
        <v>1</v>
      </c>
    </row>
    <row r="21" spans="1:29" ht="15.75" thickBot="1">
      <c r="A21" s="485"/>
      <c r="B21" s="536"/>
      <c r="C21" s="546" t="s">
        <v>3270</v>
      </c>
      <c r="D21" s="525"/>
      <c r="E21" s="546" t="s">
        <v>3270</v>
      </c>
      <c r="F21" s="527"/>
      <c r="G21" s="546" t="s">
        <v>3270</v>
      </c>
      <c r="H21" s="525"/>
      <c r="I21" s="546" t="s">
        <v>3270</v>
      </c>
      <c r="J21" s="525"/>
      <c r="K21" s="861"/>
      <c r="L21" s="1864"/>
      <c r="M21" s="1856"/>
      <c r="N21" s="1856"/>
      <c r="O21" s="1863"/>
      <c r="P21" s="3878"/>
      <c r="Q21" s="1384"/>
      <c r="R21" s="1385"/>
      <c r="S21" s="1386"/>
      <c r="T21" s="1385"/>
      <c r="U21" s="1386"/>
      <c r="V21" s="1385"/>
      <c r="W21" s="1386"/>
      <c r="X21" s="1379"/>
      <c r="Y21" s="3878"/>
      <c r="Z21" s="1387"/>
      <c r="AA21" s="1388">
        <v>1</v>
      </c>
      <c r="AB21" s="1388">
        <v>1</v>
      </c>
      <c r="AC21" s="1388">
        <v>1</v>
      </c>
    </row>
    <row r="22" spans="1:29" ht="15" hidden="1">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878"/>
      <c r="Q22" s="1384" t="str">
        <f>B22</f>
        <v>楼层</v>
      </c>
      <c r="R22" s="1385" t="s">
        <v>5</v>
      </c>
      <c r="S22" s="1386">
        <f>F22</f>
        <v>100</v>
      </c>
      <c r="T22" s="1385" t="s">
        <v>5</v>
      </c>
      <c r="U22" s="1386">
        <f>H22</f>
        <v>100</v>
      </c>
      <c r="V22" s="1385" t="s">
        <v>5</v>
      </c>
      <c r="W22" s="1386">
        <f>J22</f>
        <v>100</v>
      </c>
      <c r="X22" s="1379"/>
      <c r="Y22" s="3878"/>
      <c r="Z22" s="1387" t="str">
        <f>Q22</f>
        <v>楼层</v>
      </c>
      <c r="AA22" s="1388">
        <f t="shared" si="3"/>
        <v>1</v>
      </c>
      <c r="AB22" s="1388">
        <f t="shared" si="4"/>
        <v>1</v>
      </c>
      <c r="AC22" s="1388">
        <f t="shared" si="5"/>
        <v>1</v>
      </c>
    </row>
    <row r="23" spans="1:29" ht="15" hidden="1">
      <c r="A23" s="485"/>
      <c r="B23" s="887">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878"/>
      <c r="Q23" s="1384">
        <f>B23</f>
        <v>111</v>
      </c>
      <c r="R23" s="1385" t="s">
        <v>5</v>
      </c>
      <c r="S23" s="1386">
        <f>F23</f>
        <v>100</v>
      </c>
      <c r="T23" s="1385" t="s">
        <v>5</v>
      </c>
      <c r="U23" s="1386">
        <f>H23</f>
        <v>100</v>
      </c>
      <c r="V23" s="1385" t="s">
        <v>5</v>
      </c>
      <c r="W23" s="1386">
        <f>J23</f>
        <v>100</v>
      </c>
      <c r="X23" s="1379"/>
      <c r="Y23" s="3878"/>
      <c r="Z23" s="1387">
        <f>Q23</f>
        <v>111</v>
      </c>
      <c r="AA23" s="1388">
        <f t="shared" si="3"/>
        <v>1</v>
      </c>
      <c r="AB23" s="1388">
        <f t="shared" si="4"/>
        <v>1</v>
      </c>
      <c r="AC23" s="1388">
        <f t="shared" si="5"/>
        <v>1</v>
      </c>
    </row>
    <row r="24" spans="1:29" ht="15" hidden="1">
      <c r="A24" s="485"/>
      <c r="B24" s="887">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878"/>
      <c r="Q24" s="1384">
        <f t="shared" ref="Q24:Q36" si="8">B24</f>
        <v>111</v>
      </c>
      <c r="R24" s="1385" t="s">
        <v>5</v>
      </c>
      <c r="S24" s="1386">
        <f>F24</f>
        <v>100</v>
      </c>
      <c r="T24" s="1385" t="s">
        <v>5</v>
      </c>
      <c r="U24" s="1386">
        <f>H24</f>
        <v>100</v>
      </c>
      <c r="V24" s="1385" t="s">
        <v>5</v>
      </c>
      <c r="W24" s="1386">
        <f>J24</f>
        <v>100</v>
      </c>
      <c r="X24" s="1379"/>
      <c r="Y24" s="3878"/>
      <c r="Z24" s="1387">
        <f>Q24</f>
        <v>111</v>
      </c>
      <c r="AA24" s="1388">
        <f t="shared" si="3"/>
        <v>1</v>
      </c>
      <c r="AB24" s="1388">
        <f t="shared" si="4"/>
        <v>1</v>
      </c>
      <c r="AC24" s="1388">
        <f t="shared" si="5"/>
        <v>1</v>
      </c>
    </row>
    <row r="25" spans="1:29" s="1117" customFormat="1" ht="15.75" hidden="1" thickBot="1">
      <c r="A25" s="547"/>
      <c r="B25" s="876">
        <v>111</v>
      </c>
      <c r="C25" s="515"/>
      <c r="D25" s="888">
        <v>100</v>
      </c>
      <c r="E25" s="873"/>
      <c r="F25" s="889">
        <f>SUMIF(77:77,E25,78:78)-SUMIF(77:77,C25,78:78)+100</f>
        <v>100</v>
      </c>
      <c r="G25" s="873"/>
      <c r="H25" s="888">
        <f>SUMIF(77:77,G25,78:78)-SUMIF(77:77,C25,78:78)+100</f>
        <v>100</v>
      </c>
      <c r="I25" s="873"/>
      <c r="J25" s="888">
        <f>SUMIF(77:77,I25,78:78)-SUMIF(77:77,C25,78:78)+100</f>
        <v>100</v>
      </c>
      <c r="K25" s="551"/>
      <c r="L25" s="1857"/>
      <c r="M25" s="1858"/>
      <c r="N25" s="1858"/>
      <c r="O25" s="1859"/>
      <c r="P25" s="3878"/>
      <c r="Q25" s="1049">
        <f t="shared" si="8"/>
        <v>111</v>
      </c>
      <c r="R25" s="1380" t="s">
        <v>5</v>
      </c>
      <c r="S25" s="1381">
        <f>F25</f>
        <v>100</v>
      </c>
      <c r="T25" s="1380" t="s">
        <v>5</v>
      </c>
      <c r="U25" s="1381">
        <f>H25</f>
        <v>100</v>
      </c>
      <c r="V25" s="1380" t="s">
        <v>5</v>
      </c>
      <c r="W25" s="1381">
        <f>J25</f>
        <v>100</v>
      </c>
      <c r="X25" s="1382"/>
      <c r="Y25" s="3878"/>
      <c r="Z25" s="1048">
        <f>Q25</f>
        <v>111</v>
      </c>
      <c r="AA25" s="1388">
        <f>D25/F25</f>
        <v>1</v>
      </c>
      <c r="AB25" s="1388">
        <f>D25/H25</f>
        <v>1</v>
      </c>
      <c r="AC25" s="1388">
        <f>D25/J25</f>
        <v>1</v>
      </c>
    </row>
    <row r="26" spans="1:29" ht="15">
      <c r="A26" s="2386" t="s">
        <v>2037</v>
      </c>
      <c r="B26" s="163" t="s">
        <v>746</v>
      </c>
      <c r="C26" s="890" t="str">
        <f>B1</f>
        <v>车库</v>
      </c>
      <c r="D26" s="525">
        <v>100</v>
      </c>
      <c r="E26" s="546" t="s">
        <v>2734</v>
      </c>
      <c r="F26" s="527">
        <f>SUMIF(79:79,E26,80:80)-SUMIF(79:79,C26,80:80)+100</f>
        <v>100</v>
      </c>
      <c r="G26" s="546" t="s">
        <v>2734</v>
      </c>
      <c r="H26" s="525">
        <f>SUMIF(79:79,G26,80:80)-SUMIF(79:79,C26,80:80)+100</f>
        <v>100</v>
      </c>
      <c r="I26" s="546" t="s">
        <v>2734</v>
      </c>
      <c r="J26" s="525">
        <f>SUMIF(79:79,I26,80:80)-SUMIF(79:79,C26,80:80)+100</f>
        <v>100</v>
      </c>
      <c r="K26" s="554"/>
      <c r="L26" s="1864"/>
      <c r="M26" s="1856"/>
      <c r="N26" s="1856"/>
      <c r="O26" s="1863"/>
      <c r="P26" s="3879"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880" t="s">
        <v>499</v>
      </c>
      <c r="Z26" s="1387" t="str">
        <f t="shared" ref="Z26:Z36" si="12">Q26</f>
        <v>配套类型</v>
      </c>
      <c r="AA26" s="1388">
        <f t="shared" si="3"/>
        <v>1</v>
      </c>
      <c r="AB26" s="1388">
        <f t="shared" si="4"/>
        <v>1</v>
      </c>
      <c r="AC26" s="1388">
        <f t="shared" si="5"/>
        <v>1</v>
      </c>
    </row>
    <row r="27" spans="1:29" s="1199" customFormat="1" ht="15" hidden="1">
      <c r="A27" s="891"/>
      <c r="B27" s="552" t="s">
        <v>747</v>
      </c>
      <c r="C27" s="892"/>
      <c r="D27" s="246">
        <v>100</v>
      </c>
      <c r="E27" s="892"/>
      <c r="F27" s="545">
        <f>SUMIF(81:81,E27,82:82)-SUMIF(81:81,C27,82:82)+100</f>
        <v>100</v>
      </c>
      <c r="G27" s="892"/>
      <c r="H27" s="510">
        <f>SUMIF(81:81,G27,82:82)-SUMIF(81:81,C27,82:82)+100</f>
        <v>100</v>
      </c>
      <c r="I27" s="892"/>
      <c r="J27" s="510">
        <f>SUMIF(81:81,I27,82:82)-SUMIF(81:81,C27,82:82)+100</f>
        <v>100</v>
      </c>
      <c r="K27" s="551"/>
      <c r="L27" s="1862"/>
      <c r="M27" s="1892"/>
      <c r="N27" s="1892"/>
      <c r="O27" s="1865"/>
      <c r="P27" s="3880"/>
      <c r="Q27" s="1413" t="str">
        <f t="shared" si="8"/>
        <v>项目停车位配比</v>
      </c>
      <c r="R27" s="1389" t="s">
        <v>5</v>
      </c>
      <c r="S27" s="1390">
        <f t="shared" si="9"/>
        <v>100</v>
      </c>
      <c r="T27" s="1389" t="s">
        <v>5</v>
      </c>
      <c r="U27" s="1390">
        <f t="shared" si="10"/>
        <v>100</v>
      </c>
      <c r="V27" s="1389" t="s">
        <v>5</v>
      </c>
      <c r="W27" s="1390">
        <f t="shared" si="11"/>
        <v>100</v>
      </c>
      <c r="X27" s="1391"/>
      <c r="Y27" s="3880"/>
      <c r="Z27" s="1392" t="str">
        <f t="shared" si="12"/>
        <v>项目停车位配比</v>
      </c>
      <c r="AA27" s="1388">
        <f t="shared" si="3"/>
        <v>1</v>
      </c>
      <c r="AB27" s="1388">
        <f t="shared" si="4"/>
        <v>1</v>
      </c>
      <c r="AC27" s="1388">
        <f t="shared" si="5"/>
        <v>1</v>
      </c>
    </row>
    <row r="28" spans="1:29" ht="15">
      <c r="A28" s="893"/>
      <c r="B28" s="552" t="s">
        <v>748</v>
      </c>
      <c r="C28" s="544" t="s">
        <v>3313</v>
      </c>
      <c r="D28" s="510">
        <v>100</v>
      </c>
      <c r="E28" s="544" t="s">
        <v>3313</v>
      </c>
      <c r="F28" s="545">
        <f>SUMIF(83:83,E28,84:84)-SUMIF(83:83,C28,84:84)+100</f>
        <v>100</v>
      </c>
      <c r="G28" s="544" t="s">
        <v>3313</v>
      </c>
      <c r="H28" s="510">
        <f>SUMIF(83:83,G28,84:84)-SUMIF(83:83,C28,84:84)+100</f>
        <v>100</v>
      </c>
      <c r="I28" s="544" t="s">
        <v>3313</v>
      </c>
      <c r="J28" s="510">
        <f>SUMIF(83:83,I28,84:84)-SUMIF(83:83,C28,84:84)+100</f>
        <v>100</v>
      </c>
      <c r="K28" s="554">
        <v>1</v>
      </c>
      <c r="L28" s="1864"/>
      <c r="M28" s="1856"/>
      <c r="N28" s="1856"/>
      <c r="O28" s="1863"/>
      <c r="P28" s="3880"/>
      <c r="Q28" s="1384" t="str">
        <f t="shared" si="8"/>
        <v>公共部分装修</v>
      </c>
      <c r="R28" s="1385" t="s">
        <v>5</v>
      </c>
      <c r="S28" s="1386">
        <f t="shared" si="9"/>
        <v>100</v>
      </c>
      <c r="T28" s="1385" t="s">
        <v>5</v>
      </c>
      <c r="U28" s="1386">
        <f t="shared" si="10"/>
        <v>100</v>
      </c>
      <c r="V28" s="1385" t="s">
        <v>5</v>
      </c>
      <c r="W28" s="1386">
        <f t="shared" si="11"/>
        <v>100</v>
      </c>
      <c r="X28" s="1379"/>
      <c r="Y28" s="3880"/>
      <c r="Z28" s="1387" t="str">
        <f t="shared" si="12"/>
        <v>公共部分装修</v>
      </c>
      <c r="AA28" s="1388">
        <f t="shared" si="3"/>
        <v>1</v>
      </c>
      <c r="AB28" s="1388">
        <f t="shared" si="4"/>
        <v>1</v>
      </c>
      <c r="AC28" s="1388">
        <f t="shared" si="5"/>
        <v>1</v>
      </c>
    </row>
    <row r="29" spans="1:29" ht="15">
      <c r="A29" s="893"/>
      <c r="B29" s="552" t="s">
        <v>749</v>
      </c>
      <c r="C29" s="842">
        <v>100</v>
      </c>
      <c r="D29" s="510">
        <v>100</v>
      </c>
      <c r="E29" s="842">
        <v>100</v>
      </c>
      <c r="F29" s="545">
        <f>LOOKUP(E29,86:86,87:87)-LOOKUP(C29,86:86,87:87)+100</f>
        <v>100</v>
      </c>
      <c r="G29" s="842">
        <v>100</v>
      </c>
      <c r="H29" s="545">
        <f>LOOKUP(G29,86:86,87:87)-LOOKUP(C29,86:86,87:87)+100</f>
        <v>100</v>
      </c>
      <c r="I29" s="842">
        <v>100</v>
      </c>
      <c r="J29" s="510">
        <f>LOOKUP(I29,86:86,87:87)-LOOKUP(C29,86:86,87:87)+100</f>
        <v>100</v>
      </c>
      <c r="K29" s="554">
        <v>1</v>
      </c>
      <c r="L29" s="1864"/>
      <c r="M29" s="1856"/>
      <c r="N29" s="1856"/>
      <c r="O29" s="1863"/>
      <c r="P29" s="3880"/>
      <c r="Q29" s="1384" t="str">
        <f t="shared" si="8"/>
        <v>成新率</v>
      </c>
      <c r="R29" s="1385" t="s">
        <v>5</v>
      </c>
      <c r="S29" s="1386">
        <f t="shared" si="9"/>
        <v>100</v>
      </c>
      <c r="T29" s="1385" t="s">
        <v>5</v>
      </c>
      <c r="U29" s="1386">
        <f t="shared" si="10"/>
        <v>100</v>
      </c>
      <c r="V29" s="1385" t="s">
        <v>5</v>
      </c>
      <c r="W29" s="1386">
        <f t="shared" si="11"/>
        <v>100</v>
      </c>
      <c r="X29" s="1379"/>
      <c r="Y29" s="3880"/>
      <c r="Z29" s="1387" t="str">
        <f t="shared" si="12"/>
        <v>成新率</v>
      </c>
      <c r="AA29" s="1388">
        <f t="shared" si="3"/>
        <v>1</v>
      </c>
      <c r="AB29" s="1388">
        <f t="shared" si="4"/>
        <v>1</v>
      </c>
      <c r="AC29" s="1388">
        <f t="shared" si="5"/>
        <v>1</v>
      </c>
    </row>
    <row r="30" spans="1:29" ht="15">
      <c r="A30" s="893"/>
      <c r="B30" s="552" t="s">
        <v>750</v>
      </c>
      <c r="C30" s="894" t="s">
        <v>3282</v>
      </c>
      <c r="D30" s="510">
        <v>100</v>
      </c>
      <c r="E30" s="894" t="s">
        <v>3282</v>
      </c>
      <c r="F30" s="545">
        <f>SUMIF(88:88,E30,89:89)-SUMIF(88:88,C30,89:89)+100</f>
        <v>100</v>
      </c>
      <c r="G30" s="894" t="s">
        <v>3282</v>
      </c>
      <c r="H30" s="510">
        <f>SUMIF(88:88,E30,89:89)-SUMIF(88:88,C30,89:89)+100</f>
        <v>100</v>
      </c>
      <c r="I30" s="894" t="s">
        <v>3282</v>
      </c>
      <c r="J30" s="510">
        <f>SUMIF(88:88,E30,89:89)-SUMIF(88:88,C30,89:89)+100</f>
        <v>100</v>
      </c>
      <c r="K30" s="554">
        <v>1</v>
      </c>
      <c r="L30" s="1864"/>
      <c r="M30" s="1856"/>
      <c r="N30" s="1856"/>
      <c r="O30" s="1863"/>
      <c r="P30" s="3880"/>
      <c r="Q30" s="1384" t="str">
        <f t="shared" si="8"/>
        <v>物业等级</v>
      </c>
      <c r="R30" s="1385" t="s">
        <v>5</v>
      </c>
      <c r="S30" s="1386">
        <f t="shared" si="9"/>
        <v>100</v>
      </c>
      <c r="T30" s="1385" t="s">
        <v>5</v>
      </c>
      <c r="U30" s="1386">
        <f t="shared" si="10"/>
        <v>100</v>
      </c>
      <c r="V30" s="1385" t="s">
        <v>5</v>
      </c>
      <c r="W30" s="1386">
        <f t="shared" si="11"/>
        <v>100</v>
      </c>
      <c r="X30" s="1379"/>
      <c r="Y30" s="3880"/>
      <c r="Z30" s="1387" t="str">
        <f t="shared" si="12"/>
        <v>物业等级</v>
      </c>
      <c r="AA30" s="1388">
        <f t="shared" si="3"/>
        <v>1</v>
      </c>
      <c r="AB30" s="1388">
        <f t="shared" si="4"/>
        <v>1</v>
      </c>
      <c r="AC30" s="1388">
        <f t="shared" si="5"/>
        <v>1</v>
      </c>
    </row>
    <row r="31" spans="1:29" s="1117" customFormat="1" ht="15">
      <c r="A31" s="895"/>
      <c r="B31" s="552" t="s">
        <v>751</v>
      </c>
      <c r="C31" s="842">
        <f>ROUND('数据-取费表'!K7/'数据-取费表'!AH7,0)</f>
        <v>34</v>
      </c>
      <c r="D31" s="246">
        <v>100</v>
      </c>
      <c r="E31" s="842">
        <v>31</v>
      </c>
      <c r="F31" s="545">
        <f>LOOKUP(E31,91:91,92:92)-LOOKUP(C31,91:91,92:92)+100</f>
        <v>100</v>
      </c>
      <c r="G31" s="842">
        <v>41</v>
      </c>
      <c r="H31" s="510">
        <f>LOOKUP(G31,91:91,92:92)-LOOKUP(C31,91:91,92:92)+100</f>
        <v>100</v>
      </c>
      <c r="I31" s="842">
        <v>32</v>
      </c>
      <c r="J31" s="510">
        <f>LOOKUP(I31,91:91,92:92)-LOOKUP(C31,91:91,92:92)+100</f>
        <v>100</v>
      </c>
      <c r="K31" s="554">
        <v>1</v>
      </c>
      <c r="L31" s="1857"/>
      <c r="M31" s="1858"/>
      <c r="N31" s="1858"/>
      <c r="O31" s="1859"/>
      <c r="P31" s="3880"/>
      <c r="Q31" s="1049" t="str">
        <f t="shared" si="8"/>
        <v>停车位面积</v>
      </c>
      <c r="R31" s="1380" t="s">
        <v>5</v>
      </c>
      <c r="S31" s="1381">
        <f t="shared" si="9"/>
        <v>100</v>
      </c>
      <c r="T31" s="1380" t="s">
        <v>5</v>
      </c>
      <c r="U31" s="1381">
        <f t="shared" si="10"/>
        <v>100</v>
      </c>
      <c r="V31" s="1380" t="s">
        <v>5</v>
      </c>
      <c r="W31" s="1381">
        <f t="shared" si="11"/>
        <v>100</v>
      </c>
      <c r="X31" s="1382"/>
      <c r="Y31" s="3880"/>
      <c r="Z31" s="1048" t="str">
        <f t="shared" si="12"/>
        <v>停车位面积</v>
      </c>
      <c r="AA31" s="1383">
        <f t="shared" si="3"/>
        <v>1</v>
      </c>
      <c r="AB31" s="1383">
        <f t="shared" si="4"/>
        <v>1</v>
      </c>
      <c r="AC31" s="1383">
        <f t="shared" si="5"/>
        <v>1</v>
      </c>
    </row>
    <row r="32" spans="1:29" ht="15">
      <c r="A32" s="893"/>
      <c r="B32" s="552" t="s">
        <v>752</v>
      </c>
      <c r="C32" s="544" t="s">
        <v>3316</v>
      </c>
      <c r="D32" s="510">
        <v>100</v>
      </c>
      <c r="E32" s="544" t="s">
        <v>3316</v>
      </c>
      <c r="F32" s="545">
        <f>SUMIF(93:93,E32,94:94)-SUMIF(93:93,C32,94:94)+100</f>
        <v>100</v>
      </c>
      <c r="G32" s="544" t="s">
        <v>3316</v>
      </c>
      <c r="H32" s="510">
        <f>SUMIF(93:93,G32,94:94)-SUMIF(93:93,C32,94:94)+100</f>
        <v>100</v>
      </c>
      <c r="I32" s="544" t="s">
        <v>3316</v>
      </c>
      <c r="J32" s="510">
        <f>SUMIF(93:93,I32,94:94)-SUMIF(93:93,C32,94:94)+100</f>
        <v>100</v>
      </c>
      <c r="K32" s="554">
        <v>1</v>
      </c>
      <c r="L32" s="1864"/>
      <c r="M32" s="1856"/>
      <c r="N32" s="1856"/>
      <c r="O32" s="1863"/>
      <c r="P32" s="3880" t="s">
        <v>499</v>
      </c>
      <c r="Q32" s="1384" t="str">
        <f t="shared" si="8"/>
        <v>车位类型</v>
      </c>
      <c r="R32" s="1385" t="s">
        <v>5</v>
      </c>
      <c r="S32" s="1386">
        <f t="shared" si="9"/>
        <v>100</v>
      </c>
      <c r="T32" s="1385" t="s">
        <v>5</v>
      </c>
      <c r="U32" s="1386">
        <f t="shared" si="10"/>
        <v>100</v>
      </c>
      <c r="V32" s="1385" t="s">
        <v>5</v>
      </c>
      <c r="W32" s="1386">
        <f t="shared" si="11"/>
        <v>100</v>
      </c>
      <c r="X32" s="1379"/>
      <c r="Y32" s="3880" t="s">
        <v>499</v>
      </c>
      <c r="Z32" s="1387" t="str">
        <f t="shared" si="12"/>
        <v>车位类型</v>
      </c>
      <c r="AA32" s="1388">
        <f t="shared" si="3"/>
        <v>1</v>
      </c>
      <c r="AB32" s="1388">
        <f t="shared" si="4"/>
        <v>1</v>
      </c>
      <c r="AC32" s="1388">
        <f t="shared" si="5"/>
        <v>1</v>
      </c>
    </row>
    <row r="33" spans="1:29" ht="15.75" thickBot="1">
      <c r="A33" s="893"/>
      <c r="B33" s="552" t="s">
        <v>753</v>
      </c>
      <c r="C33" s="544" t="s">
        <v>3296</v>
      </c>
      <c r="D33" s="510">
        <v>100</v>
      </c>
      <c r="E33" s="544" t="s">
        <v>3296</v>
      </c>
      <c r="F33" s="545">
        <f>SUMIF(95:95,E33,96:96)-SUMIF(95:95,C33,96:96)+100</f>
        <v>100</v>
      </c>
      <c r="G33" s="544" t="s">
        <v>3296</v>
      </c>
      <c r="H33" s="510">
        <f>SUMIF(95:95,G33,96:96)-SUMIF(95:95,C33,96:96)+100</f>
        <v>100</v>
      </c>
      <c r="I33" s="544" t="s">
        <v>3296</v>
      </c>
      <c r="J33" s="510">
        <f>SUMIF(95:95,I33,96:96)-SUMIF(95:95,C33,96:96)+100</f>
        <v>100</v>
      </c>
      <c r="K33" s="554">
        <v>1</v>
      </c>
      <c r="L33" s="1864"/>
      <c r="M33" s="1856"/>
      <c r="N33" s="1856"/>
      <c r="O33" s="1863"/>
      <c r="P33" s="3880"/>
      <c r="Q33" s="1384" t="str">
        <f t="shared" si="8"/>
        <v>是否直接入户</v>
      </c>
      <c r="R33" s="1385" t="s">
        <v>5</v>
      </c>
      <c r="S33" s="1386">
        <f t="shared" si="9"/>
        <v>100</v>
      </c>
      <c r="T33" s="1385" t="s">
        <v>5</v>
      </c>
      <c r="U33" s="1386">
        <f t="shared" si="10"/>
        <v>100</v>
      </c>
      <c r="V33" s="1385" t="s">
        <v>5</v>
      </c>
      <c r="W33" s="1386">
        <f t="shared" si="11"/>
        <v>100</v>
      </c>
      <c r="X33" s="1379"/>
      <c r="Y33" s="3880"/>
      <c r="Z33" s="1387" t="str">
        <f t="shared" si="12"/>
        <v>是否直接入户</v>
      </c>
      <c r="AA33" s="1388">
        <f t="shared" si="3"/>
        <v>1</v>
      </c>
      <c r="AB33" s="1388">
        <f t="shared" si="4"/>
        <v>1</v>
      </c>
      <c r="AC33" s="1388">
        <f t="shared" si="5"/>
        <v>1</v>
      </c>
    </row>
    <row r="34" spans="1:29" ht="15" hidden="1">
      <c r="A34" s="893"/>
      <c r="B34" s="887">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880"/>
      <c r="Q34" s="1384">
        <f t="shared" si="8"/>
        <v>111</v>
      </c>
      <c r="R34" s="1385" t="s">
        <v>5</v>
      </c>
      <c r="S34" s="1386">
        <f t="shared" si="9"/>
        <v>100</v>
      </c>
      <c r="T34" s="1385" t="s">
        <v>5</v>
      </c>
      <c r="U34" s="1386">
        <f t="shared" si="10"/>
        <v>100</v>
      </c>
      <c r="V34" s="1385" t="s">
        <v>5</v>
      </c>
      <c r="W34" s="1386">
        <f t="shared" si="11"/>
        <v>100</v>
      </c>
      <c r="X34" s="1379"/>
      <c r="Y34" s="3880"/>
      <c r="Z34" s="1387">
        <f t="shared" si="12"/>
        <v>111</v>
      </c>
      <c r="AA34" s="1388">
        <f t="shared" si="3"/>
        <v>1</v>
      </c>
      <c r="AB34" s="1388">
        <f t="shared" si="4"/>
        <v>1</v>
      </c>
      <c r="AC34" s="1388">
        <f t="shared" si="5"/>
        <v>1</v>
      </c>
    </row>
    <row r="35" spans="1:29" s="1199" customFormat="1" ht="15" hidden="1">
      <c r="A35" s="891"/>
      <c r="B35" s="887">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880"/>
      <c r="Q35" s="1413">
        <f t="shared" si="8"/>
        <v>111</v>
      </c>
      <c r="R35" s="1389" t="s">
        <v>5</v>
      </c>
      <c r="S35" s="1390">
        <f t="shared" si="9"/>
        <v>100</v>
      </c>
      <c r="T35" s="1389" t="s">
        <v>5</v>
      </c>
      <c r="U35" s="1390">
        <f t="shared" si="10"/>
        <v>100</v>
      </c>
      <c r="V35" s="1389" t="s">
        <v>5</v>
      </c>
      <c r="W35" s="1390">
        <f t="shared" si="11"/>
        <v>100</v>
      </c>
      <c r="X35" s="1391"/>
      <c r="Y35" s="3880"/>
      <c r="Z35" s="1392">
        <f t="shared" si="12"/>
        <v>111</v>
      </c>
      <c r="AA35" s="1388">
        <f t="shared" si="3"/>
        <v>1</v>
      </c>
      <c r="AB35" s="1388">
        <f t="shared" si="4"/>
        <v>1</v>
      </c>
      <c r="AC35" s="1388">
        <f t="shared" si="5"/>
        <v>1</v>
      </c>
    </row>
    <row r="36" spans="1:29" ht="15.75" hidden="1" thickBot="1">
      <c r="A36" s="896"/>
      <c r="B36" s="876">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880"/>
      <c r="Q36" s="1384">
        <f t="shared" si="8"/>
        <v>111</v>
      </c>
      <c r="R36" s="1385" t="s">
        <v>5</v>
      </c>
      <c r="S36" s="1386">
        <f t="shared" si="9"/>
        <v>100</v>
      </c>
      <c r="T36" s="1385" t="s">
        <v>5</v>
      </c>
      <c r="U36" s="1386">
        <f t="shared" si="10"/>
        <v>100</v>
      </c>
      <c r="V36" s="1385" t="s">
        <v>5</v>
      </c>
      <c r="W36" s="1386">
        <f t="shared" si="11"/>
        <v>100</v>
      </c>
      <c r="X36" s="1379"/>
      <c r="Y36" s="3880"/>
      <c r="Z36" s="1387">
        <f t="shared" si="12"/>
        <v>111</v>
      </c>
      <c r="AA36" s="1388">
        <f t="shared" si="3"/>
        <v>1</v>
      </c>
      <c r="AB36" s="1388">
        <f t="shared" si="4"/>
        <v>1</v>
      </c>
      <c r="AC36" s="1388">
        <f t="shared" si="5"/>
        <v>1</v>
      </c>
    </row>
    <row r="37" spans="1:29" ht="15">
      <c r="A37" s="1631" t="s">
        <v>1595</v>
      </c>
      <c r="B37" s="1632" t="s">
        <v>3320</v>
      </c>
      <c r="C37" s="2233" t="s">
        <v>0</v>
      </c>
      <c r="D37" s="2234"/>
      <c r="E37" s="2235">
        <v>285000</v>
      </c>
      <c r="F37" s="2236"/>
      <c r="G37" s="2237">
        <v>250000</v>
      </c>
      <c r="H37" s="2238"/>
      <c r="I37" s="2235">
        <v>280000</v>
      </c>
      <c r="J37" s="2238"/>
      <c r="K37" s="1418"/>
      <c r="L37" s="1866"/>
      <c r="M37" s="1867"/>
      <c r="N37" s="1856"/>
      <c r="O37" s="1867"/>
      <c r="P37" s="3843" t="str">
        <f>A37</f>
        <v>成交单价</v>
      </c>
      <c r="Q37" s="3843"/>
      <c r="R37" s="3953">
        <f>E37</f>
        <v>285000</v>
      </c>
      <c r="S37" s="3953"/>
      <c r="T37" s="3953">
        <f>G37</f>
        <v>250000</v>
      </c>
      <c r="U37" s="3953"/>
      <c r="V37" s="3953">
        <f>I37</f>
        <v>280000</v>
      </c>
      <c r="W37" s="3953"/>
      <c r="X37" s="1374"/>
      <c r="Y37" s="1393"/>
      <c r="Z37" s="1374"/>
      <c r="AA37" s="1374"/>
      <c r="AB37" s="1374"/>
      <c r="AC37" s="1374"/>
    </row>
    <row r="38" spans="1:29" ht="15.75" thickBot="1">
      <c r="A38" s="585" t="s">
        <v>2042</v>
      </c>
      <c r="B38" s="850"/>
      <c r="C38" s="2239">
        <f>R39</f>
        <v>271667</v>
      </c>
      <c r="D38" s="2756" t="s">
        <v>2252</v>
      </c>
      <c r="E38" s="2240">
        <f>R38</f>
        <v>285000</v>
      </c>
      <c r="F38" s="2757"/>
      <c r="G38" s="2239">
        <f>T38</f>
        <v>250000</v>
      </c>
      <c r="H38" s="2757"/>
      <c r="I38" s="2240">
        <f>V38</f>
        <v>280000</v>
      </c>
      <c r="J38" s="2757"/>
      <c r="K38" s="2765">
        <f>F38+H38+J38</f>
        <v>0</v>
      </c>
      <c r="L38" s="1866"/>
      <c r="M38" s="1867"/>
      <c r="N38" s="1867"/>
      <c r="O38" s="1867"/>
      <c r="P38" s="3843" t="str">
        <f>A38</f>
        <v>比较价格（元/平方米）</v>
      </c>
      <c r="Q38" s="3843"/>
      <c r="R38" s="3953">
        <f>IF(F1="售价",ROUND(PRODUCT(R37,AA7:AA36),0),ROUND(PRODUCT(R37,AA7:AA36),1))</f>
        <v>285000</v>
      </c>
      <c r="S38" s="3953"/>
      <c r="T38" s="3953">
        <f>IF(F1="售价",ROUND(PRODUCT(T37,AB7:AB36),0),ROUND(PRODUCT(T37,AB7:AB36),1))</f>
        <v>250000</v>
      </c>
      <c r="U38" s="3953"/>
      <c r="V38" s="3953">
        <f>IF(F1="售价",ROUND(PRODUCT(V37,AC7:AC36),0),ROUND(PRODUCT(V37,AC7:AC36),1))</f>
        <v>280000</v>
      </c>
      <c r="W38" s="3953"/>
      <c r="X38" s="1374"/>
      <c r="Y38" s="1374"/>
      <c r="Z38" s="1374"/>
      <c r="AA38" s="1374"/>
      <c r="AB38" s="1374"/>
      <c r="AC38" s="1374"/>
    </row>
    <row r="39" spans="1:29" ht="15.75" thickBot="1">
      <c r="A39" s="589" t="s">
        <v>2189</v>
      </c>
      <c r="B39" s="590"/>
      <c r="C39" s="2241">
        <f>R39</f>
        <v>271667</v>
      </c>
      <c r="D39" s="2241"/>
      <c r="E39" s="2241"/>
      <c r="F39" s="2241"/>
      <c r="G39" s="2241"/>
      <c r="H39" s="2241"/>
      <c r="I39" s="2241"/>
      <c r="J39" s="2241"/>
      <c r="K39" s="1419"/>
      <c r="L39" s="1866"/>
      <c r="M39" s="1867"/>
      <c r="N39" s="1867"/>
      <c r="O39" s="1867"/>
      <c r="P39" s="3881" t="str">
        <f>A39</f>
        <v>估价对象XX用房的比较价格（楼面单价，元/平方米）</v>
      </c>
      <c r="Q39" s="3882"/>
      <c r="R39" s="3952">
        <f>IF(F1="售价",ROUND(IF(D38="简单平均",AVERAGE(R38:W38),R38*F38+T38*H38+V38*J38),0),ROUND(IF(D38="简单平均",AVERAGE(R38:V38),R38*F38+T38*H38+V38*J38),1))</f>
        <v>271667</v>
      </c>
      <c r="S39" s="3952"/>
      <c r="T39" s="3952"/>
      <c r="U39" s="3952"/>
      <c r="V39" s="3952"/>
      <c r="W39" s="3952"/>
      <c r="X39" s="1374"/>
      <c r="Y39" s="1374"/>
      <c r="Z39" s="1374"/>
      <c r="AA39" s="1374"/>
      <c r="AB39" s="1374"/>
      <c r="AC39" s="1374"/>
    </row>
    <row r="40" spans="1:29">
      <c r="A40" s="2956"/>
      <c r="B40" s="2956"/>
      <c r="C40" s="2956"/>
      <c r="D40" s="2956"/>
      <c r="E40" s="2956"/>
      <c r="F40" s="2956"/>
      <c r="G40" s="2958"/>
      <c r="H40" s="2956"/>
      <c r="I40" s="2956"/>
      <c r="J40" s="2956"/>
      <c r="K40" s="2959"/>
      <c r="L40" s="1871"/>
      <c r="M40" s="1867"/>
      <c r="N40" s="1867"/>
      <c r="O40" s="1867"/>
      <c r="P40" s="1867"/>
      <c r="Q40" s="1867"/>
      <c r="R40" s="1867"/>
      <c r="S40" s="1867"/>
      <c r="T40" s="1867"/>
      <c r="U40" s="1867"/>
      <c r="V40" s="1867"/>
      <c r="W40" s="1867"/>
      <c r="X40" s="1867"/>
      <c r="Y40" s="1867"/>
      <c r="Z40" s="1867"/>
      <c r="AA40" s="1867"/>
      <c r="AB40" s="1867"/>
      <c r="AC40" s="1867"/>
    </row>
    <row r="41" spans="1:29">
      <c r="A41" s="2956"/>
      <c r="B41" s="2956"/>
      <c r="C41" s="2956"/>
      <c r="D41" s="2956"/>
      <c r="E41" s="2956"/>
      <c r="F41" s="2956"/>
      <c r="G41" s="2956"/>
      <c r="H41" s="2956"/>
      <c r="I41" s="2956"/>
      <c r="J41" s="2956"/>
      <c r="K41" s="2959"/>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6"/>
      <c r="B42" s="2956"/>
      <c r="C42" s="592" t="s">
        <v>506</v>
      </c>
      <c r="D42" s="593"/>
      <c r="E42" s="594">
        <f>IF(E37&lt;E38,E38/E37-1,E37/E38-1)</f>
        <v>0</v>
      </c>
      <c r="F42" s="595" t="str">
        <f>IF(OR(E42&gt;=0.3,E42&lt;=-0.3),"超过30%","")</f>
        <v/>
      </c>
      <c r="G42" s="594">
        <f>IF(G37&lt;G38,G38/G37-1,G37/G38-1)</f>
        <v>0</v>
      </c>
      <c r="H42" s="595" t="str">
        <f>IF(OR(G42&gt;=0.3,G42&lt;=-0.3),"超过30%","")</f>
        <v/>
      </c>
      <c r="I42" s="594">
        <f>IF(I37&lt;I38,I38/I37-1,I37/I38-1)</f>
        <v>0</v>
      </c>
      <c r="J42" s="595" t="str">
        <f>IF(OR(I42&gt;=0.3,I42&lt;=-0.3),"超过30%","")</f>
        <v/>
      </c>
      <c r="K42" s="2959"/>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6"/>
      <c r="B43" s="2956"/>
      <c r="C43" s="592" t="s">
        <v>507</v>
      </c>
      <c r="D43" s="596"/>
      <c r="E43" s="594">
        <f>IF(E38&lt;G38,G38/E38-1,E38/G38-1)</f>
        <v>0.1399999999999999</v>
      </c>
      <c r="F43" s="595" t="str">
        <f>IF(OR(E43&gt;=0.2,E43&lt;=-0.2),"超过20%","")</f>
        <v/>
      </c>
      <c r="G43" s="594">
        <f>IF(G38&lt;I38,I38/G38-1,G38/I38-1)</f>
        <v>0.12000000000000011</v>
      </c>
      <c r="H43" s="595" t="str">
        <f>IF(OR(G43&gt;=0.2,G43&lt;=-0.2),"超过20%","")</f>
        <v/>
      </c>
      <c r="I43" s="594">
        <f>IF(I38&lt;E38,E38/I38-1,I38/E38-1)</f>
        <v>1.7857142857142794E-2</v>
      </c>
      <c r="J43" s="595" t="str">
        <f>IF(OR(I43&gt;=0.2,I43&lt;=-0.2),"超过20%","")</f>
        <v/>
      </c>
      <c r="K43" s="2959"/>
      <c r="L43" s="1871"/>
      <c r="M43" s="1867"/>
      <c r="N43" s="1867"/>
      <c r="O43" s="1867"/>
      <c r="P43" s="1867"/>
      <c r="Q43" s="1867"/>
      <c r="R43" s="1867"/>
      <c r="S43" s="1867"/>
      <c r="T43" s="1867"/>
      <c r="U43" s="1867"/>
      <c r="V43" s="1867"/>
      <c r="W43" s="1867"/>
      <c r="X43" s="1867"/>
      <c r="Y43" s="1867"/>
      <c r="Z43" s="1867"/>
      <c r="AA43" s="1867"/>
      <c r="AB43" s="1867"/>
      <c r="AC43" s="1867"/>
    </row>
    <row r="44" spans="1:29" s="1204" customFormat="1" ht="13.5" customHeight="1">
      <c r="A44" s="2957"/>
      <c r="B44" s="2957"/>
      <c r="C44" s="592" t="s">
        <v>508</v>
      </c>
      <c r="D44" s="596"/>
      <c r="E44" s="594">
        <f>IF(E37&lt;G37,G37/E37-1,E37/G37-1)</f>
        <v>0.1399999999999999</v>
      </c>
      <c r="F44" s="595" t="str">
        <f>IF(OR(E44&gt;=0.3,E44&lt;=-0.3),"超过30%","")</f>
        <v/>
      </c>
      <c r="G44" s="594">
        <f>IF(G37&lt;I37,I37/G37-1,G37/I37-1)</f>
        <v>0.12000000000000011</v>
      </c>
      <c r="H44" s="595" t="str">
        <f>IF(OR(G44&gt;=0.3,G44&lt;=-0.3),"超过30%","")</f>
        <v/>
      </c>
      <c r="I44" s="594">
        <f>IF(I37&lt;E37,E37/I37-1,I37/E37-1)</f>
        <v>1.7857142857142794E-2</v>
      </c>
      <c r="J44" s="595" t="str">
        <f>IF(OR(I44&gt;=0.3,I44&lt;=-0.3),"超过30%","")</f>
        <v/>
      </c>
      <c r="K44" s="2960"/>
      <c r="L44" s="1874"/>
      <c r="M44" s="1868"/>
      <c r="N44" s="1868"/>
      <c r="O44" s="1868"/>
      <c r="P44" s="1868"/>
      <c r="Q44" s="1868"/>
      <c r="R44" s="1868"/>
      <c r="S44" s="1868"/>
      <c r="T44" s="1868"/>
      <c r="U44" s="1868"/>
      <c r="V44" s="1868"/>
      <c r="W44" s="1868"/>
      <c r="X44" s="1868"/>
      <c r="Y44" s="1868"/>
      <c r="Z44" s="1868"/>
      <c r="AA44" s="1868"/>
      <c r="AB44" s="1868"/>
      <c r="AC44" s="1868"/>
    </row>
    <row r="45" spans="1:29" s="1204"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6" t="s">
        <v>522</v>
      </c>
      <c r="B47" s="1374"/>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6" customFormat="1" ht="15">
      <c r="A48" s="613" t="s">
        <v>478</v>
      </c>
      <c r="B48" s="614"/>
      <c r="C48" s="2281" t="str">
        <f>YEAR(C7)&amp;"-"&amp;MONTH(C7)</f>
        <v>2023-9</v>
      </c>
      <c r="D48" s="2283">
        <f>EDATE(C48,-1)</f>
        <v>45139</v>
      </c>
      <c r="E48" s="2283">
        <f t="shared" ref="E48:O48" si="13">EDATE(D48,-1)</f>
        <v>45108</v>
      </c>
      <c r="F48" s="2283">
        <f t="shared" si="13"/>
        <v>45078</v>
      </c>
      <c r="G48" s="2283">
        <f t="shared" si="13"/>
        <v>45047</v>
      </c>
      <c r="H48" s="2283">
        <f t="shared" si="13"/>
        <v>45017</v>
      </c>
      <c r="I48" s="2283">
        <f t="shared" si="13"/>
        <v>44986</v>
      </c>
      <c r="J48" s="2283">
        <f t="shared" si="13"/>
        <v>44958</v>
      </c>
      <c r="K48" s="2283">
        <f t="shared" si="13"/>
        <v>44927</v>
      </c>
      <c r="L48" s="2283">
        <f t="shared" si="13"/>
        <v>44896</v>
      </c>
      <c r="M48" s="2283">
        <f t="shared" si="13"/>
        <v>44866</v>
      </c>
      <c r="N48" s="2283">
        <f t="shared" si="13"/>
        <v>44835</v>
      </c>
      <c r="O48" s="2283">
        <f t="shared" si="13"/>
        <v>44805</v>
      </c>
      <c r="P48" s="1881"/>
      <c r="Q48" s="1882"/>
      <c r="R48" s="1882"/>
      <c r="S48" s="1882"/>
      <c r="T48" s="1882"/>
      <c r="U48" s="1882"/>
      <c r="V48" s="1882"/>
      <c r="W48" s="1882"/>
      <c r="X48" s="1882"/>
      <c r="Y48" s="1882"/>
      <c r="Z48" s="1882"/>
      <c r="AA48" s="1882"/>
      <c r="AB48" s="1882"/>
      <c r="AC48" s="1882"/>
    </row>
    <row r="49" spans="1:29" s="1117" customFormat="1" ht="15">
      <c r="A49" s="615"/>
      <c r="B49" s="616"/>
      <c r="C49" s="2282">
        <v>100</v>
      </c>
      <c r="D49" s="618">
        <v>100</v>
      </c>
      <c r="E49" s="618">
        <v>100</v>
      </c>
      <c r="F49" s="618">
        <v>100</v>
      </c>
      <c r="G49" s="618">
        <v>100</v>
      </c>
      <c r="H49" s="618">
        <v>100</v>
      </c>
      <c r="I49" s="618">
        <v>100</v>
      </c>
      <c r="J49" s="618">
        <v>100</v>
      </c>
      <c r="K49" s="618">
        <v>100</v>
      </c>
      <c r="L49" s="618">
        <v>100</v>
      </c>
      <c r="M49" s="618">
        <v>100</v>
      </c>
      <c r="N49" s="618"/>
      <c r="O49" s="620"/>
      <c r="P49" s="1879"/>
      <c r="Q49" s="1745"/>
      <c r="R49" s="1745"/>
      <c r="S49" s="1745"/>
      <c r="T49" s="1745"/>
      <c r="U49" s="1745"/>
      <c r="V49" s="1745"/>
      <c r="W49" s="1745"/>
      <c r="X49" s="1745"/>
      <c r="Y49" s="1745"/>
      <c r="Z49" s="1745"/>
      <c r="AA49" s="1745"/>
      <c r="AB49" s="1745"/>
      <c r="AC49" s="1745"/>
    </row>
    <row r="50" spans="1:29" s="1117" customFormat="1" ht="15.7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7" customFormat="1" ht="15">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7" customFormat="1" ht="15.75"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c r="A53" s="632" t="s">
        <v>525</v>
      </c>
      <c r="B53" s="633" t="s">
        <v>483</v>
      </c>
      <c r="C53" s="672" t="str">
        <f>C9</f>
        <v>地下车库</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75" thickBot="1">
      <c r="A54" s="637"/>
      <c r="B54" s="638"/>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7.75"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5.75"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5.75" thickTop="1">
      <c r="A57" s="637"/>
      <c r="B57" s="897">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199" customFormat="1" ht="15.75"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199" customFormat="1" ht="15.75"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199" customFormat="1" ht="15.75"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199" customFormat="1" ht="15.75"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5.75" thickBot="1">
      <c r="A64" s="637"/>
      <c r="B64" s="646"/>
      <c r="C64" s="647">
        <v>100</v>
      </c>
      <c r="D64" s="647">
        <f>C64-$K14</f>
        <v>98</v>
      </c>
      <c r="E64" s="647">
        <f>D64-$K14</f>
        <v>96</v>
      </c>
      <c r="F64" s="647">
        <f>E64-$K14</f>
        <v>94</v>
      </c>
      <c r="G64" s="647">
        <f>F64-$K14</f>
        <v>92</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1651" t="s">
        <v>1840</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47">
        <v>100</v>
      </c>
      <c r="D66" s="647">
        <f>C66-$K16</f>
        <v>98</v>
      </c>
      <c r="E66" s="647">
        <f>D66-$K16</f>
        <v>96</v>
      </c>
      <c r="F66" s="647">
        <f>E66-$K16</f>
        <v>94</v>
      </c>
      <c r="G66" s="647">
        <f>F66-$K16</f>
        <v>92</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75" thickTop="1">
      <c r="A67" s="637"/>
      <c r="B67" s="2204" t="s">
        <v>1841</v>
      </c>
      <c r="C67" s="2205" t="s">
        <v>1842</v>
      </c>
      <c r="D67" s="2205" t="s">
        <v>1843</v>
      </c>
      <c r="E67" s="2205" t="s">
        <v>1844</v>
      </c>
      <c r="F67" s="2205" t="s">
        <v>1845</v>
      </c>
      <c r="G67" s="2205" t="s">
        <v>1846</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5.75" thickBot="1">
      <c r="A68" s="637"/>
      <c r="B68" s="649"/>
      <c r="C68" s="647">
        <v>100</v>
      </c>
      <c r="D68" s="647">
        <f>C68-$K18</f>
        <v>98</v>
      </c>
      <c r="E68" s="647">
        <f>D68-$K18</f>
        <v>96</v>
      </c>
      <c r="F68" s="647">
        <f>E68-$K18</f>
        <v>94</v>
      </c>
      <c r="G68" s="647">
        <f>F68-$K18</f>
        <v>92</v>
      </c>
      <c r="H68" s="897"/>
      <c r="I68" s="897"/>
      <c r="J68" s="897"/>
      <c r="K68" s="897"/>
      <c r="L68" s="897"/>
      <c r="M68" s="529"/>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C70-$K20</f>
        <v>98</v>
      </c>
      <c r="E70" s="647">
        <f>D70-$K20</f>
        <v>96</v>
      </c>
      <c r="F70" s="647">
        <f>E70-$K20</f>
        <v>94</v>
      </c>
      <c r="G70" s="647">
        <f>F70-$K20</f>
        <v>92</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7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7" customFormat="1" ht="15.75" thickTop="1">
      <c r="A73" s="677"/>
      <c r="B73" s="641">
        <f>B23</f>
        <v>111</v>
      </c>
      <c r="C73" s="511"/>
      <c r="D73" s="511"/>
      <c r="E73" s="511"/>
      <c r="F73" s="511"/>
      <c r="G73" s="656"/>
      <c r="H73" s="656"/>
      <c r="I73" s="656"/>
      <c r="J73" s="656"/>
      <c r="K73" s="656"/>
      <c r="L73" s="852"/>
      <c r="M73" s="853"/>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7" customFormat="1" ht="15.75" thickTop="1">
      <c r="A75" s="677"/>
      <c r="B75" s="641">
        <f>B24</f>
        <v>111</v>
      </c>
      <c r="C75" s="511"/>
      <c r="D75" s="511"/>
      <c r="E75" s="511"/>
      <c r="F75" s="511"/>
      <c r="G75" s="656"/>
      <c r="H75" s="656"/>
      <c r="I75" s="656"/>
      <c r="J75" s="656"/>
      <c r="K75" s="656"/>
      <c r="L75" s="656"/>
      <c r="M75" s="853"/>
      <c r="N75" s="1883"/>
      <c r="O75" s="1883"/>
      <c r="P75" s="1886"/>
      <c r="Q75" s="1879"/>
      <c r="R75" s="1745"/>
      <c r="S75" s="1745"/>
      <c r="T75" s="1745"/>
      <c r="U75" s="1745"/>
      <c r="V75" s="1745"/>
      <c r="W75" s="1745"/>
      <c r="X75" s="1745"/>
      <c r="Y75" s="1745"/>
      <c r="Z75" s="1745"/>
      <c r="AA75" s="1745"/>
      <c r="AB75" s="1745"/>
      <c r="AC75" s="1745"/>
    </row>
    <row r="76" spans="1:29" s="1117" customFormat="1" ht="15.75"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199" customFormat="1" ht="15.75"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199" customFormat="1" ht="15.75"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7.75" thickTop="1">
      <c r="A79" s="632" t="s">
        <v>500</v>
      </c>
      <c r="B79" s="633" t="s">
        <v>754</v>
      </c>
      <c r="C79" s="672" t="str">
        <f>C26</f>
        <v>车库</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7"/>
      <c r="B81" s="641" t="s">
        <v>755</v>
      </c>
      <c r="C81" s="898"/>
      <c r="D81" s="898"/>
      <c r="E81" s="898"/>
      <c r="F81" s="898"/>
      <c r="G81" s="898"/>
      <c r="H81" s="898"/>
      <c r="I81" s="898"/>
      <c r="J81" s="898"/>
      <c r="K81" s="899"/>
      <c r="L81" s="900"/>
      <c r="M81" s="901"/>
      <c r="N81" s="1883"/>
      <c r="O81" s="1883"/>
      <c r="P81" s="1886"/>
      <c r="Q81" s="1879"/>
      <c r="R81" s="1867"/>
      <c r="S81" s="1867"/>
      <c r="T81" s="1867"/>
      <c r="U81" s="1867"/>
      <c r="V81" s="1867"/>
      <c r="W81" s="1867"/>
      <c r="X81" s="1867"/>
      <c r="Y81" s="1867"/>
      <c r="Z81" s="1867"/>
      <c r="AA81" s="1867"/>
      <c r="AB81" s="1867"/>
      <c r="AC81" s="1867"/>
    </row>
    <row r="82" spans="1:29" s="1199" customFormat="1" ht="15.75"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3664" t="s">
        <v>3314</v>
      </c>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5.75" thickBot="1">
      <c r="A84" s="637"/>
      <c r="B84" s="646"/>
      <c r="C84" s="647">
        <v>100</v>
      </c>
      <c r="D84" s="647">
        <f t="shared" ref="D84:M84" si="15">C84-$K28</f>
        <v>99</v>
      </c>
      <c r="E84" s="647">
        <f t="shared" si="15"/>
        <v>98</v>
      </c>
      <c r="F84" s="647">
        <f t="shared" si="15"/>
        <v>97</v>
      </c>
      <c r="G84" s="647">
        <f t="shared" si="15"/>
        <v>96</v>
      </c>
      <c r="H84" s="647">
        <f t="shared" si="15"/>
        <v>95</v>
      </c>
      <c r="I84" s="647">
        <f t="shared" si="15"/>
        <v>94</v>
      </c>
      <c r="J84" s="647">
        <f t="shared" si="15"/>
        <v>93</v>
      </c>
      <c r="K84" s="647">
        <f t="shared" si="15"/>
        <v>92</v>
      </c>
      <c r="L84" s="647">
        <f t="shared" si="15"/>
        <v>91</v>
      </c>
      <c r="M84" s="648">
        <f t="shared" si="15"/>
        <v>90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6">
        <v>0.5</v>
      </c>
      <c r="D86" s="856">
        <v>0.6</v>
      </c>
      <c r="E86" s="856">
        <v>0.7</v>
      </c>
      <c r="F86" s="856">
        <v>0.8</v>
      </c>
      <c r="G86" s="856">
        <v>0.9</v>
      </c>
      <c r="H86" s="856">
        <v>1.0001</v>
      </c>
      <c r="I86" s="867"/>
      <c r="J86" s="867"/>
      <c r="K86" s="868"/>
      <c r="L86" s="869"/>
      <c r="M86" s="870"/>
      <c r="N86" s="1885"/>
      <c r="O86" s="1885"/>
      <c r="P86" s="1886"/>
      <c r="Q86" s="1879"/>
      <c r="R86" s="1867"/>
      <c r="S86" s="1867"/>
      <c r="T86" s="1867"/>
      <c r="U86" s="1867"/>
      <c r="V86" s="1867"/>
      <c r="W86" s="1867"/>
      <c r="X86" s="1867"/>
      <c r="Y86" s="1867"/>
      <c r="Z86" s="1867"/>
      <c r="AA86" s="1867"/>
      <c r="AB86" s="1867"/>
      <c r="AC86" s="1867"/>
    </row>
    <row r="87" spans="1:29" ht="15.75" thickBot="1">
      <c r="A87" s="637"/>
      <c r="B87" s="646"/>
      <c r="C87" s="680">
        <v>100</v>
      </c>
      <c r="D87" s="647">
        <f>C87+$K$29</f>
        <v>101</v>
      </c>
      <c r="E87" s="647">
        <f t="shared" ref="E87:M87" si="16">D87+$K$29</f>
        <v>102</v>
      </c>
      <c r="F87" s="647">
        <f t="shared" si="16"/>
        <v>103</v>
      </c>
      <c r="G87" s="647">
        <f t="shared" si="16"/>
        <v>104</v>
      </c>
      <c r="H87" s="647">
        <f t="shared" si="16"/>
        <v>105</v>
      </c>
      <c r="I87" s="647">
        <f t="shared" si="16"/>
        <v>106</v>
      </c>
      <c r="J87" s="647">
        <f t="shared" si="16"/>
        <v>107</v>
      </c>
      <c r="K87" s="647">
        <f t="shared" si="16"/>
        <v>108</v>
      </c>
      <c r="L87" s="647">
        <f t="shared" si="16"/>
        <v>109</v>
      </c>
      <c r="M87" s="647">
        <f t="shared" si="16"/>
        <v>110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3662" t="s">
        <v>3315</v>
      </c>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80">
        <v>100</v>
      </c>
      <c r="D89" s="647">
        <f t="shared" ref="D89:M89" si="17">C89+$K30</f>
        <v>101</v>
      </c>
      <c r="E89" s="647">
        <f t="shared" si="17"/>
        <v>102</v>
      </c>
      <c r="F89" s="647">
        <f t="shared" si="17"/>
        <v>103</v>
      </c>
      <c r="G89" s="647">
        <f t="shared" si="17"/>
        <v>104</v>
      </c>
      <c r="H89" s="647">
        <f t="shared" si="17"/>
        <v>105</v>
      </c>
      <c r="I89" s="647">
        <f t="shared" si="17"/>
        <v>106</v>
      </c>
      <c r="J89" s="647">
        <f t="shared" si="17"/>
        <v>107</v>
      </c>
      <c r="K89" s="647">
        <f t="shared" si="17"/>
        <v>108</v>
      </c>
      <c r="L89" s="647">
        <f t="shared" si="17"/>
        <v>109</v>
      </c>
      <c r="M89" s="647">
        <f t="shared" si="17"/>
        <v>110</v>
      </c>
      <c r="N89" s="1887"/>
      <c r="O89" s="1887"/>
      <c r="P89" s="1886"/>
      <c r="Q89" s="1879"/>
      <c r="R89" s="1867"/>
      <c r="S89" s="1867"/>
      <c r="T89" s="1867"/>
      <c r="U89" s="1867"/>
      <c r="V89" s="1867"/>
      <c r="W89" s="1867"/>
      <c r="X89" s="1867"/>
      <c r="Y89" s="1867"/>
      <c r="Z89" s="1867"/>
      <c r="AA89" s="1867"/>
      <c r="AB89" s="1867"/>
      <c r="AC89" s="1867"/>
    </row>
    <row r="90" spans="1:29" s="1199" customFormat="1" ht="15" thickTop="1">
      <c r="A90" s="696"/>
      <c r="B90" s="641" t="s">
        <v>758</v>
      </c>
      <c r="C90" s="676" t="str">
        <f>C91&amp;"(含)"&amp;"-"&amp;D91</f>
        <v>0(含)-30</v>
      </c>
      <c r="D90" s="676" t="str">
        <f t="shared" ref="D90:L90" si="18">D91&amp;"(含)"&amp;"-"&amp;E91</f>
        <v>30(含)-60</v>
      </c>
      <c r="E90" s="676" t="str">
        <f t="shared" si="18"/>
        <v>60(含)-90</v>
      </c>
      <c r="F90" s="676" t="str">
        <f t="shared" si="18"/>
        <v>90(含)-120</v>
      </c>
      <c r="G90" s="676" t="str">
        <f t="shared" si="18"/>
        <v>120(含)-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199" customFormat="1">
      <c r="A91" s="696"/>
      <c r="B91" s="649"/>
      <c r="C91" s="698">
        <v>0</v>
      </c>
      <c r="D91" s="698">
        <v>30</v>
      </c>
      <c r="E91" s="698">
        <v>60</v>
      </c>
      <c r="F91" s="698">
        <v>90</v>
      </c>
      <c r="G91" s="698">
        <v>120</v>
      </c>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5"/>
      <c r="B92" s="646"/>
      <c r="C92" s="660">
        <v>100</v>
      </c>
      <c r="D92" s="639">
        <v>101</v>
      </c>
      <c r="E92" s="660">
        <v>102</v>
      </c>
      <c r="F92" s="639">
        <v>103</v>
      </c>
      <c r="G92" s="660">
        <v>104</v>
      </c>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3664" t="s">
        <v>3317</v>
      </c>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9">C94-$K32</f>
        <v>99</v>
      </c>
      <c r="E94" s="647">
        <f t="shared" si="19"/>
        <v>98</v>
      </c>
      <c r="F94" s="647">
        <f t="shared" si="19"/>
        <v>97</v>
      </c>
      <c r="G94" s="647">
        <f t="shared" si="19"/>
        <v>96</v>
      </c>
      <c r="H94" s="647">
        <f t="shared" si="19"/>
        <v>95</v>
      </c>
      <c r="I94" s="647">
        <f t="shared" si="19"/>
        <v>94</v>
      </c>
      <c r="J94" s="647">
        <f t="shared" si="19"/>
        <v>93</v>
      </c>
      <c r="K94" s="647">
        <f t="shared" si="19"/>
        <v>92</v>
      </c>
      <c r="L94" s="647">
        <f t="shared" si="19"/>
        <v>91</v>
      </c>
      <c r="M94" s="648">
        <f t="shared" si="19"/>
        <v>90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3662" t="s">
        <v>3318</v>
      </c>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C96-$K33</f>
        <v>99</v>
      </c>
      <c r="E96" s="647">
        <f>D96-$K33</f>
        <v>98</v>
      </c>
      <c r="F96" s="647">
        <f>E96-$K33</f>
        <v>97</v>
      </c>
      <c r="G96" s="647">
        <f>F96-$K33</f>
        <v>96</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5" thickTop="1">
      <c r="A97" s="703"/>
      <c r="B97" s="879">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5.75"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199" customFormat="1" ht="15"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199" customFormat="1" ht="15.75"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5"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5.75"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9" priority="18" stopIfTrue="1" operator="containsText" text="超过">
      <formula>NOT(ISERROR(SEARCH("超过",F42)))</formula>
    </cfRule>
  </conditionalFormatting>
  <conditionalFormatting sqref="J44">
    <cfRule type="containsText" dxfId="38" priority="17" stopIfTrue="1" operator="containsText" text="超过">
      <formula>NOT(ISERROR(SEARCH("超过",J44)))</formula>
    </cfRule>
  </conditionalFormatting>
  <conditionalFormatting sqref="H44">
    <cfRule type="containsText" dxfId="37" priority="16" stopIfTrue="1" operator="containsText" text="超过">
      <formula>NOT(ISERROR(SEARCH("超过",H44)))</formula>
    </cfRule>
  </conditionalFormatting>
  <conditionalFormatting sqref="F44">
    <cfRule type="containsText" dxfId="36" priority="15" stopIfTrue="1" operator="containsText" text="超过">
      <formula>NOT(ISERROR(SEARCH("超过",F44)))</formula>
    </cfRule>
  </conditionalFormatting>
  <conditionalFormatting sqref="F43 H43 J43">
    <cfRule type="containsText" dxfId="35" priority="14" stopIfTrue="1" operator="containsText" text="超过">
      <formula>NOT(ISERROR(SEARCH("超过",F43)))</formula>
    </cfRule>
  </conditionalFormatting>
  <conditionalFormatting sqref="E42">
    <cfRule type="expression" dxfId="34" priority="13" stopIfTrue="1">
      <formula>$F$42="超过30%"</formula>
    </cfRule>
  </conditionalFormatting>
  <conditionalFormatting sqref="G44">
    <cfRule type="expression" dxfId="33" priority="12" stopIfTrue="1">
      <formula>$H$54+$H$44="超过30%"</formula>
    </cfRule>
  </conditionalFormatting>
  <conditionalFormatting sqref="E43">
    <cfRule type="expression" dxfId="32" priority="11" stopIfTrue="1">
      <formula>$F$43="超过20%"</formula>
    </cfRule>
  </conditionalFormatting>
  <conditionalFormatting sqref="E44">
    <cfRule type="expression" dxfId="31" priority="10" stopIfTrue="1">
      <formula>$F$44="超过30%"</formula>
    </cfRule>
  </conditionalFormatting>
  <conditionalFormatting sqref="G42">
    <cfRule type="expression" dxfId="30" priority="9" stopIfTrue="1">
      <formula>$H$52+$H$42="超过30%"</formula>
    </cfRule>
  </conditionalFormatting>
  <conditionalFormatting sqref="G43">
    <cfRule type="expression" dxfId="29" priority="8" stopIfTrue="1">
      <formula>$H$43="超过20%"</formula>
    </cfRule>
  </conditionalFormatting>
  <conditionalFormatting sqref="I42">
    <cfRule type="expression" dxfId="28" priority="7" stopIfTrue="1">
      <formula>$J$52+$J$42="超过30%"</formula>
    </cfRule>
  </conditionalFormatting>
  <conditionalFormatting sqref="I43">
    <cfRule type="expression" dxfId="27" priority="6" stopIfTrue="1">
      <formula>$J$53+$J$43="超过20%"</formula>
    </cfRule>
  </conditionalFormatting>
  <conditionalFormatting sqref="I44">
    <cfRule type="expression" dxfId="26" priority="5" stopIfTrue="1">
      <formula>$J$44="超过30%"</formula>
    </cfRule>
  </conditionalFormatting>
  <conditionalFormatting sqref="F38">
    <cfRule type="expression" dxfId="25" priority="4">
      <formula>$D$38="简单平均"</formula>
    </cfRule>
  </conditionalFormatting>
  <conditionalFormatting sqref="H38">
    <cfRule type="expression" dxfId="24" priority="3">
      <formula>$D$38="简单平均"</formula>
    </cfRule>
  </conditionalFormatting>
  <conditionalFormatting sqref="J38">
    <cfRule type="expression" dxfId="23" priority="2">
      <formula>$D$38="简单平均"</formula>
    </cfRule>
  </conditionalFormatting>
  <conditionalFormatting sqref="F7:F36 H7:H36 J7:J36">
    <cfRule type="cellIs" dxfId="22" priority="1" operator="notEqual">
      <formula>100</formula>
    </cfRule>
  </conditionalFormatting>
  <dataValidations disablePrompts="1"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18265.05平方米。根据《建设工程规划许可证》[]、《出让合同》[]，估价对象规划建筑面积为59771.28平方米。</v>
      </c>
    </row>
    <row r="7" spans="1:4" ht="93.75">
      <c r="A7" s="2352" t="s">
        <v>2030</v>
      </c>
    </row>
    <row r="8" spans="1:4" ht="18.75">
      <c r="A8" s="1581" t="s">
        <v>1430</v>
      </c>
    </row>
    <row r="9" spans="1:4" ht="75">
      <c r="A9" s="1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1544</v>
      </c>
    </row>
    <row r="11" spans="1:4" ht="18.75">
      <c r="A11" s="1567" t="str">
        <f>TEXT(项目基本情况!D3,"yyyy年m月d日;;")&amp;IF(项目基本情况!B3=项目基本情况!D3,"（评估专业人员勘察现场之日）","")</f>
        <v>2023年9月6日（评估专业人员勘察现场之日）</v>
      </c>
    </row>
    <row r="12" spans="1:4" ht="18.75">
      <c r="A12" s="1584" t="s">
        <v>1543</v>
      </c>
    </row>
    <row r="13" spans="1:4" ht="18.75">
      <c r="A13" s="1578" t="s">
        <v>1589</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8"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根据《国有土地使用证》[]，估价对象（分摊）出让国有建设用地使用权面积为18265.05平方米。根据《建设工程规划许可证》[]、《出让合同》[]，估价对象规划建筑面积为59771.28平方米。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1592</v>
      </c>
    </row>
    <row r="23" spans="1:1" ht="18.75">
      <c r="A23" s="2354" t="s">
        <v>2031</v>
      </c>
    </row>
    <row r="24" spans="1:1" ht="18.75">
      <c r="A24" s="1578" t="s">
        <v>1593</v>
      </c>
    </row>
    <row r="25" spans="1:1" ht="93.75">
      <c r="A25" s="1578" t="str">
        <f>定义!C53</f>
        <v>本次估价的“出让国有建设用地使用权价格”是指在估价对象土地所有权为国家所有，使用权性质为出让，在公开市场条件下、于估价期日2023年9月6日，在规划利用条件下、设定土地开发程度为红线外“七通”、宗地内场地，设定用途为，剩余土地使用年限为69.95的出让国有建设用地使用权价格。</v>
      </c>
    </row>
    <row r="26" spans="1:1" ht="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c r="C1" s="474" t="s">
        <v>732</v>
      </c>
      <c r="D1" s="814"/>
      <c r="E1" s="476"/>
      <c r="F1" s="2286"/>
      <c r="G1" s="1409" t="s">
        <v>733</v>
      </c>
      <c r="H1" s="476"/>
      <c r="I1" s="476"/>
      <c r="J1" s="476"/>
      <c r="K1" s="477"/>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2" t="s">
        <v>737</v>
      </c>
      <c r="B4" s="483"/>
      <c r="C4" s="3849" t="s">
        <v>738</v>
      </c>
      <c r="D4" s="3850"/>
      <c r="E4" s="3889" t="s">
        <v>739</v>
      </c>
      <c r="F4" s="3890"/>
      <c r="G4" s="3849" t="s">
        <v>740</v>
      </c>
      <c r="H4" s="3850"/>
      <c r="I4" s="3849" t="s">
        <v>741</v>
      </c>
      <c r="J4" s="3850"/>
      <c r="K4" s="484" t="s">
        <v>742</v>
      </c>
      <c r="L4" s="1855"/>
      <c r="M4" s="1856"/>
      <c r="N4" s="1856"/>
      <c r="O4" s="1856"/>
      <c r="P4" s="3851" t="s">
        <v>743</v>
      </c>
      <c r="Q4" s="3852"/>
      <c r="R4" s="3857" t="s">
        <v>739</v>
      </c>
      <c r="S4" s="3858"/>
      <c r="T4" s="3857" t="s">
        <v>740</v>
      </c>
      <c r="U4" s="3858"/>
      <c r="V4" s="3844" t="s">
        <v>741</v>
      </c>
      <c r="W4" s="3844"/>
      <c r="X4" s="1379"/>
      <c r="Y4" s="3857" t="s">
        <v>743</v>
      </c>
      <c r="Z4" s="3858"/>
      <c r="AA4" s="3846" t="s">
        <v>739</v>
      </c>
      <c r="AB4" s="3847" t="s">
        <v>740</v>
      </c>
      <c r="AC4" s="3846" t="s">
        <v>741</v>
      </c>
    </row>
    <row r="5" spans="1:29" ht="15">
      <c r="A5" s="485"/>
      <c r="B5" s="486"/>
      <c r="C5" s="3867" t="s">
        <v>2183</v>
      </c>
      <c r="D5" s="3866"/>
      <c r="E5" s="3891" t="s">
        <v>2184</v>
      </c>
      <c r="F5" s="3892"/>
      <c r="G5" s="3867" t="s">
        <v>2185</v>
      </c>
      <c r="H5" s="3866"/>
      <c r="I5" s="3867" t="s">
        <v>2186</v>
      </c>
      <c r="J5" s="3866"/>
      <c r="K5" s="484"/>
      <c r="L5" s="1855"/>
      <c r="M5" s="1856"/>
      <c r="N5" s="1856"/>
      <c r="O5" s="1856"/>
      <c r="P5" s="3853"/>
      <c r="Q5" s="3854"/>
      <c r="R5" s="3859"/>
      <c r="S5" s="3860"/>
      <c r="T5" s="3859"/>
      <c r="U5" s="3860"/>
      <c r="V5" s="3844"/>
      <c r="W5" s="3844"/>
      <c r="X5" s="1379"/>
      <c r="Y5" s="3859"/>
      <c r="Z5" s="3860"/>
      <c r="AA5" s="3847"/>
      <c r="AB5" s="3847"/>
      <c r="AC5" s="3847"/>
    </row>
    <row r="6" spans="1:29" ht="15.75" thickBot="1">
      <c r="A6" s="487"/>
      <c r="B6" s="488"/>
      <c r="C6" s="3863" t="s">
        <v>2187</v>
      </c>
      <c r="D6" s="3864"/>
      <c r="E6" s="3887" t="s">
        <v>2187</v>
      </c>
      <c r="F6" s="3888"/>
      <c r="G6" s="3863" t="s">
        <v>2187</v>
      </c>
      <c r="H6" s="3864"/>
      <c r="I6" s="3863" t="s">
        <v>2187</v>
      </c>
      <c r="J6" s="3864"/>
      <c r="K6" s="484" t="s">
        <v>477</v>
      </c>
      <c r="L6" s="1855"/>
      <c r="M6" s="1856"/>
      <c r="N6" s="1856"/>
      <c r="O6" s="1856"/>
      <c r="P6" s="3855"/>
      <c r="Q6" s="3856"/>
      <c r="R6" s="3859"/>
      <c r="S6" s="3860"/>
      <c r="T6" s="3861"/>
      <c r="U6" s="3862"/>
      <c r="V6" s="3844"/>
      <c r="W6" s="3844"/>
      <c r="X6" s="1379"/>
      <c r="Y6" s="3861"/>
      <c r="Z6" s="3862"/>
      <c r="AA6" s="3848"/>
      <c r="AB6" s="3848"/>
      <c r="AC6" s="3848"/>
    </row>
    <row r="7" spans="1:29" s="1117" customFormat="1" ht="15.75" thickBot="1">
      <c r="A7" s="2391"/>
      <c r="B7" s="2398" t="s">
        <v>478</v>
      </c>
      <c r="C7" s="489">
        <f>'数据-取费表'!B2</f>
        <v>45175</v>
      </c>
      <c r="D7" s="490">
        <v>100</v>
      </c>
      <c r="E7" s="491"/>
      <c r="F7" s="492">
        <f>SUMIF(46:46,YEAR(E7)&amp;"-"&amp;MONTH(E7),47:47)</f>
        <v>0</v>
      </c>
      <c r="G7" s="493"/>
      <c r="H7" s="490">
        <f>SUMIF(46:46,YEAR(G7)&amp;"-"&amp;MONTH(G7),47:47)</f>
        <v>0</v>
      </c>
      <c r="I7" s="493"/>
      <c r="J7" s="490">
        <f>SUMIF(46:46,YEAR(I7)&amp;"-"&amp;MONTH(I7),47:47)</f>
        <v>0</v>
      </c>
      <c r="K7" s="494"/>
      <c r="L7" s="1857"/>
      <c r="M7" s="1858"/>
      <c r="N7" s="1858"/>
      <c r="O7" s="1858"/>
      <c r="P7" s="3874" t="s">
        <v>479</v>
      </c>
      <c r="Q7" s="3876"/>
      <c r="R7" s="1380" t="s">
        <v>5</v>
      </c>
      <c r="S7" s="1381">
        <f t="shared" ref="S7:S14" si="0">F7</f>
        <v>0</v>
      </c>
      <c r="T7" s="1380" t="s">
        <v>5</v>
      </c>
      <c r="U7" s="1381">
        <f t="shared" ref="U7:U14" si="1">H7</f>
        <v>0</v>
      </c>
      <c r="V7" s="1380" t="s">
        <v>5</v>
      </c>
      <c r="W7" s="1381">
        <f t="shared" ref="W7:W14" si="2">J7</f>
        <v>0</v>
      </c>
      <c r="X7" s="1382"/>
      <c r="Y7" s="3874" t="s">
        <v>479</v>
      </c>
      <c r="Z7" s="3875"/>
      <c r="AA7" s="1383" t="e">
        <f>D7/F7</f>
        <v>#DIV/0!</v>
      </c>
      <c r="AB7" s="1383" t="e">
        <f>D7/H7</f>
        <v>#DIV/0!</v>
      </c>
      <c r="AC7" s="1383" t="e">
        <f>D7/J7</f>
        <v>#DIV/0!</v>
      </c>
    </row>
    <row r="8" spans="1:29" s="1117"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874" t="s">
        <v>482</v>
      </c>
      <c r="Q8" s="3875"/>
      <c r="R8" s="1380" t="s">
        <v>5</v>
      </c>
      <c r="S8" s="1381">
        <f t="shared" si="0"/>
        <v>0</v>
      </c>
      <c r="T8" s="1380" t="s">
        <v>5</v>
      </c>
      <c r="U8" s="1381">
        <f t="shared" si="1"/>
        <v>0</v>
      </c>
      <c r="V8" s="1380" t="s">
        <v>5</v>
      </c>
      <c r="W8" s="1381">
        <f t="shared" si="2"/>
        <v>0</v>
      </c>
      <c r="X8" s="1382"/>
      <c r="Y8" s="3874" t="s">
        <v>482</v>
      </c>
      <c r="Z8" s="3875"/>
      <c r="AA8" s="1383" t="e">
        <f t="shared" ref="AA8:AA34" si="3">D8/F8</f>
        <v>#DIV/0!</v>
      </c>
      <c r="AB8" s="1383" t="e">
        <f t="shared" ref="AB8:AB34" si="4">D8/H8</f>
        <v>#DIV/0!</v>
      </c>
      <c r="AC8" s="1383" t="e">
        <f t="shared" ref="AC8:AC34" si="5">D8/J8</f>
        <v>#DIV/0!</v>
      </c>
    </row>
    <row r="9" spans="1:29" s="1117" customFormat="1" ht="15">
      <c r="A9" s="2393"/>
      <c r="B9" s="2400" t="s">
        <v>2038</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843" t="s">
        <v>484</v>
      </c>
      <c r="Q9" s="1049" t="str">
        <f t="shared" ref="Q9:Q14" si="6">B9</f>
        <v>用途</v>
      </c>
      <c r="R9" s="1380" t="s">
        <v>5</v>
      </c>
      <c r="S9" s="1381">
        <f t="shared" si="0"/>
        <v>100</v>
      </c>
      <c r="T9" s="1380" t="s">
        <v>5</v>
      </c>
      <c r="U9" s="1381">
        <f t="shared" si="1"/>
        <v>100</v>
      </c>
      <c r="V9" s="1380" t="s">
        <v>5</v>
      </c>
      <c r="W9" s="1381">
        <f t="shared" si="2"/>
        <v>100</v>
      </c>
      <c r="X9" s="1382"/>
      <c r="Y9" s="3791" t="s">
        <v>485</v>
      </c>
      <c r="Z9" s="1048" t="str">
        <f t="shared" ref="Z9:Z14" si="7">Q9</f>
        <v>用途</v>
      </c>
      <c r="AA9" s="1383">
        <f t="shared" si="3"/>
        <v>1</v>
      </c>
      <c r="AB9" s="1383">
        <f t="shared" si="4"/>
        <v>1</v>
      </c>
      <c r="AC9" s="1383">
        <f t="shared" si="5"/>
        <v>1</v>
      </c>
    </row>
    <row r="10" spans="1:29" s="1198" customFormat="1" ht="27">
      <c r="A10" s="2394"/>
      <c r="B10" s="2399" t="s">
        <v>2039</v>
      </c>
      <c r="C10" s="3659"/>
      <c r="D10" s="246">
        <v>100</v>
      </c>
      <c r="E10" s="3659"/>
      <c r="F10" s="246">
        <f>SUMIF(53:53,E10,54:54)-SUMIF(53:53,C10,54:54)+100</f>
        <v>100</v>
      </c>
      <c r="G10" s="3660"/>
      <c r="H10" s="246">
        <f>SUMIF(53:53,G10,54:54)-SUMIF(53:53,C10,54:54)+100</f>
        <v>100</v>
      </c>
      <c r="I10" s="3659"/>
      <c r="J10" s="246">
        <f>SUMIF(53:53,I10,54:54)-SUMIF(53:53,C10,54:54)+100</f>
        <v>100</v>
      </c>
      <c r="K10" s="494"/>
      <c r="L10" s="1860"/>
      <c r="M10" s="1899"/>
      <c r="N10" s="1899"/>
      <c r="O10" s="1861"/>
      <c r="P10" s="3843"/>
      <c r="Q10" s="1049" t="str">
        <f t="shared" si="6"/>
        <v>土地使用年限（年）</v>
      </c>
      <c r="R10" s="1380" t="s">
        <v>5</v>
      </c>
      <c r="S10" s="1381">
        <f t="shared" si="0"/>
        <v>100</v>
      </c>
      <c r="T10" s="1380" t="s">
        <v>5</v>
      </c>
      <c r="U10" s="1381">
        <f t="shared" si="1"/>
        <v>100</v>
      </c>
      <c r="V10" s="1380" t="s">
        <v>5</v>
      </c>
      <c r="W10" s="1381">
        <f t="shared" si="2"/>
        <v>100</v>
      </c>
      <c r="X10" s="1382"/>
      <c r="Y10" s="3791"/>
      <c r="Z10" s="1048" t="str">
        <f t="shared" si="7"/>
        <v>土地使用年限（年）</v>
      </c>
      <c r="AA10" s="1383">
        <f t="shared" si="3"/>
        <v>1</v>
      </c>
      <c r="AB10" s="1383">
        <f t="shared" si="4"/>
        <v>1</v>
      </c>
      <c r="AC10" s="1383">
        <f t="shared" si="5"/>
        <v>1</v>
      </c>
    </row>
    <row r="11" spans="1:29" ht="15">
      <c r="A11" s="2396"/>
      <c r="B11" s="2402">
        <v>111</v>
      </c>
      <c r="C11" s="498"/>
      <c r="D11" s="246">
        <v>100</v>
      </c>
      <c r="E11" s="842"/>
      <c r="F11" s="246">
        <f>SUMIF(55:55,E11,56:56)-SUMIF(55:55,C11,56:56)+100</f>
        <v>100</v>
      </c>
      <c r="G11" s="842"/>
      <c r="H11" s="246">
        <f>SUMIF(55:55,G11,56:56)-SUMIF(55:55,C11,56:56)+100</f>
        <v>100</v>
      </c>
      <c r="I11" s="842"/>
      <c r="J11" s="246">
        <f>SUMIF(55:55,I11,56:56)-SUMIF(55:55,C11,56:56)+100</f>
        <v>100</v>
      </c>
      <c r="K11" s="551"/>
      <c r="L11" s="1862"/>
      <c r="M11" s="1856"/>
      <c r="N11" s="1856"/>
      <c r="O11" s="1863"/>
      <c r="P11" s="3843"/>
      <c r="Q11" s="1049">
        <f t="shared" si="6"/>
        <v>111</v>
      </c>
      <c r="R11" s="1380" t="s">
        <v>5</v>
      </c>
      <c r="S11" s="1381">
        <f t="shared" si="0"/>
        <v>100</v>
      </c>
      <c r="T11" s="1380" t="s">
        <v>5</v>
      </c>
      <c r="U11" s="1381">
        <f t="shared" si="1"/>
        <v>100</v>
      </c>
      <c r="V11" s="1380" t="s">
        <v>5</v>
      </c>
      <c r="W11" s="1381">
        <f t="shared" si="2"/>
        <v>100</v>
      </c>
      <c r="X11" s="1382"/>
      <c r="Y11" s="3791"/>
      <c r="Z11" s="1048">
        <f t="shared" si="7"/>
        <v>111</v>
      </c>
      <c r="AA11" s="1383">
        <f t="shared" si="3"/>
        <v>1</v>
      </c>
      <c r="AB11" s="1383">
        <f t="shared" si="4"/>
        <v>1</v>
      </c>
      <c r="AC11" s="1383">
        <f t="shared" si="5"/>
        <v>1</v>
      </c>
    </row>
    <row r="12" spans="1:29" s="1117" customFormat="1" ht="15">
      <c r="A12" s="2396"/>
      <c r="B12" s="2402">
        <v>111</v>
      </c>
      <c r="C12" s="498"/>
      <c r="D12" s="508">
        <v>100</v>
      </c>
      <c r="E12" s="842"/>
      <c r="F12" s="246">
        <f>SUMIF(57:57,E12,58:58)-SUMIF(57:57,C12,58:58)+100</f>
        <v>100</v>
      </c>
      <c r="G12" s="842"/>
      <c r="H12" s="246">
        <f>SUMIF(57:57,G12,58:58)-SUMIF(57:57,C12,58:58)+100</f>
        <v>100</v>
      </c>
      <c r="I12" s="842"/>
      <c r="J12" s="246">
        <f>SUMIF(57:57,I12,58:58)-SUMIF(57:57,C12,58:58)+100</f>
        <v>100</v>
      </c>
      <c r="K12" s="551"/>
      <c r="L12" s="1857"/>
      <c r="M12" s="1858"/>
      <c r="N12" s="1858"/>
      <c r="O12" s="1859"/>
      <c r="P12" s="3843"/>
      <c r="Q12" s="1049">
        <f t="shared" si="6"/>
        <v>111</v>
      </c>
      <c r="R12" s="1380" t="s">
        <v>5</v>
      </c>
      <c r="S12" s="1381">
        <f t="shared" si="0"/>
        <v>100</v>
      </c>
      <c r="T12" s="1380" t="s">
        <v>5</v>
      </c>
      <c r="U12" s="1381">
        <f t="shared" si="1"/>
        <v>100</v>
      </c>
      <c r="V12" s="1380" t="s">
        <v>5</v>
      </c>
      <c r="W12" s="1381">
        <f t="shared" si="2"/>
        <v>100</v>
      </c>
      <c r="X12" s="1382"/>
      <c r="Y12" s="3791"/>
      <c r="Z12" s="1048">
        <f t="shared" si="7"/>
        <v>111</v>
      </c>
      <c r="AA12" s="1383">
        <f>D12/F12</f>
        <v>1</v>
      </c>
      <c r="AB12" s="1383">
        <f>D12/H12</f>
        <v>1</v>
      </c>
      <c r="AC12" s="1383">
        <f>D12/J12</f>
        <v>1</v>
      </c>
    </row>
    <row r="13" spans="1:29" ht="15.75" thickBot="1">
      <c r="A13" s="2397"/>
      <c r="B13" s="2403">
        <v>111</v>
      </c>
      <c r="C13" s="509"/>
      <c r="D13" s="510">
        <v>100</v>
      </c>
      <c r="E13" s="842"/>
      <c r="F13" s="246">
        <f>SUMIF(59:59,E13,60:60)-SUMIF(59:59,C13,60:60)+100</f>
        <v>100</v>
      </c>
      <c r="G13" s="842"/>
      <c r="H13" s="510">
        <f>SUMIF(59:59,G13,60:60)-SUMIF(59:59,C13,60:60)+100</f>
        <v>100</v>
      </c>
      <c r="I13" s="842"/>
      <c r="J13" s="510">
        <f>SUMIF(59:59,I13,60:60)-SUMIF(59:59,C13,60:60)+100</f>
        <v>100</v>
      </c>
      <c r="K13" s="551"/>
      <c r="L13" s="1864"/>
      <c r="M13" s="1856"/>
      <c r="N13" s="1856"/>
      <c r="O13" s="1863"/>
      <c r="P13" s="3843"/>
      <c r="Q13" s="1049">
        <f t="shared" si="6"/>
        <v>111</v>
      </c>
      <c r="R13" s="1380" t="s">
        <v>5</v>
      </c>
      <c r="S13" s="1381">
        <f t="shared" si="0"/>
        <v>100</v>
      </c>
      <c r="T13" s="1380" t="s">
        <v>5</v>
      </c>
      <c r="U13" s="1381">
        <f t="shared" si="1"/>
        <v>100</v>
      </c>
      <c r="V13" s="1380" t="s">
        <v>5</v>
      </c>
      <c r="W13" s="1381">
        <f t="shared" si="2"/>
        <v>100</v>
      </c>
      <c r="X13" s="1382"/>
      <c r="Y13" s="3791"/>
      <c r="Z13" s="1048">
        <f t="shared" si="7"/>
        <v>111</v>
      </c>
      <c r="AA13" s="1383">
        <f t="shared" si="3"/>
        <v>1</v>
      </c>
      <c r="AB13" s="1383">
        <f t="shared" si="4"/>
        <v>1</v>
      </c>
      <c r="AC13" s="1383">
        <f t="shared" si="5"/>
        <v>1</v>
      </c>
    </row>
    <row r="14" spans="1:29" ht="15">
      <c r="A14" s="2389" t="s">
        <v>2036</v>
      </c>
      <c r="B14" s="159" t="s">
        <v>492</v>
      </c>
      <c r="C14" s="883">
        <f>IF(B1="工业",估价对象房地状况!G4,估价对象房地状况!C6)</f>
        <v>0</v>
      </c>
      <c r="D14" s="519">
        <v>100</v>
      </c>
      <c r="E14" s="520"/>
      <c r="F14" s="521">
        <f>SUMIF(61:61,E15,62:62)-SUMIF(61:61,C15,62:62)+100</f>
        <v>100</v>
      </c>
      <c r="G14" s="522"/>
      <c r="H14" s="519">
        <f>SUMIF(61:61,G15,62:62)-SUMIF(61:61,C15,62:62)+100</f>
        <v>100</v>
      </c>
      <c r="I14" s="520"/>
      <c r="J14" s="519">
        <f>SUMIF(61:61,I15,62:62)-SUMIF(61:61,C15,62:62)+100</f>
        <v>100</v>
      </c>
      <c r="K14" s="860"/>
      <c r="L14" s="1864"/>
      <c r="M14" s="1856"/>
      <c r="N14" s="1856"/>
      <c r="O14" s="1863"/>
      <c r="P14" s="3877" t="s">
        <v>489</v>
      </c>
      <c r="Q14" s="1384" t="str">
        <f t="shared" si="6"/>
        <v>交通便捷度</v>
      </c>
      <c r="R14" s="1385" t="s">
        <v>5</v>
      </c>
      <c r="S14" s="1386">
        <f t="shared" si="0"/>
        <v>100</v>
      </c>
      <c r="T14" s="1385" t="s">
        <v>5</v>
      </c>
      <c r="U14" s="1386">
        <f t="shared" si="1"/>
        <v>100</v>
      </c>
      <c r="V14" s="1385" t="s">
        <v>5</v>
      </c>
      <c r="W14" s="1386">
        <f t="shared" si="2"/>
        <v>100</v>
      </c>
      <c r="X14" s="1379"/>
      <c r="Y14" s="3877" t="s">
        <v>489</v>
      </c>
      <c r="Z14" s="1387" t="str">
        <f t="shared" si="7"/>
        <v>交通便捷度</v>
      </c>
      <c r="AA14" s="1388">
        <f t="shared" si="3"/>
        <v>1</v>
      </c>
      <c r="AB14" s="1388">
        <f t="shared" si="4"/>
        <v>1</v>
      </c>
      <c r="AC14" s="1388">
        <f t="shared" si="5"/>
        <v>1</v>
      </c>
    </row>
    <row r="15" spans="1:29" ht="15">
      <c r="A15" s="502"/>
      <c r="B15" s="832"/>
      <c r="C15" s="546"/>
      <c r="D15" s="525"/>
      <c r="E15" s="546"/>
      <c r="F15" s="527"/>
      <c r="G15" s="546"/>
      <c r="H15" s="529"/>
      <c r="I15" s="546"/>
      <c r="J15" s="525"/>
      <c r="K15" s="861"/>
      <c r="L15" s="1864"/>
      <c r="M15" s="1856"/>
      <c r="N15" s="1856"/>
      <c r="O15" s="1863"/>
      <c r="P15" s="3878"/>
      <c r="Q15" s="1384"/>
      <c r="R15" s="1385"/>
      <c r="S15" s="1386"/>
      <c r="T15" s="1385"/>
      <c r="U15" s="1386"/>
      <c r="V15" s="1385"/>
      <c r="W15" s="1386"/>
      <c r="X15" s="1379"/>
      <c r="Y15" s="3878"/>
      <c r="Z15" s="1387"/>
      <c r="AA15" s="1388">
        <v>1</v>
      </c>
      <c r="AB15" s="1388">
        <v>1</v>
      </c>
      <c r="AC15" s="1388">
        <v>1</v>
      </c>
    </row>
    <row r="16" spans="1:29" ht="15">
      <c r="A16" s="502"/>
      <c r="B16" s="2210" t="s">
        <v>1829</v>
      </c>
      <c r="C16" s="835">
        <f>IF(B1="工业",估价对象房地状况!G5,估价对象房地状况!C7)</f>
        <v>0</v>
      </c>
      <c r="D16" s="535">
        <v>100</v>
      </c>
      <c r="E16" s="540"/>
      <c r="F16" s="541">
        <f>SUMIF(63:63,E17,64:64)-SUMIF(63:63,C17,64:64)+100</f>
        <v>100</v>
      </c>
      <c r="G16" s="542"/>
      <c r="H16" s="535">
        <f>SUMIF(63:63,G17,64:64)-SUMIF(63:63,C17,64:64)+100</f>
        <v>100</v>
      </c>
      <c r="I16" s="540"/>
      <c r="J16" s="535">
        <f>SUMIF(63:63,I17,64:64)-SUMIF(63:63,C17,64:64)+100</f>
        <v>100</v>
      </c>
      <c r="K16" s="860"/>
      <c r="L16" s="1864"/>
      <c r="M16" s="1856"/>
      <c r="N16" s="1856"/>
      <c r="O16" s="1863"/>
      <c r="P16" s="3878"/>
      <c r="Q16" s="1384" t="str">
        <f>B16</f>
        <v>公共配套设施</v>
      </c>
      <c r="R16" s="1385" t="s">
        <v>5</v>
      </c>
      <c r="S16" s="1386">
        <f>F16</f>
        <v>100</v>
      </c>
      <c r="T16" s="1385" t="s">
        <v>5</v>
      </c>
      <c r="U16" s="1386">
        <f>H16</f>
        <v>100</v>
      </c>
      <c r="V16" s="1385" t="s">
        <v>5</v>
      </c>
      <c r="W16" s="1386">
        <f>J16</f>
        <v>100</v>
      </c>
      <c r="X16" s="1379"/>
      <c r="Y16" s="3878"/>
      <c r="Z16" s="1387" t="str">
        <f>Q16</f>
        <v>公共配套设施</v>
      </c>
      <c r="AA16" s="1388">
        <f t="shared" si="3"/>
        <v>1</v>
      </c>
      <c r="AB16" s="1388">
        <f t="shared" si="4"/>
        <v>1</v>
      </c>
      <c r="AC16" s="1388">
        <f t="shared" si="5"/>
        <v>1</v>
      </c>
    </row>
    <row r="17" spans="1:29" ht="15">
      <c r="A17" s="502"/>
      <c r="B17" s="536"/>
      <c r="C17" s="836"/>
      <c r="D17" s="525"/>
      <c r="E17" s="546"/>
      <c r="F17" s="527"/>
      <c r="G17" s="546"/>
      <c r="H17" s="525"/>
      <c r="I17" s="546"/>
      <c r="J17" s="525"/>
      <c r="K17" s="861"/>
      <c r="L17" s="1864"/>
      <c r="M17" s="1856"/>
      <c r="N17" s="1856"/>
      <c r="O17" s="1863"/>
      <c r="P17" s="3878"/>
      <c r="Q17" s="1384"/>
      <c r="R17" s="1385"/>
      <c r="S17" s="1386"/>
      <c r="T17" s="1385"/>
      <c r="U17" s="1386"/>
      <c r="V17" s="1385"/>
      <c r="W17" s="1386"/>
      <c r="X17" s="1379"/>
      <c r="Y17" s="3878"/>
      <c r="Z17" s="1387"/>
      <c r="AA17" s="1388">
        <v>1</v>
      </c>
      <c r="AB17" s="1388">
        <v>1</v>
      </c>
      <c r="AC17" s="1388">
        <v>1</v>
      </c>
    </row>
    <row r="18" spans="1:29" ht="15">
      <c r="A18" s="502"/>
      <c r="B18" s="2198" t="s">
        <v>1841</v>
      </c>
      <c r="C18" s="835">
        <f>IF(B1="工业",估价对象房地状况!G6,估价对象房地状况!C8)</f>
        <v>0</v>
      </c>
      <c r="D18" s="529">
        <v>100</v>
      </c>
      <c r="E18" s="532"/>
      <c r="F18" s="533">
        <f>SUMIF(65:65,E19,66:66)-SUMIF(65:65,C19,66:66)+100</f>
        <v>100</v>
      </c>
      <c r="G18" s="534"/>
      <c r="H18" s="535">
        <f>SUMIF(65:65,G19,66:66)-SUMIF(65:65,C19,66:66)+100</f>
        <v>100</v>
      </c>
      <c r="I18" s="540"/>
      <c r="J18" s="535">
        <f>SUMIF(65:65,I19,66:66)-SUMIF(65:65,C19,66:66)+100</f>
        <v>100</v>
      </c>
      <c r="K18" s="860"/>
      <c r="L18" s="1864"/>
      <c r="M18" s="1856"/>
      <c r="N18" s="1856"/>
      <c r="O18" s="1863"/>
      <c r="P18" s="3878"/>
      <c r="Q18" s="2192" t="str">
        <f>B18</f>
        <v>基础设施水平</v>
      </c>
      <c r="R18" s="1385" t="s">
        <v>5</v>
      </c>
      <c r="S18" s="1386">
        <f>F18</f>
        <v>100</v>
      </c>
      <c r="T18" s="1385" t="s">
        <v>5</v>
      </c>
      <c r="U18" s="1386">
        <f>H18</f>
        <v>100</v>
      </c>
      <c r="V18" s="1385" t="s">
        <v>5</v>
      </c>
      <c r="W18" s="1386">
        <f>J18</f>
        <v>100</v>
      </c>
      <c r="X18" s="2194"/>
      <c r="Y18" s="3878"/>
      <c r="Z18" s="2193" t="str">
        <f>Q18</f>
        <v>基础设施水平</v>
      </c>
      <c r="AA18" s="1388">
        <f>D18/F18</f>
        <v>1</v>
      </c>
      <c r="AB18" s="1388">
        <f>D18/H18</f>
        <v>1</v>
      </c>
      <c r="AC18" s="1388">
        <f>D18/J18</f>
        <v>1</v>
      </c>
    </row>
    <row r="19" spans="1:29" ht="15">
      <c r="A19" s="502"/>
      <c r="B19" s="548"/>
      <c r="C19" s="836"/>
      <c r="D19" s="529"/>
      <c r="E19" s="836"/>
      <c r="F19" s="533"/>
      <c r="G19" s="836"/>
      <c r="H19" s="525"/>
      <c r="I19" s="546"/>
      <c r="J19" s="525"/>
      <c r="K19" s="2209"/>
      <c r="L19" s="1864"/>
      <c r="M19" s="1856"/>
      <c r="N19" s="1856"/>
      <c r="O19" s="1863"/>
      <c r="P19" s="3878"/>
      <c r="Q19" s="2192"/>
      <c r="R19" s="1385"/>
      <c r="S19" s="1386"/>
      <c r="T19" s="1385"/>
      <c r="U19" s="1386"/>
      <c r="V19" s="1385"/>
      <c r="W19" s="1386"/>
      <c r="X19" s="2194"/>
      <c r="Y19" s="3878"/>
      <c r="Z19" s="2193"/>
      <c r="AA19" s="1388">
        <v>1</v>
      </c>
      <c r="AB19" s="1388">
        <v>1</v>
      </c>
      <c r="AC19" s="1388">
        <v>1</v>
      </c>
    </row>
    <row r="20" spans="1:29" ht="15">
      <c r="A20" s="502"/>
      <c r="B20" s="834" t="s">
        <v>744</v>
      </c>
      <c r="C20" s="835">
        <f>IF(B1="工业",估价对象房地状况!G7,估价对象房地状况!C9)</f>
        <v>0</v>
      </c>
      <c r="D20" s="535">
        <v>100</v>
      </c>
      <c r="E20" s="540"/>
      <c r="F20" s="541">
        <f>SUMIF(67:67,E21,68:68)-SUMIF(67:67,C21,68:68)+100</f>
        <v>100</v>
      </c>
      <c r="G20" s="542"/>
      <c r="H20" s="529">
        <f>SUMIF(67:67,G21,68:68)-SUMIF(67:67,C21,68:68)+100</f>
        <v>100</v>
      </c>
      <c r="I20" s="532"/>
      <c r="J20" s="529">
        <f>SUMIF(67:67,I21,68:68)-SUMIF(67:67,C21,68:68)+100</f>
        <v>100</v>
      </c>
      <c r="K20" s="860"/>
      <c r="L20" s="1864"/>
      <c r="M20" s="1856"/>
      <c r="N20" s="1856"/>
      <c r="O20" s="1863"/>
      <c r="P20" s="3878"/>
      <c r="Q20" s="1384" t="str">
        <f>B20</f>
        <v>自然及人文环境</v>
      </c>
      <c r="R20" s="1385" t="s">
        <v>5</v>
      </c>
      <c r="S20" s="1386">
        <f>F20</f>
        <v>100</v>
      </c>
      <c r="T20" s="1385" t="s">
        <v>5</v>
      </c>
      <c r="U20" s="1386">
        <f>H20</f>
        <v>100</v>
      </c>
      <c r="V20" s="1385" t="s">
        <v>5</v>
      </c>
      <c r="W20" s="1386">
        <f>J20</f>
        <v>100</v>
      </c>
      <c r="X20" s="1379"/>
      <c r="Y20" s="3878"/>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1"/>
      <c r="L21" s="1864"/>
      <c r="M21" s="1856"/>
      <c r="N21" s="1856"/>
      <c r="O21" s="1863"/>
      <c r="P21" s="3878"/>
      <c r="Q21" s="1384"/>
      <c r="R21" s="1385"/>
      <c r="S21" s="1386"/>
      <c r="T21" s="1385"/>
      <c r="U21" s="1386"/>
      <c r="V21" s="1385"/>
      <c r="W21" s="1386"/>
      <c r="X21" s="1379"/>
      <c r="Y21" s="3878"/>
      <c r="Z21" s="1387"/>
      <c r="AA21" s="1388">
        <v>1</v>
      </c>
      <c r="AB21" s="1388">
        <v>1</v>
      </c>
      <c r="AC21" s="1388">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878"/>
      <c r="Q22" s="1384" t="str">
        <f>B22</f>
        <v>楼层</v>
      </c>
      <c r="R22" s="1385" t="s">
        <v>5</v>
      </c>
      <c r="S22" s="1386">
        <f>F22</f>
        <v>100</v>
      </c>
      <c r="T22" s="1385" t="s">
        <v>5</v>
      </c>
      <c r="U22" s="1386">
        <f>H22</f>
        <v>100</v>
      </c>
      <c r="V22" s="1385" t="s">
        <v>5</v>
      </c>
      <c r="W22" s="1386">
        <f>J22</f>
        <v>100</v>
      </c>
      <c r="X22" s="1379"/>
      <c r="Y22" s="3878"/>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878"/>
      <c r="Q23" s="1384">
        <f>B23</f>
        <v>111</v>
      </c>
      <c r="R23" s="1385" t="s">
        <v>5</v>
      </c>
      <c r="S23" s="1386">
        <f>F23</f>
        <v>100</v>
      </c>
      <c r="T23" s="1385" t="s">
        <v>5</v>
      </c>
      <c r="U23" s="1386">
        <f>H23</f>
        <v>100</v>
      </c>
      <c r="V23" s="1385" t="s">
        <v>5</v>
      </c>
      <c r="W23" s="1386">
        <f>J23</f>
        <v>100</v>
      </c>
      <c r="X23" s="1379"/>
      <c r="Y23" s="3878"/>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878"/>
      <c r="Q24" s="1384">
        <f t="shared" ref="Q24:Q34" si="8">B24</f>
        <v>111</v>
      </c>
      <c r="R24" s="1385" t="s">
        <v>5</v>
      </c>
      <c r="S24" s="1386">
        <f>F24</f>
        <v>100</v>
      </c>
      <c r="T24" s="1385" t="s">
        <v>5</v>
      </c>
      <c r="U24" s="1386">
        <f>H24</f>
        <v>100</v>
      </c>
      <c r="V24" s="1385" t="s">
        <v>5</v>
      </c>
      <c r="W24" s="1386">
        <f>J24</f>
        <v>100</v>
      </c>
      <c r="X24" s="1379"/>
      <c r="Y24" s="3878"/>
      <c r="Z24" s="1387">
        <f>Q24</f>
        <v>111</v>
      </c>
      <c r="AA24" s="1388">
        <f t="shared" si="3"/>
        <v>1</v>
      </c>
      <c r="AB24" s="1388">
        <f t="shared" si="4"/>
        <v>1</v>
      </c>
      <c r="AC24" s="1388">
        <f t="shared" si="5"/>
        <v>1</v>
      </c>
    </row>
    <row r="25" spans="1:29" s="1117" customFormat="1" ht="15.75" thickBot="1">
      <c r="A25" s="506"/>
      <c r="B25" s="507">
        <v>111</v>
      </c>
      <c r="C25" s="902"/>
      <c r="D25" s="903">
        <v>100</v>
      </c>
      <c r="E25" s="902"/>
      <c r="F25" s="904">
        <f>SUMIF(75:75,E25,76:76)-SUMIF(75:75,C25,76:76)+100</f>
        <v>100</v>
      </c>
      <c r="G25" s="902"/>
      <c r="H25" s="903">
        <f>SUMIF(75:75,G25,76:76)-SUMIF(75:75,C25,76:76)+100</f>
        <v>100</v>
      </c>
      <c r="I25" s="902"/>
      <c r="J25" s="903">
        <f>SUMIF(75:75,I25,76:76)-SUMIF(75:75,C25,76:76)+100</f>
        <v>100</v>
      </c>
      <c r="K25" s="551"/>
      <c r="L25" s="1857"/>
      <c r="M25" s="1858"/>
      <c r="N25" s="1858"/>
      <c r="O25" s="1859"/>
      <c r="P25" s="3878"/>
      <c r="Q25" s="1049">
        <f t="shared" si="8"/>
        <v>111</v>
      </c>
      <c r="R25" s="1380" t="s">
        <v>5</v>
      </c>
      <c r="S25" s="1381">
        <f>F25</f>
        <v>100</v>
      </c>
      <c r="T25" s="1380" t="s">
        <v>5</v>
      </c>
      <c r="U25" s="1381">
        <f>H25</f>
        <v>100</v>
      </c>
      <c r="V25" s="1380" t="s">
        <v>5</v>
      </c>
      <c r="W25" s="1381">
        <f>J25</f>
        <v>100</v>
      </c>
      <c r="X25" s="1382"/>
      <c r="Y25" s="3878"/>
      <c r="Z25" s="1048">
        <f>Q25</f>
        <v>111</v>
      </c>
      <c r="AA25" s="1388">
        <f>D25/F25</f>
        <v>1</v>
      </c>
      <c r="AB25" s="1388">
        <f>D25/H25</f>
        <v>1</v>
      </c>
      <c r="AC25" s="1388">
        <f>D25/J25</f>
        <v>1</v>
      </c>
    </row>
    <row r="26" spans="1:29" ht="15">
      <c r="A26" s="2386" t="s">
        <v>2037</v>
      </c>
      <c r="B26" s="165" t="s">
        <v>748</v>
      </c>
      <c r="C26" s="878"/>
      <c r="D26" s="567">
        <v>100</v>
      </c>
      <c r="E26" s="878"/>
      <c r="F26" s="905">
        <f>SUMIF(77:77,E26,78:78)-SUMIF(77:77,C26,78:78)+100</f>
        <v>100</v>
      </c>
      <c r="G26" s="878"/>
      <c r="H26" s="567">
        <f>SUMIF(77:77,G26,78:78)-SUMIF(77:77,C26,78:78)+100</f>
        <v>100</v>
      </c>
      <c r="I26" s="878"/>
      <c r="J26" s="567">
        <f>SUMIF(77:77,I26,78:78)-SUMIF(77:77,C26,78:78)+100</f>
        <v>100</v>
      </c>
      <c r="K26" s="554"/>
      <c r="L26" s="1864"/>
      <c r="M26" s="1856"/>
      <c r="N26" s="1856"/>
      <c r="O26" s="1863"/>
      <c r="P26" s="3879"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880" t="s">
        <v>761</v>
      </c>
      <c r="Z26" s="1387" t="str">
        <f t="shared" ref="Z26:Z34" si="12">Q26</f>
        <v>公共部分装修</v>
      </c>
      <c r="AA26" s="1388">
        <f t="shared" si="3"/>
        <v>1</v>
      </c>
      <c r="AB26" s="1388">
        <f t="shared" si="4"/>
        <v>1</v>
      </c>
      <c r="AC26" s="1388">
        <f t="shared" si="5"/>
        <v>1</v>
      </c>
    </row>
    <row r="27" spans="1:29" s="1199" customFormat="1" ht="15">
      <c r="A27" s="573"/>
      <c r="B27" s="497" t="s">
        <v>749</v>
      </c>
      <c r="C27" s="845"/>
      <c r="D27" s="246">
        <v>100</v>
      </c>
      <c r="E27" s="846"/>
      <c r="F27" s="545" t="e">
        <f>LOOKUP(E27,80:80,81:81)-LOOKUP(C27,80:80,81:81)+100</f>
        <v>#N/A</v>
      </c>
      <c r="G27" s="847"/>
      <c r="H27" s="510" t="e">
        <f>LOOKUP(G27,80:80,81:81)-LOOKUP(C27,80:80,81:81)+100</f>
        <v>#N/A</v>
      </c>
      <c r="I27" s="847"/>
      <c r="J27" s="510" t="e">
        <f>LOOKUP(I27,80:80,81:81)-LOOKUP(C27,80:80,81:81)+100</f>
        <v>#N/A</v>
      </c>
      <c r="K27" s="554"/>
      <c r="L27" s="1862"/>
      <c r="M27" s="1892"/>
      <c r="N27" s="1892"/>
      <c r="O27" s="1865"/>
      <c r="P27" s="3880"/>
      <c r="Q27" s="1413" t="str">
        <f t="shared" si="8"/>
        <v>成新率</v>
      </c>
      <c r="R27" s="1389" t="s">
        <v>5</v>
      </c>
      <c r="S27" s="1390" t="e">
        <f t="shared" si="9"/>
        <v>#N/A</v>
      </c>
      <c r="T27" s="1389" t="s">
        <v>5</v>
      </c>
      <c r="U27" s="1390" t="e">
        <f t="shared" si="10"/>
        <v>#N/A</v>
      </c>
      <c r="V27" s="1389" t="s">
        <v>5</v>
      </c>
      <c r="W27" s="1390" t="e">
        <f t="shared" si="11"/>
        <v>#N/A</v>
      </c>
      <c r="X27" s="1391"/>
      <c r="Y27" s="3880"/>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880"/>
      <c r="Q28" s="1384" t="str">
        <f t="shared" si="8"/>
        <v>物业等级</v>
      </c>
      <c r="R28" s="1385" t="s">
        <v>5</v>
      </c>
      <c r="S28" s="1386">
        <f t="shared" si="9"/>
        <v>100</v>
      </c>
      <c r="T28" s="1385" t="s">
        <v>5</v>
      </c>
      <c r="U28" s="1386">
        <f t="shared" si="10"/>
        <v>100</v>
      </c>
      <c r="V28" s="1385" t="s">
        <v>5</v>
      </c>
      <c r="W28" s="1386">
        <f t="shared" si="11"/>
        <v>100</v>
      </c>
      <c r="X28" s="1379"/>
      <c r="Y28" s="3880"/>
      <c r="Z28" s="1387" t="str">
        <f t="shared" si="12"/>
        <v>物业等级</v>
      </c>
      <c r="AA28" s="1388">
        <f t="shared" si="3"/>
        <v>1</v>
      </c>
      <c r="AB28" s="1388">
        <f t="shared" si="4"/>
        <v>1</v>
      </c>
      <c r="AC28" s="1388">
        <f t="shared" si="5"/>
        <v>1</v>
      </c>
    </row>
    <row r="29" spans="1:29" ht="15">
      <c r="A29" s="564"/>
      <c r="B29" s="497" t="s">
        <v>762</v>
      </c>
      <c r="C29" s="894"/>
      <c r="D29" s="510">
        <v>100</v>
      </c>
      <c r="E29" s="894"/>
      <c r="F29" s="545">
        <f>SUMIF(84:84,E29,85:85)-SUMIF(84:84,C29,85:85)+100</f>
        <v>100</v>
      </c>
      <c r="G29" s="894"/>
      <c r="H29" s="510">
        <f>SUMIF(84:84,G29,85:85)-SUMIF(84:84,C29,85:85)+100</f>
        <v>100</v>
      </c>
      <c r="I29" s="894"/>
      <c r="J29" s="510">
        <f>SUMIF(84:84,I29,85:85)-SUMIF(84:84,C29,85:85)+100</f>
        <v>100</v>
      </c>
      <c r="K29" s="554"/>
      <c r="L29" s="1864"/>
      <c r="M29" s="1856"/>
      <c r="N29" s="1856"/>
      <c r="O29" s="1863"/>
      <c r="P29" s="3880"/>
      <c r="Q29" s="1384" t="str">
        <f t="shared" si="8"/>
        <v>有无电梯</v>
      </c>
      <c r="R29" s="1385" t="s">
        <v>5</v>
      </c>
      <c r="S29" s="1386">
        <f t="shared" si="9"/>
        <v>100</v>
      </c>
      <c r="T29" s="1385" t="s">
        <v>5</v>
      </c>
      <c r="U29" s="1386">
        <f t="shared" si="10"/>
        <v>100</v>
      </c>
      <c r="V29" s="1385" t="s">
        <v>5</v>
      </c>
      <c r="W29" s="1386">
        <f t="shared" si="11"/>
        <v>100</v>
      </c>
      <c r="X29" s="1379"/>
      <c r="Y29" s="3880"/>
      <c r="Z29" s="1387" t="str">
        <f t="shared" si="12"/>
        <v>有无电梯</v>
      </c>
      <c r="AA29" s="1388">
        <f t="shared" si="3"/>
        <v>1</v>
      </c>
      <c r="AB29" s="1388">
        <f t="shared" si="4"/>
        <v>1</v>
      </c>
      <c r="AC29" s="1388">
        <f t="shared" si="5"/>
        <v>1</v>
      </c>
    </row>
    <row r="30" spans="1:29" ht="15">
      <c r="A30" s="564"/>
      <c r="B30" s="497" t="s">
        <v>763</v>
      </c>
      <c r="C30" s="842"/>
      <c r="D30" s="510">
        <v>100</v>
      </c>
      <c r="E30" s="842"/>
      <c r="F30" s="545" t="e">
        <f>LOOKUP(E30,87:87,88:88)-LOOKUP(C30,87:87,88:88)+100</f>
        <v>#N/A</v>
      </c>
      <c r="G30" s="842"/>
      <c r="H30" s="510" t="e">
        <f>LOOKUP(G30,87:87,88:88)-LOOKUP(C30,87:87,88:88)+100</f>
        <v>#N/A</v>
      </c>
      <c r="I30" s="842"/>
      <c r="J30" s="510" t="e">
        <f>LOOKUP(I30,87:87,88:88)-LOOKUP(C30,87:87,88:88)+100</f>
        <v>#N/A</v>
      </c>
      <c r="K30" s="551"/>
      <c r="L30" s="1864"/>
      <c r="M30" s="1856"/>
      <c r="N30" s="1856"/>
      <c r="O30" s="1863"/>
      <c r="P30" s="3880"/>
      <c r="Q30" s="1384" t="str">
        <f t="shared" si="8"/>
        <v>建筑面积</v>
      </c>
      <c r="R30" s="1385" t="s">
        <v>5</v>
      </c>
      <c r="S30" s="1386" t="e">
        <f t="shared" si="9"/>
        <v>#N/A</v>
      </c>
      <c r="T30" s="1385" t="s">
        <v>5</v>
      </c>
      <c r="U30" s="1386" t="e">
        <f t="shared" si="10"/>
        <v>#N/A</v>
      </c>
      <c r="V30" s="1385" t="s">
        <v>5</v>
      </c>
      <c r="W30" s="1386" t="e">
        <f t="shared" si="11"/>
        <v>#N/A</v>
      </c>
      <c r="X30" s="1379"/>
      <c r="Y30" s="3880"/>
      <c r="Z30" s="1387" t="str">
        <f t="shared" si="12"/>
        <v>建筑面积</v>
      </c>
      <c r="AA30" s="1388" t="e">
        <f t="shared" si="3"/>
        <v>#N/A</v>
      </c>
      <c r="AB30" s="1388" t="e">
        <f t="shared" si="4"/>
        <v>#N/A</v>
      </c>
      <c r="AC30" s="1388" t="e">
        <f t="shared" si="5"/>
        <v>#N/A</v>
      </c>
    </row>
    <row r="31" spans="1:29" s="1117" customFormat="1" ht="15">
      <c r="A31" s="570"/>
      <c r="B31" s="497" t="s">
        <v>764</v>
      </c>
      <c r="C31" s="894"/>
      <c r="D31" s="246">
        <v>100</v>
      </c>
      <c r="E31" s="894"/>
      <c r="F31" s="545">
        <f>SUMIF(89:89,E31,90:90)-SUMIF(89:89,C31,90:90)+100</f>
        <v>100</v>
      </c>
      <c r="G31" s="894"/>
      <c r="H31" s="510">
        <f>SUMIF(89:89,G31,90:90)-SUMIF(89:89,C31,90:90)+100</f>
        <v>100</v>
      </c>
      <c r="I31" s="894"/>
      <c r="J31" s="510">
        <f>SUMIF(89:89,I31,90:90)-SUMIF(89:89,C31,90:90)+100</f>
        <v>100</v>
      </c>
      <c r="K31" s="554"/>
      <c r="L31" s="1857"/>
      <c r="M31" s="1858"/>
      <c r="N31" s="1858"/>
      <c r="O31" s="1859"/>
      <c r="P31" s="3880"/>
      <c r="Q31" s="1049" t="str">
        <f t="shared" si="8"/>
        <v>是否封闭</v>
      </c>
      <c r="R31" s="1380" t="s">
        <v>5</v>
      </c>
      <c r="S31" s="1381">
        <f t="shared" si="9"/>
        <v>100</v>
      </c>
      <c r="T31" s="1380" t="s">
        <v>5</v>
      </c>
      <c r="U31" s="1381">
        <f t="shared" si="10"/>
        <v>100</v>
      </c>
      <c r="V31" s="1380" t="s">
        <v>5</v>
      </c>
      <c r="W31" s="1381">
        <f t="shared" si="11"/>
        <v>100</v>
      </c>
      <c r="X31" s="1382"/>
      <c r="Y31" s="3880"/>
      <c r="Z31" s="1048" t="str">
        <f t="shared" si="12"/>
        <v>是否封闭</v>
      </c>
      <c r="AA31" s="1383">
        <f t="shared" si="3"/>
        <v>1</v>
      </c>
      <c r="AB31" s="1383">
        <f t="shared" si="4"/>
        <v>1</v>
      </c>
      <c r="AC31" s="1383">
        <f t="shared" si="5"/>
        <v>1</v>
      </c>
    </row>
    <row r="32" spans="1:29" ht="15">
      <c r="A32" s="564"/>
      <c r="B32" s="507">
        <v>111</v>
      </c>
      <c r="C32" s="498"/>
      <c r="D32" s="510">
        <v>100</v>
      </c>
      <c r="E32" s="842"/>
      <c r="F32" s="545">
        <f>SUMIF(91:91,E32,92:92)-SUMIF(91:91,C32,92:92)+100</f>
        <v>100</v>
      </c>
      <c r="G32" s="842"/>
      <c r="H32" s="510">
        <f>SUMIF(91:91,G32,92:92)-SUMIF(91:91,C32,92:92)+100</f>
        <v>100</v>
      </c>
      <c r="I32" s="842"/>
      <c r="J32" s="510">
        <f>SUMIF(91:91,I32,92:92)-SUMIF(91:91,C32,92:92)+100</f>
        <v>100</v>
      </c>
      <c r="K32" s="551"/>
      <c r="L32" s="1864"/>
      <c r="M32" s="1856"/>
      <c r="N32" s="1856"/>
      <c r="O32" s="1863"/>
      <c r="P32" s="3880" t="s">
        <v>499</v>
      </c>
      <c r="Q32" s="1384">
        <f t="shared" si="8"/>
        <v>111</v>
      </c>
      <c r="R32" s="1385" t="s">
        <v>5</v>
      </c>
      <c r="S32" s="1386">
        <f t="shared" si="9"/>
        <v>100</v>
      </c>
      <c r="T32" s="1385" t="s">
        <v>5</v>
      </c>
      <c r="U32" s="1386">
        <f t="shared" si="10"/>
        <v>100</v>
      </c>
      <c r="V32" s="1385" t="s">
        <v>5</v>
      </c>
      <c r="W32" s="1386">
        <f t="shared" si="11"/>
        <v>100</v>
      </c>
      <c r="X32" s="1379"/>
      <c r="Y32" s="3880" t="s">
        <v>499</v>
      </c>
      <c r="Z32" s="1387">
        <f t="shared" si="12"/>
        <v>111</v>
      </c>
      <c r="AA32" s="1388">
        <f t="shared" si="3"/>
        <v>1</v>
      </c>
      <c r="AB32" s="1388">
        <f t="shared" si="4"/>
        <v>1</v>
      </c>
      <c r="AC32" s="1388">
        <f t="shared" si="5"/>
        <v>1</v>
      </c>
    </row>
    <row r="33" spans="1:29" ht="15">
      <c r="A33" s="564"/>
      <c r="B33" s="507">
        <v>111</v>
      </c>
      <c r="C33" s="498"/>
      <c r="D33" s="510">
        <v>100</v>
      </c>
      <c r="E33" s="842"/>
      <c r="F33" s="545">
        <f>SUMIF(93:93,E33,94:94)-SUMIF(93:93,C33,94:94)+100</f>
        <v>100</v>
      </c>
      <c r="G33" s="842"/>
      <c r="H33" s="510">
        <f>SUMIF(93:93,G33,94:94)-SUMIF(93:93,C33,94:94)+100</f>
        <v>100</v>
      </c>
      <c r="I33" s="842"/>
      <c r="J33" s="510">
        <f>SUMIF(93:93,I33,94:94)-SUMIF(93:93,C33,94:94)+100</f>
        <v>100</v>
      </c>
      <c r="K33" s="551"/>
      <c r="L33" s="1864"/>
      <c r="M33" s="1856"/>
      <c r="N33" s="1856"/>
      <c r="O33" s="1863"/>
      <c r="P33" s="3880"/>
      <c r="Q33" s="1384">
        <f t="shared" si="8"/>
        <v>111</v>
      </c>
      <c r="R33" s="1385" t="s">
        <v>5</v>
      </c>
      <c r="S33" s="1386">
        <f t="shared" si="9"/>
        <v>100</v>
      </c>
      <c r="T33" s="1385" t="s">
        <v>5</v>
      </c>
      <c r="U33" s="1386">
        <f t="shared" si="10"/>
        <v>100</v>
      </c>
      <c r="V33" s="1385" t="s">
        <v>5</v>
      </c>
      <c r="W33" s="1386">
        <f t="shared" si="11"/>
        <v>100</v>
      </c>
      <c r="X33" s="1379"/>
      <c r="Y33" s="3880"/>
      <c r="Z33" s="1387">
        <f t="shared" si="12"/>
        <v>111</v>
      </c>
      <c r="AA33" s="1388">
        <f t="shared" si="3"/>
        <v>1</v>
      </c>
      <c r="AB33" s="1388">
        <f t="shared" si="4"/>
        <v>1</v>
      </c>
      <c r="AC33" s="1388">
        <f t="shared" si="5"/>
        <v>1</v>
      </c>
    </row>
    <row r="34" spans="1:29" ht="15.75" thickBot="1">
      <c r="A34" s="848"/>
      <c r="B34" s="514">
        <v>111</v>
      </c>
      <c r="C34" s="515"/>
      <c r="D34" s="516">
        <v>100</v>
      </c>
      <c r="E34" s="906"/>
      <c r="F34" s="829">
        <f>SUMIF(95:95,E34,96:96)-SUMIF(95:95,C34,96:96)+100</f>
        <v>100</v>
      </c>
      <c r="G34" s="906"/>
      <c r="H34" s="516">
        <f>SUMIF(95:95,G34,96:96)-SUMIF(95:95,C34,96:96)+100</f>
        <v>100</v>
      </c>
      <c r="I34" s="906"/>
      <c r="J34" s="516">
        <f>SUMIF(95:95,I34,96:96)-SUMIF(95:95,C34,96:96)+100</f>
        <v>100</v>
      </c>
      <c r="K34" s="551"/>
      <c r="L34" s="1864"/>
      <c r="M34" s="1856"/>
      <c r="N34" s="1856"/>
      <c r="O34" s="1863"/>
      <c r="P34" s="3880"/>
      <c r="Q34" s="1384">
        <f t="shared" si="8"/>
        <v>111</v>
      </c>
      <c r="R34" s="1385" t="s">
        <v>5</v>
      </c>
      <c r="S34" s="1386">
        <f t="shared" si="9"/>
        <v>100</v>
      </c>
      <c r="T34" s="1385" t="s">
        <v>5</v>
      </c>
      <c r="U34" s="1386">
        <f t="shared" si="10"/>
        <v>100</v>
      </c>
      <c r="V34" s="1385" t="s">
        <v>5</v>
      </c>
      <c r="W34" s="1386">
        <f t="shared" si="11"/>
        <v>100</v>
      </c>
      <c r="X34" s="1379"/>
      <c r="Y34" s="3880"/>
      <c r="Z34" s="1387">
        <f t="shared" si="12"/>
        <v>111</v>
      </c>
      <c r="AA34" s="1388">
        <f t="shared" si="3"/>
        <v>1</v>
      </c>
      <c r="AB34" s="1388">
        <f t="shared" si="4"/>
        <v>1</v>
      </c>
      <c r="AC34" s="1388">
        <f t="shared" si="5"/>
        <v>1</v>
      </c>
    </row>
    <row r="35" spans="1:29" ht="15">
      <c r="A35" s="577" t="s">
        <v>683</v>
      </c>
      <c r="B35" s="849"/>
      <c r="C35" s="2233" t="s">
        <v>0</v>
      </c>
      <c r="D35" s="2234"/>
      <c r="E35" s="2235"/>
      <c r="F35" s="2236"/>
      <c r="G35" s="2237"/>
      <c r="H35" s="2238"/>
      <c r="I35" s="2235"/>
      <c r="J35" s="2238"/>
      <c r="K35" s="1418"/>
      <c r="L35" s="1866"/>
      <c r="M35" s="1867"/>
      <c r="N35" s="1856"/>
      <c r="O35" s="1867"/>
      <c r="P35" s="3843" t="str">
        <f>A35</f>
        <v>成交单价（元/平方米）</v>
      </c>
      <c r="Q35" s="3843"/>
      <c r="R35" s="3953">
        <f>E35</f>
        <v>0</v>
      </c>
      <c r="S35" s="3953"/>
      <c r="T35" s="3953">
        <f>G35</f>
        <v>0</v>
      </c>
      <c r="U35" s="3953"/>
      <c r="V35" s="3953">
        <f>I35</f>
        <v>0</v>
      </c>
      <c r="W35" s="3953"/>
      <c r="X35" s="1374"/>
      <c r="Y35" s="1393"/>
      <c r="Z35" s="1374"/>
      <c r="AA35" s="1374"/>
      <c r="AB35" s="1374"/>
      <c r="AC35" s="1374"/>
    </row>
    <row r="36" spans="1:29" ht="15.75" thickBot="1">
      <c r="A36" s="585" t="s">
        <v>2042</v>
      </c>
      <c r="B36" s="850"/>
      <c r="C36" s="2239" t="e">
        <f>R37</f>
        <v>#DIV/0!</v>
      </c>
      <c r="D36" s="2756" t="s">
        <v>2253</v>
      </c>
      <c r="E36" s="2240" t="e">
        <f>R36</f>
        <v>#DIV/0!</v>
      </c>
      <c r="F36" s="2757"/>
      <c r="G36" s="2239" t="e">
        <f>T36</f>
        <v>#DIV/0!</v>
      </c>
      <c r="H36" s="2757"/>
      <c r="I36" s="2240" t="e">
        <f>V36</f>
        <v>#DIV/0!</v>
      </c>
      <c r="J36" s="2757"/>
      <c r="K36" s="2765">
        <f>F36+H36+J36</f>
        <v>0</v>
      </c>
      <c r="L36" s="1866"/>
      <c r="M36" s="1867"/>
      <c r="N36" s="1856"/>
      <c r="O36" s="1867"/>
      <c r="P36" s="3843" t="str">
        <f>A36</f>
        <v>比较价格（元/平方米）</v>
      </c>
      <c r="Q36" s="3843"/>
      <c r="R36" s="3953" t="e">
        <f>IF(F1="售价",ROUND(PRODUCT(R35,AA7:AA34),0),ROUND(PRODUCT(R35,AA7:AA34),1))</f>
        <v>#DIV/0!</v>
      </c>
      <c r="S36" s="3953"/>
      <c r="T36" s="3953" t="e">
        <f>IF(F1="售价",ROUND(PRODUCT(T35,AB7:AB34),0),ROUND(PRODUCT(T35,AB7:AB34),1))</f>
        <v>#DIV/0!</v>
      </c>
      <c r="U36" s="3953"/>
      <c r="V36" s="3953" t="e">
        <f>IF(F1="售价",ROUND(PRODUCT(V35,AC7:AC34),0),ROUND(PRODUCT(V35,AC7:AC34),1))</f>
        <v>#DIV/0!</v>
      </c>
      <c r="W36" s="3953"/>
      <c r="X36" s="1374"/>
      <c r="Y36" s="1374"/>
      <c r="Z36" s="1374"/>
      <c r="AA36" s="1374"/>
      <c r="AB36" s="1374"/>
      <c r="AC36" s="1374"/>
    </row>
    <row r="37" spans="1:29" ht="15.75" thickBot="1">
      <c r="A37" s="589" t="s">
        <v>2189</v>
      </c>
      <c r="B37" s="590"/>
      <c r="C37" s="2241" t="e">
        <f>R37</f>
        <v>#DIV/0!</v>
      </c>
      <c r="D37" s="2241"/>
      <c r="E37" s="2241"/>
      <c r="F37" s="2241"/>
      <c r="G37" s="2241"/>
      <c r="H37" s="2241"/>
      <c r="I37" s="2241"/>
      <c r="J37" s="2241"/>
      <c r="K37" s="1419"/>
      <c r="L37" s="1866"/>
      <c r="M37" s="1867"/>
      <c r="N37" s="1867"/>
      <c r="O37" s="1867"/>
      <c r="P37" s="3881" t="str">
        <f>A37</f>
        <v>估价对象XX用房的比较价格（楼面单价，元/平方米）</v>
      </c>
      <c r="Q37" s="3882"/>
      <c r="R37" s="3952" t="e">
        <f>IF(F1="售价",ROUND(IF(D36="简单平均",AVERAGE(R36:W36),R36*F36+T36*H36+V36*J36),0),ROUND(IF(D36="简单平均",AVERAGE(R36:V36),R36*F36+T36*H36+V36*J36),1))</f>
        <v>#DIV/0!</v>
      </c>
      <c r="S37" s="3952"/>
      <c r="T37" s="3952"/>
      <c r="U37" s="3952"/>
      <c r="V37" s="3952"/>
      <c r="W37" s="3952"/>
      <c r="X37" s="1374"/>
      <c r="Y37" s="1374"/>
      <c r="Z37" s="1374"/>
      <c r="AA37" s="1374"/>
      <c r="AB37" s="1374"/>
      <c r="AC37" s="1374"/>
    </row>
    <row r="38" spans="1:29">
      <c r="A38" s="2956"/>
      <c r="B38" s="2956"/>
      <c r="C38" s="2956"/>
      <c r="D38" s="2956"/>
      <c r="E38" s="2956"/>
      <c r="F38" s="2956"/>
      <c r="G38" s="2958"/>
      <c r="H38" s="2956"/>
      <c r="I38" s="2956"/>
      <c r="J38" s="2956"/>
      <c r="K38" s="2959"/>
      <c r="L38" s="1871"/>
      <c r="M38" s="1867"/>
      <c r="N38" s="1867"/>
      <c r="O38" s="1867"/>
      <c r="P38" s="1867"/>
      <c r="Q38" s="1867"/>
      <c r="R38" s="1867"/>
      <c r="S38" s="1867"/>
      <c r="T38" s="1867"/>
      <c r="U38" s="1867"/>
      <c r="V38" s="1867"/>
      <c r="W38" s="1867"/>
      <c r="X38" s="1867"/>
      <c r="Y38" s="1867"/>
      <c r="Z38" s="1867"/>
      <c r="AA38" s="1867"/>
      <c r="AB38" s="1867"/>
      <c r="AC38" s="1867"/>
    </row>
    <row r="39" spans="1:29">
      <c r="A39" s="2956"/>
      <c r="B39" s="2956"/>
      <c r="C39" s="2956"/>
      <c r="D39" s="2956"/>
      <c r="E39" s="2956"/>
      <c r="F39" s="2956"/>
      <c r="G39" s="2956"/>
      <c r="H39" s="2956"/>
      <c r="I39" s="2956"/>
      <c r="J39" s="2956"/>
      <c r="K39" s="2959"/>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6"/>
      <c r="B40" s="2956"/>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9"/>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6"/>
      <c r="B41" s="2956"/>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9"/>
      <c r="L41" s="1871"/>
      <c r="M41" s="1867"/>
      <c r="N41" s="1867"/>
      <c r="O41" s="1867"/>
      <c r="P41" s="1867"/>
      <c r="Q41" s="1867"/>
      <c r="R41" s="1867"/>
      <c r="S41" s="1867"/>
      <c r="T41" s="1867"/>
      <c r="U41" s="1867"/>
      <c r="V41" s="1867"/>
      <c r="W41" s="1867"/>
      <c r="X41" s="1867"/>
      <c r="Y41" s="1867"/>
      <c r="Z41" s="1867"/>
      <c r="AA41" s="1867"/>
      <c r="AB41" s="1867"/>
      <c r="AC41" s="1867"/>
    </row>
    <row r="42" spans="1:29" s="1204" customFormat="1" ht="13.5" customHeight="1">
      <c r="A42" s="2957"/>
      <c r="B42" s="2957"/>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0"/>
      <c r="L42" s="1874"/>
      <c r="M42" s="1868"/>
      <c r="N42" s="1868"/>
      <c r="O42" s="1868"/>
      <c r="P42" s="1868"/>
      <c r="Q42" s="1868"/>
      <c r="R42" s="1868"/>
      <c r="S42" s="1868"/>
      <c r="T42" s="1868"/>
      <c r="U42" s="1868"/>
      <c r="V42" s="1868"/>
      <c r="W42" s="1868"/>
      <c r="X42" s="1868"/>
      <c r="Y42" s="1868"/>
      <c r="Z42" s="1868"/>
      <c r="AA42" s="1868"/>
      <c r="AB42" s="1868"/>
      <c r="AC42" s="1868"/>
    </row>
    <row r="43" spans="1:29" s="1204"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6" t="s">
        <v>522</v>
      </c>
      <c r="B45" s="1374"/>
      <c r="C45" s="1395"/>
      <c r="D45" s="1395"/>
      <c r="E45" s="1395"/>
      <c r="F45" s="1397"/>
      <c r="G45" s="1397"/>
      <c r="H45" s="1395"/>
      <c r="I45" s="1395"/>
      <c r="J45" s="1395"/>
      <c r="K45" s="1398"/>
      <c r="L45" s="1394"/>
      <c r="M45" s="1395"/>
      <c r="N45" s="1878"/>
      <c r="O45" s="1878"/>
      <c r="P45" s="1878"/>
      <c r="Q45" s="1879"/>
      <c r="R45" s="1867"/>
      <c r="S45" s="1867"/>
      <c r="T45" s="1867"/>
      <c r="U45" s="1867"/>
      <c r="V45" s="1867"/>
      <c r="W45" s="1867"/>
      <c r="X45" s="1867"/>
      <c r="Y45" s="1867"/>
      <c r="Z45" s="1867"/>
      <c r="AA45" s="1867"/>
      <c r="AB45" s="1867"/>
      <c r="AC45" s="1867"/>
    </row>
    <row r="46" spans="1:29" s="1206" customFormat="1" ht="15">
      <c r="A46" s="613" t="s">
        <v>478</v>
      </c>
      <c r="B46" s="614"/>
      <c r="C46" s="2281" t="str">
        <f>YEAR(C7)&amp;"-"&amp;MONTH(C7)</f>
        <v>2023-9</v>
      </c>
      <c r="D46" s="2283">
        <f>EDATE(C46,-1)</f>
        <v>45139</v>
      </c>
      <c r="E46" s="2283">
        <f t="shared" ref="E46:O46" si="13">EDATE(D46,-1)</f>
        <v>45108</v>
      </c>
      <c r="F46" s="2283">
        <f t="shared" si="13"/>
        <v>45078</v>
      </c>
      <c r="G46" s="2283">
        <f t="shared" si="13"/>
        <v>45047</v>
      </c>
      <c r="H46" s="2283">
        <f t="shared" si="13"/>
        <v>45017</v>
      </c>
      <c r="I46" s="2283">
        <f t="shared" si="13"/>
        <v>44986</v>
      </c>
      <c r="J46" s="2283">
        <f t="shared" si="13"/>
        <v>44958</v>
      </c>
      <c r="K46" s="2283">
        <f t="shared" si="13"/>
        <v>44927</v>
      </c>
      <c r="L46" s="2283">
        <f t="shared" si="13"/>
        <v>44896</v>
      </c>
      <c r="M46" s="2283">
        <f t="shared" si="13"/>
        <v>44866</v>
      </c>
      <c r="N46" s="2283">
        <f t="shared" si="13"/>
        <v>44835</v>
      </c>
      <c r="O46" s="2283">
        <f t="shared" si="13"/>
        <v>44805</v>
      </c>
      <c r="P46" s="1881"/>
      <c r="Q46" s="1882"/>
      <c r="R46" s="1882"/>
      <c r="S46" s="1882"/>
      <c r="T46" s="1882"/>
      <c r="U46" s="1882"/>
      <c r="V46" s="1882"/>
      <c r="W46" s="1882"/>
      <c r="X46" s="1882"/>
      <c r="Y46" s="1882"/>
      <c r="Z46" s="1882"/>
      <c r="AA46" s="1882"/>
      <c r="AB46" s="1882"/>
      <c r="AC46" s="1882"/>
    </row>
    <row r="47" spans="1:29" s="1117" customFormat="1" ht="15">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7" customFormat="1" ht="15.7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7" customFormat="1" ht="15">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7" customFormat="1" ht="15.75"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5.75"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7.75"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5.75"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5.75" thickTop="1">
      <c r="A55" s="637"/>
      <c r="B55" s="897">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5.75"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199" customFormat="1" ht="15.75"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199" customFormat="1" ht="15.75"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199" customFormat="1" ht="15.75"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199" customFormat="1" ht="15.75"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75" thickTop="1">
      <c r="A63" s="637"/>
      <c r="B63" s="1651" t="s">
        <v>1840</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2204" t="s">
        <v>1841</v>
      </c>
      <c r="C65" s="2205" t="s">
        <v>1842</v>
      </c>
      <c r="D65" s="2205" t="s">
        <v>1843</v>
      </c>
      <c r="E65" s="2205" t="s">
        <v>1844</v>
      </c>
      <c r="F65" s="2205" t="s">
        <v>1845</v>
      </c>
      <c r="G65" s="2205" t="s">
        <v>1846</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5.75" thickBot="1">
      <c r="A66" s="637"/>
      <c r="B66" s="649"/>
      <c r="C66" s="647">
        <v>100</v>
      </c>
      <c r="D66" s="647">
        <f>C66-$K18</f>
        <v>100</v>
      </c>
      <c r="E66" s="647">
        <f>D66-$K18</f>
        <v>100</v>
      </c>
      <c r="F66" s="647">
        <f>E66-$K18</f>
        <v>100</v>
      </c>
      <c r="G66" s="647">
        <f>F66-$K18</f>
        <v>100</v>
      </c>
      <c r="H66" s="897"/>
      <c r="I66" s="897"/>
      <c r="J66" s="897"/>
      <c r="K66" s="897"/>
      <c r="L66" s="897"/>
      <c r="M66" s="529"/>
      <c r="N66" s="1887"/>
      <c r="O66" s="1887"/>
      <c r="P66" s="1886"/>
      <c r="Q66" s="1879"/>
      <c r="R66" s="1867"/>
      <c r="S66" s="1867"/>
      <c r="T66" s="1867"/>
      <c r="U66" s="1867"/>
      <c r="V66" s="1867"/>
      <c r="W66" s="1867"/>
      <c r="X66" s="1867"/>
      <c r="Y66" s="1867"/>
      <c r="Z66" s="1867"/>
      <c r="AA66" s="1867"/>
      <c r="AB66" s="1867"/>
      <c r="AC66" s="1867"/>
    </row>
    <row r="67" spans="1:29" ht="15.7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7" customFormat="1" ht="15.75" thickTop="1">
      <c r="A71" s="677"/>
      <c r="B71" s="641">
        <f>B23</f>
        <v>111</v>
      </c>
      <c r="C71" s="511"/>
      <c r="D71" s="511"/>
      <c r="E71" s="511"/>
      <c r="F71" s="511"/>
      <c r="G71" s="656"/>
      <c r="H71" s="656"/>
      <c r="I71" s="656"/>
      <c r="J71" s="656"/>
      <c r="K71" s="656"/>
      <c r="L71" s="852"/>
      <c r="M71" s="853"/>
      <c r="N71" s="1883"/>
      <c r="O71" s="1883"/>
      <c r="P71" s="1886"/>
      <c r="Q71" s="1879"/>
      <c r="R71" s="1745"/>
      <c r="S71" s="1745"/>
      <c r="T71" s="1745"/>
      <c r="U71" s="1745"/>
      <c r="V71" s="1745"/>
      <c r="W71" s="1745"/>
      <c r="X71" s="1745"/>
      <c r="Y71" s="1745"/>
      <c r="Z71" s="1745"/>
      <c r="AA71" s="1745"/>
      <c r="AB71" s="1745"/>
      <c r="AC71" s="1745"/>
    </row>
    <row r="72" spans="1:29" s="1117" customFormat="1" ht="15.75"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7" customFormat="1" ht="15.75" thickTop="1">
      <c r="A73" s="677"/>
      <c r="B73" s="641">
        <f>B24</f>
        <v>111</v>
      </c>
      <c r="C73" s="511"/>
      <c r="D73" s="511"/>
      <c r="E73" s="511"/>
      <c r="F73" s="511"/>
      <c r="G73" s="656"/>
      <c r="H73" s="656"/>
      <c r="I73" s="656"/>
      <c r="J73" s="656"/>
      <c r="K73" s="656"/>
      <c r="L73" s="656"/>
      <c r="M73" s="853"/>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99" customFormat="1" ht="15.75"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199" customFormat="1" ht="15.75"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ht="15">
      <c r="A80" s="637"/>
      <c r="B80" s="649"/>
      <c r="C80" s="856">
        <v>0.5</v>
      </c>
      <c r="D80" s="856">
        <v>0.6</v>
      </c>
      <c r="E80" s="856">
        <v>0.7</v>
      </c>
      <c r="F80" s="856">
        <v>0.8</v>
      </c>
      <c r="G80" s="856">
        <v>0.9</v>
      </c>
      <c r="H80" s="856">
        <v>1.0001</v>
      </c>
      <c r="I80" s="897"/>
      <c r="J80" s="897"/>
      <c r="K80" s="907"/>
      <c r="L80" s="908"/>
      <c r="M80" s="909"/>
      <c r="N80" s="1883"/>
      <c r="O80" s="1883"/>
      <c r="P80" s="1886"/>
      <c r="Q80" s="1879"/>
      <c r="R80" s="1867"/>
      <c r="S80" s="1867"/>
      <c r="T80" s="1867"/>
      <c r="U80" s="1867"/>
      <c r="V80" s="1867"/>
      <c r="W80" s="1867"/>
      <c r="X80" s="1867"/>
      <c r="Y80" s="1867"/>
      <c r="Z80" s="1867"/>
      <c r="AA80" s="1867"/>
      <c r="AB80" s="1867"/>
      <c r="AC80" s="1867"/>
    </row>
    <row r="81" spans="1:29" s="1199"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5.75"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199" customFormat="1" ht="15" thickTop="1">
      <c r="A89" s="696"/>
      <c r="B89" s="641" t="s">
        <v>767</v>
      </c>
      <c r="C89" s="656"/>
      <c r="D89" s="656"/>
      <c r="E89" s="656"/>
      <c r="F89" s="656"/>
      <c r="G89" s="656"/>
      <c r="H89" s="656"/>
      <c r="I89" s="656"/>
      <c r="J89" s="656"/>
      <c r="K89" s="656"/>
      <c r="L89" s="656"/>
      <c r="M89" s="853"/>
      <c r="N89" s="1888"/>
      <c r="O89" s="1888"/>
      <c r="P89" s="1889"/>
      <c r="Q89" s="1890"/>
      <c r="R89" s="1891"/>
      <c r="S89" s="1891"/>
      <c r="T89" s="1891"/>
      <c r="U89" s="1891"/>
      <c r="V89" s="1891"/>
      <c r="W89" s="1891"/>
      <c r="X89" s="1891"/>
      <c r="Y89" s="1891"/>
      <c r="Z89" s="1891"/>
      <c r="AA89" s="1891"/>
      <c r="AB89" s="1891"/>
      <c r="AC89" s="1891"/>
    </row>
    <row r="90" spans="1:29" s="1199" customFormat="1" ht="15.75"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5"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5"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5" thickTop="1">
      <c r="A95" s="703"/>
      <c r="B95" s="879">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5.75"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1" priority="18" stopIfTrue="1" operator="containsText" text="超过">
      <formula>NOT(ISERROR(SEARCH("超过",F40)))</formula>
    </cfRule>
  </conditionalFormatting>
  <conditionalFormatting sqref="J42">
    <cfRule type="containsText" dxfId="20" priority="17" stopIfTrue="1" operator="containsText" text="超过">
      <formula>NOT(ISERROR(SEARCH("超过",J42)))</formula>
    </cfRule>
  </conditionalFormatting>
  <conditionalFormatting sqref="H42">
    <cfRule type="containsText" dxfId="19" priority="16" stopIfTrue="1" operator="containsText" text="超过">
      <formula>NOT(ISERROR(SEARCH("超过",H42)))</formula>
    </cfRule>
  </conditionalFormatting>
  <conditionalFormatting sqref="F42">
    <cfRule type="containsText" dxfId="18" priority="15" stopIfTrue="1" operator="containsText" text="超过">
      <formula>NOT(ISERROR(SEARCH("超过",F42)))</formula>
    </cfRule>
  </conditionalFormatting>
  <conditionalFormatting sqref="F41 H41 J41">
    <cfRule type="containsText" dxfId="17" priority="14" stopIfTrue="1" operator="containsText" text="超过">
      <formula>NOT(ISERROR(SEARCH("超过",F41)))</formula>
    </cfRule>
  </conditionalFormatting>
  <conditionalFormatting sqref="E40">
    <cfRule type="expression" dxfId="16" priority="13" stopIfTrue="1">
      <formula>$F$40="超过30%"</formula>
    </cfRule>
  </conditionalFormatting>
  <conditionalFormatting sqref="G42">
    <cfRule type="expression" dxfId="15" priority="12" stopIfTrue="1">
      <formula>$H$54+$H$42="超过30%"</formula>
    </cfRule>
  </conditionalFormatting>
  <conditionalFormatting sqref="E41">
    <cfRule type="expression" dxfId="14" priority="11" stopIfTrue="1">
      <formula>$F$41="超过20%"</formula>
    </cfRule>
  </conditionalFormatting>
  <conditionalFormatting sqref="E42">
    <cfRule type="expression" dxfId="13" priority="10" stopIfTrue="1">
      <formula>$F$42="超过30%"</formula>
    </cfRule>
  </conditionalFormatting>
  <conditionalFormatting sqref="G40">
    <cfRule type="expression" dxfId="12" priority="9" stopIfTrue="1">
      <formula>$H$52+$H$40="超过30%"</formula>
    </cfRule>
  </conditionalFormatting>
  <conditionalFormatting sqref="G41">
    <cfRule type="expression" dxfId="11" priority="8" stopIfTrue="1">
      <formula>$H$53+$H$41="超过20%"</formula>
    </cfRule>
  </conditionalFormatting>
  <conditionalFormatting sqref="I40">
    <cfRule type="expression" dxfId="10" priority="7" stopIfTrue="1">
      <formula>$J$40="超过30%"</formula>
    </cfRule>
  </conditionalFormatting>
  <conditionalFormatting sqref="I41">
    <cfRule type="expression" dxfId="9" priority="6" stopIfTrue="1">
      <formula>$J$41="超过20%"</formula>
    </cfRule>
  </conditionalFormatting>
  <conditionalFormatting sqref="I42">
    <cfRule type="expression" dxfId="8" priority="5" stopIfTrue="1">
      <formula>$J$42="超过30%"</formula>
    </cfRule>
  </conditionalFormatting>
  <conditionalFormatting sqref="F36">
    <cfRule type="expression" dxfId="7" priority="4">
      <formula>$D$36="简单平均"</formula>
    </cfRule>
  </conditionalFormatting>
  <conditionalFormatting sqref="H36">
    <cfRule type="expression" dxfId="6" priority="3">
      <formula>$D$36="简单平均"</formula>
    </cfRule>
  </conditionalFormatting>
  <conditionalFormatting sqref="J36">
    <cfRule type="expression" dxfId="5" priority="2">
      <formula>$D$36="简单平均"</formula>
    </cfRule>
  </conditionalFormatting>
  <conditionalFormatting sqref="F7:F34 H7:H34 J7:J34">
    <cfRule type="cellIs" dxfId="4"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8" customWidth="1"/>
    <col min="2" max="2" width="9.2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2"/>
    <col min="19" max="19" width="9" style="1118"/>
    <col min="20" max="35" width="9" style="248"/>
    <col min="36" max="16384" width="9" style="1118"/>
  </cols>
  <sheetData>
    <row r="1" spans="1:45" s="248" customFormat="1" ht="14.25" customHeight="1" thickBot="1">
      <c r="A1" s="356"/>
      <c r="B1" s="1952" t="s">
        <v>1660</v>
      </c>
      <c r="C1" s="3984" t="s">
        <v>1661</v>
      </c>
      <c r="D1" s="3985"/>
      <c r="E1" s="3985"/>
      <c r="F1" s="3985"/>
      <c r="G1" s="3985"/>
      <c r="H1" s="3985"/>
      <c r="I1" s="3985"/>
      <c r="J1" s="3985"/>
      <c r="K1" s="3985"/>
      <c r="L1" s="3985"/>
      <c r="M1" s="3985"/>
      <c r="N1" s="3985"/>
      <c r="O1" s="3985"/>
      <c r="P1" s="3985"/>
      <c r="Q1" s="3985"/>
      <c r="R1" s="3985"/>
      <c r="S1" s="3986"/>
      <c r="T1" s="1952" t="s">
        <v>1662</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1663</v>
      </c>
      <c r="C2" s="911" t="str">
        <f t="shared" ref="C2:L2" si="0">C3&amp;"(含)"&amp;"-"&amp;D3</f>
        <v>(含)-</v>
      </c>
      <c r="D2" s="912" t="str">
        <f t="shared" si="0"/>
        <v>(含)-</v>
      </c>
      <c r="E2" s="912" t="str">
        <f t="shared" si="0"/>
        <v>(含)-</v>
      </c>
      <c r="F2" s="912" t="str">
        <f t="shared" si="0"/>
        <v>(含)-</v>
      </c>
      <c r="G2" s="912" t="str">
        <f t="shared" si="0"/>
        <v>(含)-</v>
      </c>
      <c r="H2" s="912" t="str">
        <f t="shared" si="0"/>
        <v>(含)-</v>
      </c>
      <c r="I2" s="912" t="str">
        <f t="shared" si="0"/>
        <v>(含)-</v>
      </c>
      <c r="J2" s="912" t="str">
        <f t="shared" si="0"/>
        <v>(含)-</v>
      </c>
      <c r="K2" s="912" t="str">
        <f t="shared" si="0"/>
        <v>(含)-</v>
      </c>
      <c r="L2" s="912" t="str">
        <f t="shared" si="0"/>
        <v>(含)-</v>
      </c>
      <c r="M2" s="912" t="str">
        <f t="shared" ref="M2:R2" si="1">M3&amp;"(含)"&amp;"-"&amp;N3</f>
        <v>(含)-</v>
      </c>
      <c r="N2" s="912" t="str">
        <f t="shared" si="1"/>
        <v>(含)-</v>
      </c>
      <c r="O2" s="912" t="str">
        <f t="shared" si="1"/>
        <v>(含)-</v>
      </c>
      <c r="P2" s="912" t="str">
        <f t="shared" si="1"/>
        <v>(含)-</v>
      </c>
      <c r="Q2" s="912" t="str">
        <f t="shared" si="1"/>
        <v>(含)-</v>
      </c>
      <c r="R2" s="912" t="str">
        <f t="shared" si="1"/>
        <v>(含)-</v>
      </c>
      <c r="S2" s="1954" t="str">
        <f>S3&amp;"(含)"&amp;"-"</f>
        <v>(含)-</v>
      </c>
      <c r="T2" s="913"/>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4"/>
      <c r="C3" s="915"/>
      <c r="D3" s="916"/>
      <c r="E3" s="916"/>
      <c r="F3" s="916"/>
      <c r="G3" s="916"/>
      <c r="H3" s="916"/>
      <c r="I3" s="916"/>
      <c r="J3" s="917"/>
      <c r="K3" s="917"/>
      <c r="L3" s="918"/>
      <c r="M3" s="1957"/>
      <c r="N3" s="1958"/>
      <c r="O3" s="916"/>
      <c r="P3" s="916"/>
      <c r="Q3" s="916"/>
      <c r="R3" s="916"/>
      <c r="S3" s="1959"/>
      <c r="T3" s="919"/>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2182</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2181</v>
      </c>
      <c r="C7" s="1715"/>
      <c r="D7" s="1716"/>
      <c r="E7" s="1716"/>
      <c r="F7" s="1716"/>
      <c r="G7" s="1716"/>
      <c r="H7" s="1716"/>
      <c r="I7" s="1716"/>
      <c r="J7" s="1716"/>
      <c r="K7" s="1716"/>
      <c r="L7" s="1716"/>
      <c r="M7" s="1977"/>
      <c r="N7" s="1978"/>
      <c r="O7" s="1979"/>
      <c r="P7" s="1980"/>
      <c r="Q7" s="1981"/>
      <c r="R7" s="1982"/>
      <c r="S7" s="1983"/>
      <c r="T7" s="920"/>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2180</v>
      </c>
      <c r="C9" s="1715"/>
      <c r="D9" s="1716"/>
      <c r="E9" s="1716"/>
      <c r="F9" s="1716"/>
      <c r="G9" s="1716"/>
      <c r="H9" s="1716"/>
      <c r="I9" s="1716"/>
      <c r="J9" s="1716"/>
      <c r="K9" s="1716"/>
      <c r="L9" s="1717"/>
      <c r="M9" s="1977"/>
      <c r="N9" s="1978"/>
      <c r="O9" s="1979"/>
      <c r="P9" s="1980"/>
      <c r="Q9" s="1981"/>
      <c r="R9" s="1982"/>
      <c r="S9" s="1983"/>
      <c r="T9" s="920"/>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2193</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2179</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2178</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1664</v>
      </c>
      <c r="B17" s="1996" t="s">
        <v>1665</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0"/>
      <c r="C19" s="1742"/>
      <c r="D19" s="1742"/>
      <c r="E19" s="1742"/>
      <c r="F19" s="1742"/>
      <c r="G19" s="1742"/>
      <c r="H19" s="1742"/>
      <c r="I19" s="1742"/>
      <c r="J19" s="1742"/>
      <c r="K19" s="1742"/>
      <c r="L19" s="1742"/>
      <c r="M19" s="1742"/>
      <c r="N19" s="1742"/>
      <c r="O19" s="1742"/>
      <c r="P19" s="1742"/>
      <c r="Q19" s="1742"/>
      <c r="R19" s="1943"/>
      <c r="S19" s="1751"/>
    </row>
    <row r="20" spans="1:45" ht="15.75">
      <c r="A20" s="921"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75">
      <c r="A21" s="921"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3981" t="s">
        <v>14</v>
      </c>
      <c r="D22" s="3982"/>
      <c r="E22" s="3982"/>
      <c r="F22" s="3982"/>
      <c r="G22" s="3982"/>
      <c r="H22" s="3982"/>
      <c r="I22" s="3982"/>
      <c r="J22" s="3982"/>
      <c r="K22" s="3982"/>
      <c r="L22" s="3982"/>
      <c r="M22" s="3982"/>
      <c r="N22" s="3982"/>
      <c r="O22" s="3982"/>
      <c r="P22" s="3982"/>
      <c r="Q22" s="3983"/>
      <c r="R22" s="467" t="e">
        <f>ROUND(S22*10000/B22,0)</f>
        <v>#DIV/0!</v>
      </c>
      <c r="S22" s="51">
        <f>SUM(S24:S10000)</f>
        <v>0</v>
      </c>
    </row>
    <row r="23" spans="1:45" s="1420" customFormat="1" ht="24">
      <c r="A23" s="15" t="s">
        <v>770</v>
      </c>
      <c r="B23" s="2613" t="s">
        <v>2201</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2" t="s">
        <v>774</v>
      </c>
      <c r="B24" s="922"/>
      <c r="C24" s="3017">
        <v>1</v>
      </c>
      <c r="D24" s="3018"/>
      <c r="E24" s="3017">
        <v>1</v>
      </c>
      <c r="F24" s="3018"/>
      <c r="G24" s="3017">
        <v>1</v>
      </c>
      <c r="H24" s="3018"/>
      <c r="I24" s="3017">
        <v>1</v>
      </c>
      <c r="J24" s="3018"/>
      <c r="K24" s="3017">
        <v>1</v>
      </c>
      <c r="L24" s="3018"/>
      <c r="M24" s="3017">
        <v>1</v>
      </c>
      <c r="N24" s="3018"/>
      <c r="O24" s="3017">
        <v>1</v>
      </c>
      <c r="P24" s="3018"/>
      <c r="Q24" s="3017">
        <v>1</v>
      </c>
      <c r="R24" s="925"/>
      <c r="S24" s="923">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6"/>
      <c r="B25" s="132"/>
      <c r="C25" s="51">
        <f>IF(B25="",1,(LOOKUP(B25,$3:$3,$4:$4)-LOOKUP($B$24,$3:$3,$4:$4)+100)/100)</f>
        <v>1</v>
      </c>
      <c r="D25" s="924"/>
      <c r="E25" s="51">
        <f>(SUMIF($5:$5,D25,$6:$6)-SUMIF($5:$5,$D$24,$6:$6)+100)/100</f>
        <v>1</v>
      </c>
      <c r="F25" s="924"/>
      <c r="G25" s="51">
        <f>(SUMIF($7:$7,F25,$8:$8)-SUMIF($7:$7,$F$24,$8:$8)+100)/100</f>
        <v>1</v>
      </c>
      <c r="H25" s="924"/>
      <c r="I25" s="51">
        <f>(SUMIF($9:$9,H25,$10:$10)-SUMIF($9:$9,$H$24,$10:$10)+100)/100</f>
        <v>1</v>
      </c>
      <c r="J25" s="924"/>
      <c r="K25" s="51">
        <f>(SUMIF($11:$11,J25,$12:$12)-SUMIF($11:$11,$J$24,$12:$12)+100)/100</f>
        <v>1</v>
      </c>
      <c r="L25" s="924"/>
      <c r="M25" s="51">
        <f>(SUMIF($13:$13,L25,$14:$14)-SUMIF($13:$13,$L$24,$14:$14)+100)/100</f>
        <v>1</v>
      </c>
      <c r="N25" s="924"/>
      <c r="O25" s="51">
        <f>(SUMIF($15:$15,N25,$16:$16)-SUMIF($15:$15,$N$24,$16:$16)+100)/100</f>
        <v>1</v>
      </c>
      <c r="P25" s="924"/>
      <c r="Q25" s="51">
        <f>(SUMIF($17:$17,P25,$18:$18)-SUMIF($17:$17,$P$24,$18:$18)+100)/100</f>
        <v>1</v>
      </c>
      <c r="R25" s="467">
        <f>IF(B25="",0,ROUND($R$24*C25*E25*G25*I25*K25*M25*O25*Q25,0))</f>
        <v>0</v>
      </c>
      <c r="S25" s="765">
        <f t="shared" si="6"/>
        <v>0</v>
      </c>
    </row>
    <row r="26" spans="1:45">
      <c r="A26" s="926"/>
      <c r="B26" s="132"/>
      <c r="C26" s="51">
        <f t="shared" ref="C26:C89" si="7">IF(B26="",1,(LOOKUP(B26,$3:$3,$4:$4)-LOOKUP($B$24,$3:$3,$4:$4)+100)/100)</f>
        <v>1</v>
      </c>
      <c r="D26" s="924"/>
      <c r="E26" s="51">
        <f t="shared" ref="E26:E89" si="8">(SUMIF($5:$5,D26,$6:$6)-SUMIF($5:$5,$D$24,$6:$6)+100)/100</f>
        <v>1</v>
      </c>
      <c r="F26" s="924"/>
      <c r="G26" s="51">
        <f t="shared" ref="G26:G89" si="9">(SUMIF($7:$7,F26,$8:$8)-SUMIF($7:$7,$F$24,$8:$8)+100)/100</f>
        <v>1</v>
      </c>
      <c r="H26" s="924"/>
      <c r="I26" s="51">
        <f t="shared" ref="I26:I89" si="10">(SUMIF($9:$9,H26,$10:$10)-SUMIF($9:$9,$H$24,$10:$10)+100)/100</f>
        <v>1</v>
      </c>
      <c r="J26" s="924"/>
      <c r="K26" s="51">
        <f t="shared" ref="K26:K89" si="11">(SUMIF($11:$11,J26,$12:$12)-SUMIF($11:$11,$J$24,$12:$12)+100)/100</f>
        <v>1</v>
      </c>
      <c r="L26" s="924"/>
      <c r="M26" s="51">
        <f t="shared" ref="M26:M89" si="12">(SUMIF($13:$13,L26,$14:$14)-SUMIF($13:$13,$L$24,$14:$14)+100)/100</f>
        <v>1</v>
      </c>
      <c r="N26" s="924"/>
      <c r="O26" s="51">
        <f t="shared" ref="O26:O89" si="13">(SUMIF($15:$15,N26,$16:$16)-SUMIF($15:$15,$N$24,$16:$16)+100)/100</f>
        <v>1</v>
      </c>
      <c r="P26" s="924"/>
      <c r="Q26" s="51">
        <f t="shared" ref="Q26:Q89" si="14">(SUMIF($17:$17,P26,$18:$18)-SUMIF($17:$17,$P$24,$18:$18)+100)/100</f>
        <v>1</v>
      </c>
      <c r="R26" s="467">
        <f t="shared" ref="R26:R89" si="15">IF(B26="",0,ROUND($R$24*C26*E26*G26*I26*K26*M26*O26*Q26,0))</f>
        <v>0</v>
      </c>
      <c r="S26" s="765">
        <f t="shared" si="6"/>
        <v>0</v>
      </c>
    </row>
    <row r="27" spans="1:45">
      <c r="A27" s="926"/>
      <c r="B27" s="132"/>
      <c r="C27" s="51">
        <f t="shared" si="7"/>
        <v>1</v>
      </c>
      <c r="D27" s="924"/>
      <c r="E27" s="51">
        <f t="shared" si="8"/>
        <v>1</v>
      </c>
      <c r="F27" s="924"/>
      <c r="G27" s="51">
        <f t="shared" si="9"/>
        <v>1</v>
      </c>
      <c r="H27" s="924"/>
      <c r="I27" s="51">
        <f t="shared" si="10"/>
        <v>1</v>
      </c>
      <c r="J27" s="924"/>
      <c r="K27" s="51">
        <f t="shared" si="11"/>
        <v>1</v>
      </c>
      <c r="L27" s="924"/>
      <c r="M27" s="51">
        <f t="shared" si="12"/>
        <v>1</v>
      </c>
      <c r="N27" s="924"/>
      <c r="O27" s="51">
        <f t="shared" si="13"/>
        <v>1</v>
      </c>
      <c r="P27" s="924"/>
      <c r="Q27" s="51">
        <f t="shared" si="14"/>
        <v>1</v>
      </c>
      <c r="R27" s="467">
        <f t="shared" si="15"/>
        <v>0</v>
      </c>
      <c r="S27" s="765">
        <f t="shared" si="6"/>
        <v>0</v>
      </c>
    </row>
    <row r="28" spans="1:45">
      <c r="A28" s="926"/>
      <c r="B28" s="132"/>
      <c r="C28" s="51">
        <f t="shared" si="7"/>
        <v>1</v>
      </c>
      <c r="D28" s="924"/>
      <c r="E28" s="51">
        <f t="shared" si="8"/>
        <v>1</v>
      </c>
      <c r="F28" s="924"/>
      <c r="G28" s="51">
        <f t="shared" si="9"/>
        <v>1</v>
      </c>
      <c r="H28" s="924"/>
      <c r="I28" s="51">
        <f t="shared" si="10"/>
        <v>1</v>
      </c>
      <c r="J28" s="924"/>
      <c r="K28" s="51">
        <f t="shared" si="11"/>
        <v>1</v>
      </c>
      <c r="L28" s="924"/>
      <c r="M28" s="51">
        <f t="shared" si="12"/>
        <v>1</v>
      </c>
      <c r="N28" s="924"/>
      <c r="O28" s="51">
        <f t="shared" si="13"/>
        <v>1</v>
      </c>
      <c r="P28" s="924"/>
      <c r="Q28" s="51">
        <f t="shared" si="14"/>
        <v>1</v>
      </c>
      <c r="R28" s="467">
        <f t="shared" si="15"/>
        <v>0</v>
      </c>
      <c r="S28" s="765">
        <f t="shared" si="6"/>
        <v>0</v>
      </c>
    </row>
    <row r="29" spans="1:45">
      <c r="A29" s="926"/>
      <c r="B29" s="132"/>
      <c r="C29" s="51">
        <f t="shared" si="7"/>
        <v>1</v>
      </c>
      <c r="D29" s="924"/>
      <c r="E29" s="51">
        <f t="shared" si="8"/>
        <v>1</v>
      </c>
      <c r="F29" s="924"/>
      <c r="G29" s="51">
        <f t="shared" si="9"/>
        <v>1</v>
      </c>
      <c r="H29" s="924"/>
      <c r="I29" s="51">
        <f t="shared" si="10"/>
        <v>1</v>
      </c>
      <c r="J29" s="924"/>
      <c r="K29" s="51">
        <f t="shared" si="11"/>
        <v>1</v>
      </c>
      <c r="L29" s="924"/>
      <c r="M29" s="51">
        <f t="shared" si="12"/>
        <v>1</v>
      </c>
      <c r="N29" s="924"/>
      <c r="O29" s="51">
        <f t="shared" si="13"/>
        <v>1</v>
      </c>
      <c r="P29" s="924"/>
      <c r="Q29" s="51">
        <f t="shared" si="14"/>
        <v>1</v>
      </c>
      <c r="R29" s="467">
        <f t="shared" si="15"/>
        <v>0</v>
      </c>
      <c r="S29" s="765">
        <f t="shared" si="6"/>
        <v>0</v>
      </c>
    </row>
    <row r="30" spans="1:45">
      <c r="A30" s="926"/>
      <c r="B30" s="132"/>
      <c r="C30" s="51">
        <f t="shared" si="7"/>
        <v>1</v>
      </c>
      <c r="D30" s="924"/>
      <c r="E30" s="51">
        <f t="shared" si="8"/>
        <v>1</v>
      </c>
      <c r="F30" s="924"/>
      <c r="G30" s="51">
        <f t="shared" si="9"/>
        <v>1</v>
      </c>
      <c r="H30" s="924"/>
      <c r="I30" s="51">
        <f t="shared" si="10"/>
        <v>1</v>
      </c>
      <c r="J30" s="924"/>
      <c r="K30" s="51">
        <f t="shared" si="11"/>
        <v>1</v>
      </c>
      <c r="L30" s="924"/>
      <c r="M30" s="51">
        <f t="shared" si="12"/>
        <v>1</v>
      </c>
      <c r="N30" s="924"/>
      <c r="O30" s="51">
        <f t="shared" si="13"/>
        <v>1</v>
      </c>
      <c r="P30" s="924"/>
      <c r="Q30" s="51">
        <f t="shared" si="14"/>
        <v>1</v>
      </c>
      <c r="R30" s="467">
        <f t="shared" si="15"/>
        <v>0</v>
      </c>
      <c r="S30" s="765">
        <f t="shared" si="6"/>
        <v>0</v>
      </c>
    </row>
    <row r="31" spans="1:45">
      <c r="A31" s="926"/>
      <c r="B31" s="132"/>
      <c r="C31" s="51">
        <f t="shared" si="7"/>
        <v>1</v>
      </c>
      <c r="D31" s="924"/>
      <c r="E31" s="51">
        <f t="shared" si="8"/>
        <v>1</v>
      </c>
      <c r="F31" s="924"/>
      <c r="G31" s="51">
        <f t="shared" si="9"/>
        <v>1</v>
      </c>
      <c r="H31" s="924"/>
      <c r="I31" s="51">
        <f t="shared" si="10"/>
        <v>1</v>
      </c>
      <c r="J31" s="924"/>
      <c r="K31" s="51">
        <f t="shared" si="11"/>
        <v>1</v>
      </c>
      <c r="L31" s="924"/>
      <c r="M31" s="51">
        <f t="shared" si="12"/>
        <v>1</v>
      </c>
      <c r="N31" s="924"/>
      <c r="O31" s="51">
        <f t="shared" si="13"/>
        <v>1</v>
      </c>
      <c r="P31" s="924"/>
      <c r="Q31" s="51">
        <f t="shared" si="14"/>
        <v>1</v>
      </c>
      <c r="R31" s="467">
        <f t="shared" si="15"/>
        <v>0</v>
      </c>
      <c r="S31" s="765">
        <f t="shared" si="6"/>
        <v>0</v>
      </c>
    </row>
    <row r="32" spans="1:45">
      <c r="A32" s="926"/>
      <c r="B32" s="132"/>
      <c r="C32" s="51">
        <f t="shared" si="7"/>
        <v>1</v>
      </c>
      <c r="D32" s="924"/>
      <c r="E32" s="51">
        <f t="shared" si="8"/>
        <v>1</v>
      </c>
      <c r="F32" s="924"/>
      <c r="G32" s="51">
        <f t="shared" si="9"/>
        <v>1</v>
      </c>
      <c r="H32" s="924"/>
      <c r="I32" s="51">
        <f t="shared" si="10"/>
        <v>1</v>
      </c>
      <c r="J32" s="924"/>
      <c r="K32" s="51">
        <f t="shared" si="11"/>
        <v>1</v>
      </c>
      <c r="L32" s="924"/>
      <c r="M32" s="51">
        <f t="shared" si="12"/>
        <v>1</v>
      </c>
      <c r="N32" s="924"/>
      <c r="O32" s="51">
        <f t="shared" si="13"/>
        <v>1</v>
      </c>
      <c r="P32" s="924"/>
      <c r="Q32" s="51">
        <f t="shared" si="14"/>
        <v>1</v>
      </c>
      <c r="R32" s="467">
        <f t="shared" si="15"/>
        <v>0</v>
      </c>
      <c r="S32" s="765">
        <f t="shared" si="6"/>
        <v>0</v>
      </c>
    </row>
    <row r="33" spans="1:19">
      <c r="A33" s="926"/>
      <c r="B33" s="132"/>
      <c r="C33" s="51">
        <f t="shared" si="7"/>
        <v>1</v>
      </c>
      <c r="D33" s="924"/>
      <c r="E33" s="51">
        <f t="shared" si="8"/>
        <v>1</v>
      </c>
      <c r="F33" s="924"/>
      <c r="G33" s="51">
        <f t="shared" si="9"/>
        <v>1</v>
      </c>
      <c r="H33" s="924"/>
      <c r="I33" s="51">
        <f t="shared" si="10"/>
        <v>1</v>
      </c>
      <c r="J33" s="924"/>
      <c r="K33" s="51">
        <f t="shared" si="11"/>
        <v>1</v>
      </c>
      <c r="L33" s="924"/>
      <c r="M33" s="51">
        <f t="shared" si="12"/>
        <v>1</v>
      </c>
      <c r="N33" s="924"/>
      <c r="O33" s="51">
        <f t="shared" si="13"/>
        <v>1</v>
      </c>
      <c r="P33" s="924"/>
      <c r="Q33" s="51">
        <f t="shared" si="14"/>
        <v>1</v>
      </c>
      <c r="R33" s="467">
        <f t="shared" si="15"/>
        <v>0</v>
      </c>
      <c r="S33" s="765">
        <f t="shared" si="6"/>
        <v>0</v>
      </c>
    </row>
    <row r="34" spans="1:19">
      <c r="A34" s="926"/>
      <c r="B34" s="132"/>
      <c r="C34" s="51">
        <f t="shared" si="7"/>
        <v>1</v>
      </c>
      <c r="D34" s="924"/>
      <c r="E34" s="51">
        <f t="shared" si="8"/>
        <v>1</v>
      </c>
      <c r="F34" s="924"/>
      <c r="G34" s="51">
        <f t="shared" si="9"/>
        <v>1</v>
      </c>
      <c r="H34" s="924"/>
      <c r="I34" s="51">
        <f t="shared" si="10"/>
        <v>1</v>
      </c>
      <c r="J34" s="924"/>
      <c r="K34" s="51">
        <f t="shared" si="11"/>
        <v>1</v>
      </c>
      <c r="L34" s="924"/>
      <c r="M34" s="51">
        <f t="shared" si="12"/>
        <v>1</v>
      </c>
      <c r="N34" s="924"/>
      <c r="O34" s="51">
        <f t="shared" si="13"/>
        <v>1</v>
      </c>
      <c r="P34" s="924"/>
      <c r="Q34" s="51">
        <f t="shared" si="14"/>
        <v>1</v>
      </c>
      <c r="R34" s="467">
        <f t="shared" si="15"/>
        <v>0</v>
      </c>
      <c r="S34" s="765">
        <f t="shared" si="6"/>
        <v>0</v>
      </c>
    </row>
    <row r="35" spans="1:19">
      <c r="A35" s="926"/>
      <c r="B35" s="132"/>
      <c r="C35" s="51">
        <f t="shared" si="7"/>
        <v>1</v>
      </c>
      <c r="D35" s="924"/>
      <c r="E35" s="51">
        <f t="shared" si="8"/>
        <v>1</v>
      </c>
      <c r="F35" s="924"/>
      <c r="G35" s="51">
        <f t="shared" si="9"/>
        <v>1</v>
      </c>
      <c r="H35" s="924"/>
      <c r="I35" s="51">
        <f t="shared" si="10"/>
        <v>1</v>
      </c>
      <c r="J35" s="924"/>
      <c r="K35" s="51">
        <f t="shared" si="11"/>
        <v>1</v>
      </c>
      <c r="L35" s="924"/>
      <c r="M35" s="51">
        <f t="shared" si="12"/>
        <v>1</v>
      </c>
      <c r="N35" s="924"/>
      <c r="O35" s="51">
        <f t="shared" si="13"/>
        <v>1</v>
      </c>
      <c r="P35" s="924"/>
      <c r="Q35" s="51">
        <f t="shared" si="14"/>
        <v>1</v>
      </c>
      <c r="R35" s="467">
        <f t="shared" si="15"/>
        <v>0</v>
      </c>
      <c r="S35" s="765">
        <f t="shared" si="6"/>
        <v>0</v>
      </c>
    </row>
    <row r="36" spans="1:19">
      <c r="A36" s="926"/>
      <c r="B36" s="132"/>
      <c r="C36" s="51">
        <f t="shared" si="7"/>
        <v>1</v>
      </c>
      <c r="D36" s="924"/>
      <c r="E36" s="51">
        <f t="shared" si="8"/>
        <v>1</v>
      </c>
      <c r="F36" s="924"/>
      <c r="G36" s="51">
        <f t="shared" si="9"/>
        <v>1</v>
      </c>
      <c r="H36" s="924"/>
      <c r="I36" s="51">
        <f t="shared" si="10"/>
        <v>1</v>
      </c>
      <c r="J36" s="924"/>
      <c r="K36" s="51">
        <f t="shared" si="11"/>
        <v>1</v>
      </c>
      <c r="L36" s="924"/>
      <c r="M36" s="51">
        <f t="shared" si="12"/>
        <v>1</v>
      </c>
      <c r="N36" s="924"/>
      <c r="O36" s="51">
        <f t="shared" si="13"/>
        <v>1</v>
      </c>
      <c r="P36" s="924"/>
      <c r="Q36" s="51">
        <f t="shared" si="14"/>
        <v>1</v>
      </c>
      <c r="R36" s="467">
        <f t="shared" si="15"/>
        <v>0</v>
      </c>
      <c r="S36" s="765">
        <f t="shared" si="6"/>
        <v>0</v>
      </c>
    </row>
    <row r="37" spans="1:19">
      <c r="A37" s="926"/>
      <c r="B37" s="132"/>
      <c r="C37" s="51">
        <f t="shared" si="7"/>
        <v>1</v>
      </c>
      <c r="D37" s="924"/>
      <c r="E37" s="51">
        <f t="shared" si="8"/>
        <v>1</v>
      </c>
      <c r="F37" s="924"/>
      <c r="G37" s="51">
        <f t="shared" si="9"/>
        <v>1</v>
      </c>
      <c r="H37" s="924"/>
      <c r="I37" s="51">
        <f t="shared" si="10"/>
        <v>1</v>
      </c>
      <c r="J37" s="924"/>
      <c r="K37" s="51">
        <f t="shared" si="11"/>
        <v>1</v>
      </c>
      <c r="L37" s="924"/>
      <c r="M37" s="51">
        <f t="shared" si="12"/>
        <v>1</v>
      </c>
      <c r="N37" s="924"/>
      <c r="O37" s="51">
        <f t="shared" si="13"/>
        <v>1</v>
      </c>
      <c r="P37" s="924"/>
      <c r="Q37" s="51">
        <f t="shared" si="14"/>
        <v>1</v>
      </c>
      <c r="R37" s="467">
        <f t="shared" si="15"/>
        <v>0</v>
      </c>
      <c r="S37" s="765">
        <f t="shared" si="6"/>
        <v>0</v>
      </c>
    </row>
    <row r="38" spans="1:19">
      <c r="A38" s="926"/>
      <c r="B38" s="132"/>
      <c r="C38" s="51">
        <f t="shared" si="7"/>
        <v>1</v>
      </c>
      <c r="D38" s="924"/>
      <c r="E38" s="51">
        <f t="shared" si="8"/>
        <v>1</v>
      </c>
      <c r="F38" s="924"/>
      <c r="G38" s="51">
        <f t="shared" si="9"/>
        <v>1</v>
      </c>
      <c r="H38" s="924"/>
      <c r="I38" s="51">
        <f t="shared" si="10"/>
        <v>1</v>
      </c>
      <c r="J38" s="924"/>
      <c r="K38" s="51">
        <f t="shared" si="11"/>
        <v>1</v>
      </c>
      <c r="L38" s="924"/>
      <c r="M38" s="51">
        <f t="shared" si="12"/>
        <v>1</v>
      </c>
      <c r="N38" s="924"/>
      <c r="O38" s="51">
        <f t="shared" si="13"/>
        <v>1</v>
      </c>
      <c r="P38" s="924"/>
      <c r="Q38" s="51">
        <f t="shared" si="14"/>
        <v>1</v>
      </c>
      <c r="R38" s="467">
        <f t="shared" si="15"/>
        <v>0</v>
      </c>
      <c r="S38" s="765">
        <f t="shared" si="6"/>
        <v>0</v>
      </c>
    </row>
    <row r="39" spans="1:19">
      <c r="A39" s="926"/>
      <c r="B39" s="132"/>
      <c r="C39" s="51">
        <f t="shared" si="7"/>
        <v>1</v>
      </c>
      <c r="D39" s="924"/>
      <c r="E39" s="51">
        <f t="shared" si="8"/>
        <v>1</v>
      </c>
      <c r="F39" s="924"/>
      <c r="G39" s="51">
        <f t="shared" si="9"/>
        <v>1</v>
      </c>
      <c r="H39" s="924"/>
      <c r="I39" s="51">
        <f t="shared" si="10"/>
        <v>1</v>
      </c>
      <c r="J39" s="924"/>
      <c r="K39" s="51">
        <f t="shared" si="11"/>
        <v>1</v>
      </c>
      <c r="L39" s="924"/>
      <c r="M39" s="51">
        <f t="shared" si="12"/>
        <v>1</v>
      </c>
      <c r="N39" s="924"/>
      <c r="O39" s="51">
        <f t="shared" si="13"/>
        <v>1</v>
      </c>
      <c r="P39" s="924"/>
      <c r="Q39" s="51">
        <f t="shared" si="14"/>
        <v>1</v>
      </c>
      <c r="R39" s="467">
        <f t="shared" si="15"/>
        <v>0</v>
      </c>
      <c r="S39" s="765">
        <f t="shared" si="6"/>
        <v>0</v>
      </c>
    </row>
    <row r="40" spans="1:19">
      <c r="A40" s="926"/>
      <c r="B40" s="132"/>
      <c r="C40" s="51">
        <f t="shared" si="7"/>
        <v>1</v>
      </c>
      <c r="D40" s="924"/>
      <c r="E40" s="51">
        <f t="shared" si="8"/>
        <v>1</v>
      </c>
      <c r="F40" s="924"/>
      <c r="G40" s="51">
        <f t="shared" si="9"/>
        <v>1</v>
      </c>
      <c r="H40" s="924"/>
      <c r="I40" s="51">
        <f t="shared" si="10"/>
        <v>1</v>
      </c>
      <c r="J40" s="924"/>
      <c r="K40" s="51">
        <f t="shared" si="11"/>
        <v>1</v>
      </c>
      <c r="L40" s="924"/>
      <c r="M40" s="51">
        <f t="shared" si="12"/>
        <v>1</v>
      </c>
      <c r="N40" s="924"/>
      <c r="O40" s="51">
        <f t="shared" si="13"/>
        <v>1</v>
      </c>
      <c r="P40" s="924"/>
      <c r="Q40" s="51">
        <f t="shared" si="14"/>
        <v>1</v>
      </c>
      <c r="R40" s="467">
        <f t="shared" si="15"/>
        <v>0</v>
      </c>
      <c r="S40" s="765">
        <f t="shared" si="6"/>
        <v>0</v>
      </c>
    </row>
    <row r="41" spans="1:19">
      <c r="A41" s="926"/>
      <c r="B41" s="132"/>
      <c r="C41" s="51">
        <f t="shared" si="7"/>
        <v>1</v>
      </c>
      <c r="D41" s="924"/>
      <c r="E41" s="51">
        <f t="shared" si="8"/>
        <v>1</v>
      </c>
      <c r="F41" s="924"/>
      <c r="G41" s="51">
        <f t="shared" si="9"/>
        <v>1</v>
      </c>
      <c r="H41" s="924"/>
      <c r="I41" s="51">
        <f t="shared" si="10"/>
        <v>1</v>
      </c>
      <c r="J41" s="924"/>
      <c r="K41" s="51">
        <f t="shared" si="11"/>
        <v>1</v>
      </c>
      <c r="L41" s="924"/>
      <c r="M41" s="51">
        <f t="shared" si="12"/>
        <v>1</v>
      </c>
      <c r="N41" s="924"/>
      <c r="O41" s="51">
        <f t="shared" si="13"/>
        <v>1</v>
      </c>
      <c r="P41" s="924"/>
      <c r="Q41" s="51">
        <f t="shared" si="14"/>
        <v>1</v>
      </c>
      <c r="R41" s="467">
        <f t="shared" si="15"/>
        <v>0</v>
      </c>
      <c r="S41" s="765">
        <f t="shared" si="6"/>
        <v>0</v>
      </c>
    </row>
    <row r="42" spans="1:19">
      <c r="A42" s="926"/>
      <c r="B42" s="132"/>
      <c r="C42" s="51">
        <f t="shared" si="7"/>
        <v>1</v>
      </c>
      <c r="D42" s="924"/>
      <c r="E42" s="51">
        <f t="shared" si="8"/>
        <v>1</v>
      </c>
      <c r="F42" s="924"/>
      <c r="G42" s="51">
        <f t="shared" si="9"/>
        <v>1</v>
      </c>
      <c r="H42" s="924"/>
      <c r="I42" s="51">
        <f t="shared" si="10"/>
        <v>1</v>
      </c>
      <c r="J42" s="924"/>
      <c r="K42" s="51">
        <f t="shared" si="11"/>
        <v>1</v>
      </c>
      <c r="L42" s="924"/>
      <c r="M42" s="51">
        <f t="shared" si="12"/>
        <v>1</v>
      </c>
      <c r="N42" s="924"/>
      <c r="O42" s="51">
        <f t="shared" si="13"/>
        <v>1</v>
      </c>
      <c r="P42" s="924"/>
      <c r="Q42" s="51">
        <f t="shared" si="14"/>
        <v>1</v>
      </c>
      <c r="R42" s="467">
        <f t="shared" si="15"/>
        <v>0</v>
      </c>
      <c r="S42" s="765">
        <f t="shared" si="6"/>
        <v>0</v>
      </c>
    </row>
    <row r="43" spans="1:19">
      <c r="A43" s="926"/>
      <c r="B43" s="132"/>
      <c r="C43" s="51">
        <f t="shared" si="7"/>
        <v>1</v>
      </c>
      <c r="D43" s="924"/>
      <c r="E43" s="51">
        <f t="shared" si="8"/>
        <v>1</v>
      </c>
      <c r="F43" s="924"/>
      <c r="G43" s="51">
        <f t="shared" si="9"/>
        <v>1</v>
      </c>
      <c r="H43" s="924"/>
      <c r="I43" s="51">
        <f t="shared" si="10"/>
        <v>1</v>
      </c>
      <c r="J43" s="924"/>
      <c r="K43" s="51">
        <f t="shared" si="11"/>
        <v>1</v>
      </c>
      <c r="L43" s="924"/>
      <c r="M43" s="51">
        <f t="shared" si="12"/>
        <v>1</v>
      </c>
      <c r="N43" s="924"/>
      <c r="O43" s="51">
        <f t="shared" si="13"/>
        <v>1</v>
      </c>
      <c r="P43" s="924"/>
      <c r="Q43" s="51">
        <f t="shared" si="14"/>
        <v>1</v>
      </c>
      <c r="R43" s="467">
        <f t="shared" si="15"/>
        <v>0</v>
      </c>
      <c r="S43" s="765">
        <f t="shared" si="6"/>
        <v>0</v>
      </c>
    </row>
    <row r="44" spans="1:19">
      <c r="A44" s="926"/>
      <c r="B44" s="132"/>
      <c r="C44" s="51">
        <f t="shared" si="7"/>
        <v>1</v>
      </c>
      <c r="D44" s="924"/>
      <c r="E44" s="51">
        <f t="shared" si="8"/>
        <v>1</v>
      </c>
      <c r="F44" s="924"/>
      <c r="G44" s="51">
        <f t="shared" si="9"/>
        <v>1</v>
      </c>
      <c r="H44" s="924"/>
      <c r="I44" s="51">
        <f t="shared" si="10"/>
        <v>1</v>
      </c>
      <c r="J44" s="924"/>
      <c r="K44" s="51">
        <f t="shared" si="11"/>
        <v>1</v>
      </c>
      <c r="L44" s="924"/>
      <c r="M44" s="51">
        <f t="shared" si="12"/>
        <v>1</v>
      </c>
      <c r="N44" s="924"/>
      <c r="O44" s="51">
        <f t="shared" si="13"/>
        <v>1</v>
      </c>
      <c r="P44" s="924"/>
      <c r="Q44" s="51">
        <f t="shared" si="14"/>
        <v>1</v>
      </c>
      <c r="R44" s="467">
        <f t="shared" si="15"/>
        <v>0</v>
      </c>
      <c r="S44" s="765">
        <f t="shared" si="6"/>
        <v>0</v>
      </c>
    </row>
    <row r="45" spans="1:19">
      <c r="A45" s="926"/>
      <c r="B45" s="132"/>
      <c r="C45" s="51">
        <f t="shared" si="7"/>
        <v>1</v>
      </c>
      <c r="D45" s="924"/>
      <c r="E45" s="51">
        <f t="shared" si="8"/>
        <v>1</v>
      </c>
      <c r="F45" s="924"/>
      <c r="G45" s="51">
        <f t="shared" si="9"/>
        <v>1</v>
      </c>
      <c r="H45" s="924"/>
      <c r="I45" s="51">
        <f t="shared" si="10"/>
        <v>1</v>
      </c>
      <c r="J45" s="924"/>
      <c r="K45" s="51">
        <f t="shared" si="11"/>
        <v>1</v>
      </c>
      <c r="L45" s="924"/>
      <c r="M45" s="51">
        <f t="shared" si="12"/>
        <v>1</v>
      </c>
      <c r="N45" s="924"/>
      <c r="O45" s="51">
        <f t="shared" si="13"/>
        <v>1</v>
      </c>
      <c r="P45" s="924"/>
      <c r="Q45" s="51">
        <f t="shared" si="14"/>
        <v>1</v>
      </c>
      <c r="R45" s="467">
        <f t="shared" si="15"/>
        <v>0</v>
      </c>
      <c r="S45" s="765">
        <f t="shared" si="6"/>
        <v>0</v>
      </c>
    </row>
    <row r="46" spans="1:19">
      <c r="A46" s="926"/>
      <c r="B46" s="132"/>
      <c r="C46" s="51">
        <f t="shared" si="7"/>
        <v>1</v>
      </c>
      <c r="D46" s="924"/>
      <c r="E46" s="51">
        <f t="shared" si="8"/>
        <v>1</v>
      </c>
      <c r="F46" s="924"/>
      <c r="G46" s="51">
        <f t="shared" si="9"/>
        <v>1</v>
      </c>
      <c r="H46" s="924"/>
      <c r="I46" s="51">
        <f t="shared" si="10"/>
        <v>1</v>
      </c>
      <c r="J46" s="924"/>
      <c r="K46" s="51">
        <f t="shared" si="11"/>
        <v>1</v>
      </c>
      <c r="L46" s="924"/>
      <c r="M46" s="51">
        <f t="shared" si="12"/>
        <v>1</v>
      </c>
      <c r="N46" s="924"/>
      <c r="O46" s="51">
        <f t="shared" si="13"/>
        <v>1</v>
      </c>
      <c r="P46" s="924"/>
      <c r="Q46" s="51">
        <f t="shared" si="14"/>
        <v>1</v>
      </c>
      <c r="R46" s="467">
        <f t="shared" si="15"/>
        <v>0</v>
      </c>
      <c r="S46" s="765">
        <f t="shared" si="6"/>
        <v>0</v>
      </c>
    </row>
    <row r="47" spans="1:19">
      <c r="A47" s="926"/>
      <c r="B47" s="132"/>
      <c r="C47" s="51">
        <f t="shared" si="7"/>
        <v>1</v>
      </c>
      <c r="D47" s="924"/>
      <c r="E47" s="51">
        <f t="shared" si="8"/>
        <v>1</v>
      </c>
      <c r="F47" s="924"/>
      <c r="G47" s="51">
        <f t="shared" si="9"/>
        <v>1</v>
      </c>
      <c r="H47" s="924"/>
      <c r="I47" s="51">
        <f t="shared" si="10"/>
        <v>1</v>
      </c>
      <c r="J47" s="924"/>
      <c r="K47" s="51">
        <f t="shared" si="11"/>
        <v>1</v>
      </c>
      <c r="L47" s="924"/>
      <c r="M47" s="51">
        <f t="shared" si="12"/>
        <v>1</v>
      </c>
      <c r="N47" s="924"/>
      <c r="O47" s="51">
        <f t="shared" si="13"/>
        <v>1</v>
      </c>
      <c r="P47" s="924"/>
      <c r="Q47" s="51">
        <f t="shared" si="14"/>
        <v>1</v>
      </c>
      <c r="R47" s="467">
        <f t="shared" si="15"/>
        <v>0</v>
      </c>
      <c r="S47" s="765">
        <f t="shared" si="6"/>
        <v>0</v>
      </c>
    </row>
    <row r="48" spans="1:19">
      <c r="A48" s="926"/>
      <c r="B48" s="132"/>
      <c r="C48" s="51">
        <f t="shared" si="7"/>
        <v>1</v>
      </c>
      <c r="D48" s="924"/>
      <c r="E48" s="51">
        <f t="shared" si="8"/>
        <v>1</v>
      </c>
      <c r="F48" s="924"/>
      <c r="G48" s="51">
        <f t="shared" si="9"/>
        <v>1</v>
      </c>
      <c r="H48" s="924"/>
      <c r="I48" s="51">
        <f t="shared" si="10"/>
        <v>1</v>
      </c>
      <c r="J48" s="924"/>
      <c r="K48" s="51">
        <f t="shared" si="11"/>
        <v>1</v>
      </c>
      <c r="L48" s="924"/>
      <c r="M48" s="51">
        <f t="shared" si="12"/>
        <v>1</v>
      </c>
      <c r="N48" s="924"/>
      <c r="O48" s="51">
        <f t="shared" si="13"/>
        <v>1</v>
      </c>
      <c r="P48" s="924"/>
      <c r="Q48" s="51">
        <f t="shared" si="14"/>
        <v>1</v>
      </c>
      <c r="R48" s="467">
        <f t="shared" si="15"/>
        <v>0</v>
      </c>
      <c r="S48" s="765">
        <f t="shared" si="6"/>
        <v>0</v>
      </c>
    </row>
    <row r="49" spans="1:19">
      <c r="A49" s="926"/>
      <c r="B49" s="132"/>
      <c r="C49" s="51">
        <f t="shared" si="7"/>
        <v>1</v>
      </c>
      <c r="D49" s="924"/>
      <c r="E49" s="51">
        <f t="shared" si="8"/>
        <v>1</v>
      </c>
      <c r="F49" s="924"/>
      <c r="G49" s="51">
        <f t="shared" si="9"/>
        <v>1</v>
      </c>
      <c r="H49" s="924"/>
      <c r="I49" s="51">
        <f t="shared" si="10"/>
        <v>1</v>
      </c>
      <c r="J49" s="924"/>
      <c r="K49" s="51">
        <f t="shared" si="11"/>
        <v>1</v>
      </c>
      <c r="L49" s="924"/>
      <c r="M49" s="51">
        <f t="shared" si="12"/>
        <v>1</v>
      </c>
      <c r="N49" s="924"/>
      <c r="O49" s="51">
        <f t="shared" si="13"/>
        <v>1</v>
      </c>
      <c r="P49" s="924"/>
      <c r="Q49" s="51">
        <f t="shared" si="14"/>
        <v>1</v>
      </c>
      <c r="R49" s="467">
        <f t="shared" si="15"/>
        <v>0</v>
      </c>
      <c r="S49" s="765">
        <f t="shared" si="6"/>
        <v>0</v>
      </c>
    </row>
    <row r="50" spans="1:19">
      <c r="A50" s="926"/>
      <c r="B50" s="132"/>
      <c r="C50" s="51">
        <f t="shared" si="7"/>
        <v>1</v>
      </c>
      <c r="D50" s="924"/>
      <c r="E50" s="51">
        <f t="shared" si="8"/>
        <v>1</v>
      </c>
      <c r="F50" s="924"/>
      <c r="G50" s="51">
        <f t="shared" si="9"/>
        <v>1</v>
      </c>
      <c r="H50" s="924"/>
      <c r="I50" s="51">
        <f t="shared" si="10"/>
        <v>1</v>
      </c>
      <c r="J50" s="924"/>
      <c r="K50" s="51">
        <f t="shared" si="11"/>
        <v>1</v>
      </c>
      <c r="L50" s="924"/>
      <c r="M50" s="51">
        <f t="shared" si="12"/>
        <v>1</v>
      </c>
      <c r="N50" s="924"/>
      <c r="O50" s="51">
        <f t="shared" si="13"/>
        <v>1</v>
      </c>
      <c r="P50" s="924"/>
      <c r="Q50" s="51">
        <f t="shared" si="14"/>
        <v>1</v>
      </c>
      <c r="R50" s="467">
        <f t="shared" si="15"/>
        <v>0</v>
      </c>
      <c r="S50" s="765">
        <f t="shared" si="6"/>
        <v>0</v>
      </c>
    </row>
    <row r="51" spans="1:19">
      <c r="A51" s="926"/>
      <c r="B51" s="132"/>
      <c r="C51" s="51">
        <f t="shared" si="7"/>
        <v>1</v>
      </c>
      <c r="D51" s="924"/>
      <c r="E51" s="51">
        <f t="shared" si="8"/>
        <v>1</v>
      </c>
      <c r="F51" s="924"/>
      <c r="G51" s="51">
        <f t="shared" si="9"/>
        <v>1</v>
      </c>
      <c r="H51" s="924"/>
      <c r="I51" s="51">
        <f t="shared" si="10"/>
        <v>1</v>
      </c>
      <c r="J51" s="924"/>
      <c r="K51" s="51">
        <f t="shared" si="11"/>
        <v>1</v>
      </c>
      <c r="L51" s="924"/>
      <c r="M51" s="51">
        <f t="shared" si="12"/>
        <v>1</v>
      </c>
      <c r="N51" s="924"/>
      <c r="O51" s="51">
        <f t="shared" si="13"/>
        <v>1</v>
      </c>
      <c r="P51" s="924"/>
      <c r="Q51" s="51">
        <f t="shared" si="14"/>
        <v>1</v>
      </c>
      <c r="R51" s="467">
        <f t="shared" si="15"/>
        <v>0</v>
      </c>
      <c r="S51" s="765">
        <f t="shared" si="6"/>
        <v>0</v>
      </c>
    </row>
    <row r="52" spans="1:19">
      <c r="A52" s="926"/>
      <c r="B52" s="132"/>
      <c r="C52" s="51">
        <f t="shared" si="7"/>
        <v>1</v>
      </c>
      <c r="D52" s="924"/>
      <c r="E52" s="51">
        <f t="shared" si="8"/>
        <v>1</v>
      </c>
      <c r="F52" s="924"/>
      <c r="G52" s="51">
        <f t="shared" si="9"/>
        <v>1</v>
      </c>
      <c r="H52" s="924"/>
      <c r="I52" s="51">
        <f t="shared" si="10"/>
        <v>1</v>
      </c>
      <c r="J52" s="924"/>
      <c r="K52" s="51">
        <f t="shared" si="11"/>
        <v>1</v>
      </c>
      <c r="L52" s="924"/>
      <c r="M52" s="51">
        <f t="shared" si="12"/>
        <v>1</v>
      </c>
      <c r="N52" s="924"/>
      <c r="O52" s="51">
        <f t="shared" si="13"/>
        <v>1</v>
      </c>
      <c r="P52" s="924"/>
      <c r="Q52" s="51">
        <f t="shared" si="14"/>
        <v>1</v>
      </c>
      <c r="R52" s="467">
        <f t="shared" si="15"/>
        <v>0</v>
      </c>
      <c r="S52" s="765">
        <f t="shared" si="6"/>
        <v>0</v>
      </c>
    </row>
    <row r="53" spans="1:19">
      <c r="A53" s="926"/>
      <c r="B53" s="132"/>
      <c r="C53" s="51">
        <f t="shared" si="7"/>
        <v>1</v>
      </c>
      <c r="D53" s="924"/>
      <c r="E53" s="51">
        <f t="shared" si="8"/>
        <v>1</v>
      </c>
      <c r="F53" s="924"/>
      <c r="G53" s="51">
        <f t="shared" si="9"/>
        <v>1</v>
      </c>
      <c r="H53" s="924"/>
      <c r="I53" s="51">
        <f t="shared" si="10"/>
        <v>1</v>
      </c>
      <c r="J53" s="924"/>
      <c r="K53" s="51">
        <f t="shared" si="11"/>
        <v>1</v>
      </c>
      <c r="L53" s="924"/>
      <c r="M53" s="51">
        <f t="shared" si="12"/>
        <v>1</v>
      </c>
      <c r="N53" s="924"/>
      <c r="O53" s="51">
        <f t="shared" si="13"/>
        <v>1</v>
      </c>
      <c r="P53" s="924"/>
      <c r="Q53" s="51">
        <f t="shared" si="14"/>
        <v>1</v>
      </c>
      <c r="R53" s="467">
        <f t="shared" si="15"/>
        <v>0</v>
      </c>
      <c r="S53" s="765">
        <f t="shared" si="6"/>
        <v>0</v>
      </c>
    </row>
    <row r="54" spans="1:19">
      <c r="A54" s="926"/>
      <c r="B54" s="132"/>
      <c r="C54" s="51">
        <f t="shared" si="7"/>
        <v>1</v>
      </c>
      <c r="D54" s="924"/>
      <c r="E54" s="51">
        <f t="shared" si="8"/>
        <v>1</v>
      </c>
      <c r="F54" s="924"/>
      <c r="G54" s="51">
        <f t="shared" si="9"/>
        <v>1</v>
      </c>
      <c r="H54" s="924"/>
      <c r="I54" s="51">
        <f t="shared" si="10"/>
        <v>1</v>
      </c>
      <c r="J54" s="924"/>
      <c r="K54" s="51">
        <f t="shared" si="11"/>
        <v>1</v>
      </c>
      <c r="L54" s="924"/>
      <c r="M54" s="51">
        <f t="shared" si="12"/>
        <v>1</v>
      </c>
      <c r="N54" s="924"/>
      <c r="O54" s="51">
        <f t="shared" si="13"/>
        <v>1</v>
      </c>
      <c r="P54" s="924"/>
      <c r="Q54" s="51">
        <f t="shared" si="14"/>
        <v>1</v>
      </c>
      <c r="R54" s="467">
        <f t="shared" si="15"/>
        <v>0</v>
      </c>
      <c r="S54" s="765">
        <f t="shared" si="6"/>
        <v>0</v>
      </c>
    </row>
    <row r="55" spans="1:19">
      <c r="A55" s="926"/>
      <c r="B55" s="132"/>
      <c r="C55" s="51">
        <f t="shared" si="7"/>
        <v>1</v>
      </c>
      <c r="D55" s="924"/>
      <c r="E55" s="51">
        <f t="shared" si="8"/>
        <v>1</v>
      </c>
      <c r="F55" s="924"/>
      <c r="G55" s="51">
        <f t="shared" si="9"/>
        <v>1</v>
      </c>
      <c r="H55" s="924"/>
      <c r="I55" s="51">
        <f t="shared" si="10"/>
        <v>1</v>
      </c>
      <c r="J55" s="924"/>
      <c r="K55" s="51">
        <f t="shared" si="11"/>
        <v>1</v>
      </c>
      <c r="L55" s="924"/>
      <c r="M55" s="51">
        <f t="shared" si="12"/>
        <v>1</v>
      </c>
      <c r="N55" s="924"/>
      <c r="O55" s="51">
        <f t="shared" si="13"/>
        <v>1</v>
      </c>
      <c r="P55" s="924"/>
      <c r="Q55" s="51">
        <f t="shared" si="14"/>
        <v>1</v>
      </c>
      <c r="R55" s="467">
        <f t="shared" si="15"/>
        <v>0</v>
      </c>
      <c r="S55" s="765">
        <f t="shared" ref="S55:S77" si="16">ROUND(R55*B55/10000,0)</f>
        <v>0</v>
      </c>
    </row>
    <row r="56" spans="1:19">
      <c r="A56" s="926"/>
      <c r="B56" s="132"/>
      <c r="C56" s="51">
        <f t="shared" si="7"/>
        <v>1</v>
      </c>
      <c r="D56" s="924"/>
      <c r="E56" s="51">
        <f t="shared" si="8"/>
        <v>1</v>
      </c>
      <c r="F56" s="924"/>
      <c r="G56" s="51">
        <f t="shared" si="9"/>
        <v>1</v>
      </c>
      <c r="H56" s="924"/>
      <c r="I56" s="51">
        <f t="shared" si="10"/>
        <v>1</v>
      </c>
      <c r="J56" s="924"/>
      <c r="K56" s="51">
        <f t="shared" si="11"/>
        <v>1</v>
      </c>
      <c r="L56" s="924"/>
      <c r="M56" s="51">
        <f t="shared" si="12"/>
        <v>1</v>
      </c>
      <c r="N56" s="924"/>
      <c r="O56" s="51">
        <f t="shared" si="13"/>
        <v>1</v>
      </c>
      <c r="P56" s="924"/>
      <c r="Q56" s="51">
        <f t="shared" si="14"/>
        <v>1</v>
      </c>
      <c r="R56" s="467">
        <f t="shared" si="15"/>
        <v>0</v>
      </c>
      <c r="S56" s="765">
        <f t="shared" si="16"/>
        <v>0</v>
      </c>
    </row>
    <row r="57" spans="1:19">
      <c r="A57" s="926"/>
      <c r="B57" s="132"/>
      <c r="C57" s="51">
        <f t="shared" si="7"/>
        <v>1</v>
      </c>
      <c r="D57" s="924"/>
      <c r="E57" s="51">
        <f t="shared" si="8"/>
        <v>1</v>
      </c>
      <c r="F57" s="924"/>
      <c r="G57" s="51">
        <f t="shared" si="9"/>
        <v>1</v>
      </c>
      <c r="H57" s="924"/>
      <c r="I57" s="51">
        <f t="shared" si="10"/>
        <v>1</v>
      </c>
      <c r="J57" s="924"/>
      <c r="K57" s="51">
        <f t="shared" si="11"/>
        <v>1</v>
      </c>
      <c r="L57" s="924"/>
      <c r="M57" s="51">
        <f t="shared" si="12"/>
        <v>1</v>
      </c>
      <c r="N57" s="924"/>
      <c r="O57" s="51">
        <f t="shared" si="13"/>
        <v>1</v>
      </c>
      <c r="P57" s="924"/>
      <c r="Q57" s="51">
        <f t="shared" si="14"/>
        <v>1</v>
      </c>
      <c r="R57" s="467">
        <f t="shared" si="15"/>
        <v>0</v>
      </c>
      <c r="S57" s="765">
        <f t="shared" si="16"/>
        <v>0</v>
      </c>
    </row>
    <row r="58" spans="1:19">
      <c r="A58" s="926"/>
      <c r="B58" s="132"/>
      <c r="C58" s="51">
        <f t="shared" si="7"/>
        <v>1</v>
      </c>
      <c r="D58" s="924"/>
      <c r="E58" s="51">
        <f t="shared" si="8"/>
        <v>1</v>
      </c>
      <c r="F58" s="924"/>
      <c r="G58" s="51">
        <f t="shared" si="9"/>
        <v>1</v>
      </c>
      <c r="H58" s="924"/>
      <c r="I58" s="51">
        <f t="shared" si="10"/>
        <v>1</v>
      </c>
      <c r="J58" s="924"/>
      <c r="K58" s="51">
        <f t="shared" si="11"/>
        <v>1</v>
      </c>
      <c r="L58" s="924"/>
      <c r="M58" s="51">
        <f t="shared" si="12"/>
        <v>1</v>
      </c>
      <c r="N58" s="924"/>
      <c r="O58" s="51">
        <f t="shared" si="13"/>
        <v>1</v>
      </c>
      <c r="P58" s="924"/>
      <c r="Q58" s="51">
        <f t="shared" si="14"/>
        <v>1</v>
      </c>
      <c r="R58" s="467">
        <f t="shared" si="15"/>
        <v>0</v>
      </c>
      <c r="S58" s="765">
        <f t="shared" si="16"/>
        <v>0</v>
      </c>
    </row>
    <row r="59" spans="1:19">
      <c r="A59" s="926"/>
      <c r="B59" s="132"/>
      <c r="C59" s="51">
        <f t="shared" si="7"/>
        <v>1</v>
      </c>
      <c r="D59" s="924"/>
      <c r="E59" s="51">
        <f t="shared" si="8"/>
        <v>1</v>
      </c>
      <c r="F59" s="924"/>
      <c r="G59" s="51">
        <f t="shared" si="9"/>
        <v>1</v>
      </c>
      <c r="H59" s="924"/>
      <c r="I59" s="51">
        <f t="shared" si="10"/>
        <v>1</v>
      </c>
      <c r="J59" s="924"/>
      <c r="K59" s="51">
        <f t="shared" si="11"/>
        <v>1</v>
      </c>
      <c r="L59" s="924"/>
      <c r="M59" s="51">
        <f t="shared" si="12"/>
        <v>1</v>
      </c>
      <c r="N59" s="924"/>
      <c r="O59" s="51">
        <f t="shared" si="13"/>
        <v>1</v>
      </c>
      <c r="P59" s="924"/>
      <c r="Q59" s="51">
        <f t="shared" si="14"/>
        <v>1</v>
      </c>
      <c r="R59" s="467">
        <f t="shared" si="15"/>
        <v>0</v>
      </c>
      <c r="S59" s="765">
        <f t="shared" si="16"/>
        <v>0</v>
      </c>
    </row>
    <row r="60" spans="1:19">
      <c r="A60" s="926"/>
      <c r="B60" s="132"/>
      <c r="C60" s="51">
        <f t="shared" si="7"/>
        <v>1</v>
      </c>
      <c r="D60" s="924"/>
      <c r="E60" s="51">
        <f t="shared" si="8"/>
        <v>1</v>
      </c>
      <c r="F60" s="924"/>
      <c r="G60" s="51">
        <f t="shared" si="9"/>
        <v>1</v>
      </c>
      <c r="H60" s="924"/>
      <c r="I60" s="51">
        <f t="shared" si="10"/>
        <v>1</v>
      </c>
      <c r="J60" s="924"/>
      <c r="K60" s="51">
        <f t="shared" si="11"/>
        <v>1</v>
      </c>
      <c r="L60" s="924"/>
      <c r="M60" s="51">
        <f t="shared" si="12"/>
        <v>1</v>
      </c>
      <c r="N60" s="924"/>
      <c r="O60" s="51">
        <f t="shared" si="13"/>
        <v>1</v>
      </c>
      <c r="P60" s="924"/>
      <c r="Q60" s="51">
        <f t="shared" si="14"/>
        <v>1</v>
      </c>
      <c r="R60" s="467">
        <f t="shared" si="15"/>
        <v>0</v>
      </c>
      <c r="S60" s="765">
        <f t="shared" si="16"/>
        <v>0</v>
      </c>
    </row>
    <row r="61" spans="1:19">
      <c r="A61" s="926"/>
      <c r="B61" s="132"/>
      <c r="C61" s="51">
        <f t="shared" si="7"/>
        <v>1</v>
      </c>
      <c r="D61" s="924"/>
      <c r="E61" s="51">
        <f t="shared" si="8"/>
        <v>1</v>
      </c>
      <c r="F61" s="924"/>
      <c r="G61" s="51">
        <f t="shared" si="9"/>
        <v>1</v>
      </c>
      <c r="H61" s="924"/>
      <c r="I61" s="51">
        <f t="shared" si="10"/>
        <v>1</v>
      </c>
      <c r="J61" s="924"/>
      <c r="K61" s="51">
        <f t="shared" si="11"/>
        <v>1</v>
      </c>
      <c r="L61" s="924"/>
      <c r="M61" s="51">
        <f t="shared" si="12"/>
        <v>1</v>
      </c>
      <c r="N61" s="924"/>
      <c r="O61" s="51">
        <f t="shared" si="13"/>
        <v>1</v>
      </c>
      <c r="P61" s="924"/>
      <c r="Q61" s="51">
        <f t="shared" si="14"/>
        <v>1</v>
      </c>
      <c r="R61" s="467">
        <f t="shared" si="15"/>
        <v>0</v>
      </c>
      <c r="S61" s="765">
        <f t="shared" si="16"/>
        <v>0</v>
      </c>
    </row>
    <row r="62" spans="1:19">
      <c r="A62" s="926"/>
      <c r="B62" s="132"/>
      <c r="C62" s="51">
        <f t="shared" si="7"/>
        <v>1</v>
      </c>
      <c r="D62" s="924"/>
      <c r="E62" s="51">
        <f t="shared" si="8"/>
        <v>1</v>
      </c>
      <c r="F62" s="924"/>
      <c r="G62" s="51">
        <f t="shared" si="9"/>
        <v>1</v>
      </c>
      <c r="H62" s="924"/>
      <c r="I62" s="51">
        <f t="shared" si="10"/>
        <v>1</v>
      </c>
      <c r="J62" s="924"/>
      <c r="K62" s="51">
        <f t="shared" si="11"/>
        <v>1</v>
      </c>
      <c r="L62" s="924"/>
      <c r="M62" s="51">
        <f t="shared" si="12"/>
        <v>1</v>
      </c>
      <c r="N62" s="924"/>
      <c r="O62" s="51">
        <f t="shared" si="13"/>
        <v>1</v>
      </c>
      <c r="P62" s="924"/>
      <c r="Q62" s="51">
        <f t="shared" si="14"/>
        <v>1</v>
      </c>
      <c r="R62" s="467">
        <f t="shared" si="15"/>
        <v>0</v>
      </c>
      <c r="S62" s="765">
        <f t="shared" si="16"/>
        <v>0</v>
      </c>
    </row>
    <row r="63" spans="1:19">
      <c r="A63" s="926"/>
      <c r="B63" s="132"/>
      <c r="C63" s="51">
        <f t="shared" si="7"/>
        <v>1</v>
      </c>
      <c r="D63" s="924"/>
      <c r="E63" s="51">
        <f t="shared" si="8"/>
        <v>1</v>
      </c>
      <c r="F63" s="924"/>
      <c r="G63" s="51">
        <f t="shared" si="9"/>
        <v>1</v>
      </c>
      <c r="H63" s="924"/>
      <c r="I63" s="51">
        <f t="shared" si="10"/>
        <v>1</v>
      </c>
      <c r="J63" s="924"/>
      <c r="K63" s="51">
        <f t="shared" si="11"/>
        <v>1</v>
      </c>
      <c r="L63" s="924"/>
      <c r="M63" s="51">
        <f t="shared" si="12"/>
        <v>1</v>
      </c>
      <c r="N63" s="924"/>
      <c r="O63" s="51">
        <f t="shared" si="13"/>
        <v>1</v>
      </c>
      <c r="P63" s="924"/>
      <c r="Q63" s="51">
        <f t="shared" si="14"/>
        <v>1</v>
      </c>
      <c r="R63" s="467">
        <f t="shared" si="15"/>
        <v>0</v>
      </c>
      <c r="S63" s="765">
        <f t="shared" si="16"/>
        <v>0</v>
      </c>
    </row>
    <row r="64" spans="1:19">
      <c r="A64" s="926"/>
      <c r="B64" s="132"/>
      <c r="C64" s="51">
        <f t="shared" si="7"/>
        <v>1</v>
      </c>
      <c r="D64" s="924"/>
      <c r="E64" s="51">
        <f t="shared" si="8"/>
        <v>1</v>
      </c>
      <c r="F64" s="924"/>
      <c r="G64" s="51">
        <f t="shared" si="9"/>
        <v>1</v>
      </c>
      <c r="H64" s="924"/>
      <c r="I64" s="51">
        <f t="shared" si="10"/>
        <v>1</v>
      </c>
      <c r="J64" s="924"/>
      <c r="K64" s="51">
        <f t="shared" si="11"/>
        <v>1</v>
      </c>
      <c r="L64" s="924"/>
      <c r="M64" s="51">
        <f t="shared" si="12"/>
        <v>1</v>
      </c>
      <c r="N64" s="924"/>
      <c r="O64" s="51">
        <f t="shared" si="13"/>
        <v>1</v>
      </c>
      <c r="P64" s="924"/>
      <c r="Q64" s="51">
        <f t="shared" si="14"/>
        <v>1</v>
      </c>
      <c r="R64" s="467">
        <f t="shared" si="15"/>
        <v>0</v>
      </c>
      <c r="S64" s="765">
        <f t="shared" si="16"/>
        <v>0</v>
      </c>
    </row>
    <row r="65" spans="1:19">
      <c r="A65" s="926"/>
      <c r="B65" s="132"/>
      <c r="C65" s="51">
        <f t="shared" si="7"/>
        <v>1</v>
      </c>
      <c r="D65" s="924"/>
      <c r="E65" s="51">
        <f t="shared" si="8"/>
        <v>1</v>
      </c>
      <c r="F65" s="924"/>
      <c r="G65" s="51">
        <f t="shared" si="9"/>
        <v>1</v>
      </c>
      <c r="H65" s="924"/>
      <c r="I65" s="51">
        <f t="shared" si="10"/>
        <v>1</v>
      </c>
      <c r="J65" s="924"/>
      <c r="K65" s="51">
        <f t="shared" si="11"/>
        <v>1</v>
      </c>
      <c r="L65" s="924"/>
      <c r="M65" s="51">
        <f t="shared" si="12"/>
        <v>1</v>
      </c>
      <c r="N65" s="924"/>
      <c r="O65" s="51">
        <f t="shared" si="13"/>
        <v>1</v>
      </c>
      <c r="P65" s="924"/>
      <c r="Q65" s="51">
        <f t="shared" si="14"/>
        <v>1</v>
      </c>
      <c r="R65" s="467">
        <f t="shared" si="15"/>
        <v>0</v>
      </c>
      <c r="S65" s="765">
        <f t="shared" si="16"/>
        <v>0</v>
      </c>
    </row>
    <row r="66" spans="1:19">
      <c r="A66" s="926"/>
      <c r="B66" s="132"/>
      <c r="C66" s="51">
        <f t="shared" si="7"/>
        <v>1</v>
      </c>
      <c r="D66" s="924"/>
      <c r="E66" s="51">
        <f t="shared" si="8"/>
        <v>1</v>
      </c>
      <c r="F66" s="924"/>
      <c r="G66" s="51">
        <f t="shared" si="9"/>
        <v>1</v>
      </c>
      <c r="H66" s="924"/>
      <c r="I66" s="51">
        <f t="shared" si="10"/>
        <v>1</v>
      </c>
      <c r="J66" s="924"/>
      <c r="K66" s="51">
        <f t="shared" si="11"/>
        <v>1</v>
      </c>
      <c r="L66" s="924"/>
      <c r="M66" s="51">
        <f t="shared" si="12"/>
        <v>1</v>
      </c>
      <c r="N66" s="924"/>
      <c r="O66" s="51">
        <f t="shared" si="13"/>
        <v>1</v>
      </c>
      <c r="P66" s="924"/>
      <c r="Q66" s="51">
        <f t="shared" si="14"/>
        <v>1</v>
      </c>
      <c r="R66" s="467">
        <f t="shared" si="15"/>
        <v>0</v>
      </c>
      <c r="S66" s="765">
        <f t="shared" si="16"/>
        <v>0</v>
      </c>
    </row>
    <row r="67" spans="1:19">
      <c r="A67" s="926"/>
      <c r="B67" s="132"/>
      <c r="C67" s="51">
        <f t="shared" si="7"/>
        <v>1</v>
      </c>
      <c r="D67" s="924"/>
      <c r="E67" s="51">
        <f t="shared" si="8"/>
        <v>1</v>
      </c>
      <c r="F67" s="924"/>
      <c r="G67" s="51">
        <f t="shared" si="9"/>
        <v>1</v>
      </c>
      <c r="H67" s="924"/>
      <c r="I67" s="51">
        <f t="shared" si="10"/>
        <v>1</v>
      </c>
      <c r="J67" s="924"/>
      <c r="K67" s="51">
        <f t="shared" si="11"/>
        <v>1</v>
      </c>
      <c r="L67" s="924"/>
      <c r="M67" s="51">
        <f t="shared" si="12"/>
        <v>1</v>
      </c>
      <c r="N67" s="924"/>
      <c r="O67" s="51">
        <f t="shared" si="13"/>
        <v>1</v>
      </c>
      <c r="P67" s="924"/>
      <c r="Q67" s="51">
        <f t="shared" si="14"/>
        <v>1</v>
      </c>
      <c r="R67" s="467">
        <f t="shared" si="15"/>
        <v>0</v>
      </c>
      <c r="S67" s="765">
        <f t="shared" si="16"/>
        <v>0</v>
      </c>
    </row>
    <row r="68" spans="1:19">
      <c r="A68" s="926"/>
      <c r="B68" s="132"/>
      <c r="C68" s="51">
        <f t="shared" si="7"/>
        <v>1</v>
      </c>
      <c r="D68" s="924"/>
      <c r="E68" s="51">
        <f t="shared" si="8"/>
        <v>1</v>
      </c>
      <c r="F68" s="924"/>
      <c r="G68" s="51">
        <f t="shared" si="9"/>
        <v>1</v>
      </c>
      <c r="H68" s="924"/>
      <c r="I68" s="51">
        <f t="shared" si="10"/>
        <v>1</v>
      </c>
      <c r="J68" s="924"/>
      <c r="K68" s="51">
        <f t="shared" si="11"/>
        <v>1</v>
      </c>
      <c r="L68" s="924"/>
      <c r="M68" s="51">
        <f t="shared" si="12"/>
        <v>1</v>
      </c>
      <c r="N68" s="924"/>
      <c r="O68" s="51">
        <f t="shared" si="13"/>
        <v>1</v>
      </c>
      <c r="P68" s="924"/>
      <c r="Q68" s="51">
        <f t="shared" si="14"/>
        <v>1</v>
      </c>
      <c r="R68" s="467">
        <f t="shared" si="15"/>
        <v>0</v>
      </c>
      <c r="S68" s="765">
        <f t="shared" si="16"/>
        <v>0</v>
      </c>
    </row>
    <row r="69" spans="1:19">
      <c r="A69" s="926"/>
      <c r="B69" s="132"/>
      <c r="C69" s="51">
        <f t="shared" si="7"/>
        <v>1</v>
      </c>
      <c r="D69" s="924"/>
      <c r="E69" s="51">
        <f t="shared" si="8"/>
        <v>1</v>
      </c>
      <c r="F69" s="924"/>
      <c r="G69" s="51">
        <f t="shared" si="9"/>
        <v>1</v>
      </c>
      <c r="H69" s="924"/>
      <c r="I69" s="51">
        <f t="shared" si="10"/>
        <v>1</v>
      </c>
      <c r="J69" s="924"/>
      <c r="K69" s="51">
        <f t="shared" si="11"/>
        <v>1</v>
      </c>
      <c r="L69" s="924"/>
      <c r="M69" s="51">
        <f t="shared" si="12"/>
        <v>1</v>
      </c>
      <c r="N69" s="924"/>
      <c r="O69" s="51">
        <f t="shared" si="13"/>
        <v>1</v>
      </c>
      <c r="P69" s="924"/>
      <c r="Q69" s="51">
        <f t="shared" si="14"/>
        <v>1</v>
      </c>
      <c r="R69" s="467">
        <f t="shared" si="15"/>
        <v>0</v>
      </c>
      <c r="S69" s="765">
        <f t="shared" si="16"/>
        <v>0</v>
      </c>
    </row>
    <row r="70" spans="1:19">
      <c r="A70" s="926"/>
      <c r="B70" s="132"/>
      <c r="C70" s="51">
        <f t="shared" si="7"/>
        <v>1</v>
      </c>
      <c r="D70" s="924"/>
      <c r="E70" s="51">
        <f t="shared" si="8"/>
        <v>1</v>
      </c>
      <c r="F70" s="924"/>
      <c r="G70" s="51">
        <f t="shared" si="9"/>
        <v>1</v>
      </c>
      <c r="H70" s="924"/>
      <c r="I70" s="51">
        <f t="shared" si="10"/>
        <v>1</v>
      </c>
      <c r="J70" s="924"/>
      <c r="K70" s="51">
        <f t="shared" si="11"/>
        <v>1</v>
      </c>
      <c r="L70" s="924"/>
      <c r="M70" s="51">
        <f t="shared" si="12"/>
        <v>1</v>
      </c>
      <c r="N70" s="924"/>
      <c r="O70" s="51">
        <f t="shared" si="13"/>
        <v>1</v>
      </c>
      <c r="P70" s="924"/>
      <c r="Q70" s="51">
        <f t="shared" si="14"/>
        <v>1</v>
      </c>
      <c r="R70" s="467">
        <f t="shared" si="15"/>
        <v>0</v>
      </c>
      <c r="S70" s="765">
        <f t="shared" si="16"/>
        <v>0</v>
      </c>
    </row>
    <row r="71" spans="1:19">
      <c r="A71" s="926"/>
      <c r="B71" s="132"/>
      <c r="C71" s="51">
        <f t="shared" si="7"/>
        <v>1</v>
      </c>
      <c r="D71" s="924"/>
      <c r="E71" s="51">
        <f t="shared" si="8"/>
        <v>1</v>
      </c>
      <c r="F71" s="924"/>
      <c r="G71" s="51">
        <f t="shared" si="9"/>
        <v>1</v>
      </c>
      <c r="H71" s="924"/>
      <c r="I71" s="51">
        <f t="shared" si="10"/>
        <v>1</v>
      </c>
      <c r="J71" s="924"/>
      <c r="K71" s="51">
        <f t="shared" si="11"/>
        <v>1</v>
      </c>
      <c r="L71" s="924"/>
      <c r="M71" s="51">
        <f t="shared" si="12"/>
        <v>1</v>
      </c>
      <c r="N71" s="924"/>
      <c r="O71" s="51">
        <f t="shared" si="13"/>
        <v>1</v>
      </c>
      <c r="P71" s="924"/>
      <c r="Q71" s="51">
        <f t="shared" si="14"/>
        <v>1</v>
      </c>
      <c r="R71" s="467">
        <f t="shared" si="15"/>
        <v>0</v>
      </c>
      <c r="S71" s="765">
        <f t="shared" si="16"/>
        <v>0</v>
      </c>
    </row>
    <row r="72" spans="1:19">
      <c r="A72" s="926"/>
      <c r="B72" s="132"/>
      <c r="C72" s="51">
        <f t="shared" si="7"/>
        <v>1</v>
      </c>
      <c r="D72" s="924"/>
      <c r="E72" s="51">
        <f t="shared" si="8"/>
        <v>1</v>
      </c>
      <c r="F72" s="924"/>
      <c r="G72" s="51">
        <f t="shared" si="9"/>
        <v>1</v>
      </c>
      <c r="H72" s="924"/>
      <c r="I72" s="51">
        <f t="shared" si="10"/>
        <v>1</v>
      </c>
      <c r="J72" s="924"/>
      <c r="K72" s="51">
        <f t="shared" si="11"/>
        <v>1</v>
      </c>
      <c r="L72" s="924"/>
      <c r="M72" s="51">
        <f t="shared" si="12"/>
        <v>1</v>
      </c>
      <c r="N72" s="924"/>
      <c r="O72" s="51">
        <f t="shared" si="13"/>
        <v>1</v>
      </c>
      <c r="P72" s="924"/>
      <c r="Q72" s="51">
        <f t="shared" si="14"/>
        <v>1</v>
      </c>
      <c r="R72" s="467">
        <f t="shared" si="15"/>
        <v>0</v>
      </c>
      <c r="S72" s="765">
        <f t="shared" si="16"/>
        <v>0</v>
      </c>
    </row>
    <row r="73" spans="1:19">
      <c r="A73" s="926"/>
      <c r="B73" s="132"/>
      <c r="C73" s="51">
        <f t="shared" si="7"/>
        <v>1</v>
      </c>
      <c r="D73" s="924"/>
      <c r="E73" s="51">
        <f t="shared" si="8"/>
        <v>1</v>
      </c>
      <c r="F73" s="924"/>
      <c r="G73" s="51">
        <f t="shared" si="9"/>
        <v>1</v>
      </c>
      <c r="H73" s="924"/>
      <c r="I73" s="51">
        <f t="shared" si="10"/>
        <v>1</v>
      </c>
      <c r="J73" s="924"/>
      <c r="K73" s="51">
        <f t="shared" si="11"/>
        <v>1</v>
      </c>
      <c r="L73" s="924"/>
      <c r="M73" s="51">
        <f t="shared" si="12"/>
        <v>1</v>
      </c>
      <c r="N73" s="924"/>
      <c r="O73" s="51">
        <f t="shared" si="13"/>
        <v>1</v>
      </c>
      <c r="P73" s="924"/>
      <c r="Q73" s="51">
        <f t="shared" si="14"/>
        <v>1</v>
      </c>
      <c r="R73" s="467">
        <f t="shared" si="15"/>
        <v>0</v>
      </c>
      <c r="S73" s="765">
        <f t="shared" si="16"/>
        <v>0</v>
      </c>
    </row>
    <row r="74" spans="1:19">
      <c r="A74" s="926"/>
      <c r="B74" s="132"/>
      <c r="C74" s="51">
        <f t="shared" si="7"/>
        <v>1</v>
      </c>
      <c r="D74" s="924"/>
      <c r="E74" s="51">
        <f t="shared" si="8"/>
        <v>1</v>
      </c>
      <c r="F74" s="924"/>
      <c r="G74" s="51">
        <f t="shared" si="9"/>
        <v>1</v>
      </c>
      <c r="H74" s="924"/>
      <c r="I74" s="51">
        <f t="shared" si="10"/>
        <v>1</v>
      </c>
      <c r="J74" s="924"/>
      <c r="K74" s="51">
        <f t="shared" si="11"/>
        <v>1</v>
      </c>
      <c r="L74" s="924"/>
      <c r="M74" s="51">
        <f t="shared" si="12"/>
        <v>1</v>
      </c>
      <c r="N74" s="924"/>
      <c r="O74" s="51">
        <f t="shared" si="13"/>
        <v>1</v>
      </c>
      <c r="P74" s="924"/>
      <c r="Q74" s="51">
        <f t="shared" si="14"/>
        <v>1</v>
      </c>
      <c r="R74" s="467">
        <f t="shared" si="15"/>
        <v>0</v>
      </c>
      <c r="S74" s="765">
        <f t="shared" si="16"/>
        <v>0</v>
      </c>
    </row>
    <row r="75" spans="1:19">
      <c r="A75" s="926"/>
      <c r="B75" s="132"/>
      <c r="C75" s="51">
        <f t="shared" si="7"/>
        <v>1</v>
      </c>
      <c r="D75" s="924"/>
      <c r="E75" s="51">
        <f t="shared" si="8"/>
        <v>1</v>
      </c>
      <c r="F75" s="924"/>
      <c r="G75" s="51">
        <f t="shared" si="9"/>
        <v>1</v>
      </c>
      <c r="H75" s="924"/>
      <c r="I75" s="51">
        <f t="shared" si="10"/>
        <v>1</v>
      </c>
      <c r="J75" s="924"/>
      <c r="K75" s="51">
        <f t="shared" si="11"/>
        <v>1</v>
      </c>
      <c r="L75" s="924"/>
      <c r="M75" s="51">
        <f t="shared" si="12"/>
        <v>1</v>
      </c>
      <c r="N75" s="924"/>
      <c r="O75" s="51">
        <f t="shared" si="13"/>
        <v>1</v>
      </c>
      <c r="P75" s="924"/>
      <c r="Q75" s="51">
        <f t="shared" si="14"/>
        <v>1</v>
      </c>
      <c r="R75" s="467">
        <f t="shared" si="15"/>
        <v>0</v>
      </c>
      <c r="S75" s="765">
        <f t="shared" si="16"/>
        <v>0</v>
      </c>
    </row>
    <row r="76" spans="1:19">
      <c r="A76" s="926"/>
      <c r="B76" s="132"/>
      <c r="C76" s="51">
        <f t="shared" si="7"/>
        <v>1</v>
      </c>
      <c r="D76" s="924"/>
      <c r="E76" s="51">
        <f t="shared" si="8"/>
        <v>1</v>
      </c>
      <c r="F76" s="924"/>
      <c r="G76" s="51">
        <f t="shared" si="9"/>
        <v>1</v>
      </c>
      <c r="H76" s="924"/>
      <c r="I76" s="51">
        <f t="shared" si="10"/>
        <v>1</v>
      </c>
      <c r="J76" s="924"/>
      <c r="K76" s="51">
        <f t="shared" si="11"/>
        <v>1</v>
      </c>
      <c r="L76" s="924"/>
      <c r="M76" s="51">
        <f t="shared" si="12"/>
        <v>1</v>
      </c>
      <c r="N76" s="924"/>
      <c r="O76" s="51">
        <f t="shared" si="13"/>
        <v>1</v>
      </c>
      <c r="P76" s="924"/>
      <c r="Q76" s="51">
        <f t="shared" si="14"/>
        <v>1</v>
      </c>
      <c r="R76" s="467">
        <f t="shared" si="15"/>
        <v>0</v>
      </c>
      <c r="S76" s="765">
        <f t="shared" si="16"/>
        <v>0</v>
      </c>
    </row>
    <row r="77" spans="1:19">
      <c r="A77" s="926"/>
      <c r="B77" s="132"/>
      <c r="C77" s="51">
        <f t="shared" si="7"/>
        <v>1</v>
      </c>
      <c r="D77" s="924"/>
      <c r="E77" s="51">
        <f t="shared" si="8"/>
        <v>1</v>
      </c>
      <c r="F77" s="924"/>
      <c r="G77" s="51">
        <f t="shared" si="9"/>
        <v>1</v>
      </c>
      <c r="H77" s="924"/>
      <c r="I77" s="51">
        <f t="shared" si="10"/>
        <v>1</v>
      </c>
      <c r="J77" s="924"/>
      <c r="K77" s="51">
        <f t="shared" si="11"/>
        <v>1</v>
      </c>
      <c r="L77" s="924"/>
      <c r="M77" s="51">
        <f t="shared" si="12"/>
        <v>1</v>
      </c>
      <c r="N77" s="924"/>
      <c r="O77" s="51">
        <f t="shared" si="13"/>
        <v>1</v>
      </c>
      <c r="P77" s="924"/>
      <c r="Q77" s="51">
        <f t="shared" si="14"/>
        <v>1</v>
      </c>
      <c r="R77" s="467">
        <f t="shared" si="15"/>
        <v>0</v>
      </c>
      <c r="S77" s="765">
        <f t="shared" si="16"/>
        <v>0</v>
      </c>
    </row>
    <row r="78" spans="1:19">
      <c r="A78" s="926"/>
      <c r="B78" s="132"/>
      <c r="C78" s="51">
        <f t="shared" si="7"/>
        <v>1</v>
      </c>
      <c r="D78" s="924"/>
      <c r="E78" s="51">
        <f t="shared" si="8"/>
        <v>1</v>
      </c>
      <c r="F78" s="924"/>
      <c r="G78" s="51">
        <f t="shared" si="9"/>
        <v>1</v>
      </c>
      <c r="H78" s="924"/>
      <c r="I78" s="51">
        <f t="shared" si="10"/>
        <v>1</v>
      </c>
      <c r="J78" s="924"/>
      <c r="K78" s="51">
        <f t="shared" si="11"/>
        <v>1</v>
      </c>
      <c r="L78" s="924"/>
      <c r="M78" s="51">
        <f t="shared" si="12"/>
        <v>1</v>
      </c>
      <c r="N78" s="924"/>
      <c r="O78" s="51">
        <f t="shared" si="13"/>
        <v>1</v>
      </c>
      <c r="P78" s="924"/>
      <c r="Q78" s="51">
        <f t="shared" si="14"/>
        <v>1</v>
      </c>
      <c r="R78" s="467">
        <f t="shared" si="15"/>
        <v>0</v>
      </c>
      <c r="S78" s="765">
        <f t="shared" ref="S78:S122" si="17">ROUND(R78*B78/10000,0)</f>
        <v>0</v>
      </c>
    </row>
    <row r="79" spans="1:19">
      <c r="A79" s="926"/>
      <c r="B79" s="132"/>
      <c r="C79" s="51">
        <f t="shared" si="7"/>
        <v>1</v>
      </c>
      <c r="D79" s="924"/>
      <c r="E79" s="51">
        <f t="shared" si="8"/>
        <v>1</v>
      </c>
      <c r="F79" s="924"/>
      <c r="G79" s="51">
        <f t="shared" si="9"/>
        <v>1</v>
      </c>
      <c r="H79" s="924"/>
      <c r="I79" s="51">
        <f t="shared" si="10"/>
        <v>1</v>
      </c>
      <c r="J79" s="924"/>
      <c r="K79" s="51">
        <f t="shared" si="11"/>
        <v>1</v>
      </c>
      <c r="L79" s="924"/>
      <c r="M79" s="51">
        <f t="shared" si="12"/>
        <v>1</v>
      </c>
      <c r="N79" s="924"/>
      <c r="O79" s="51">
        <f t="shared" si="13"/>
        <v>1</v>
      </c>
      <c r="P79" s="924"/>
      <c r="Q79" s="51">
        <f t="shared" si="14"/>
        <v>1</v>
      </c>
      <c r="R79" s="467">
        <f t="shared" si="15"/>
        <v>0</v>
      </c>
      <c r="S79" s="765">
        <f t="shared" si="17"/>
        <v>0</v>
      </c>
    </row>
    <row r="80" spans="1:19">
      <c r="A80" s="926"/>
      <c r="B80" s="132"/>
      <c r="C80" s="51">
        <f t="shared" si="7"/>
        <v>1</v>
      </c>
      <c r="D80" s="924"/>
      <c r="E80" s="51">
        <f t="shared" si="8"/>
        <v>1</v>
      </c>
      <c r="F80" s="924"/>
      <c r="G80" s="51">
        <f t="shared" si="9"/>
        <v>1</v>
      </c>
      <c r="H80" s="924"/>
      <c r="I80" s="51">
        <f t="shared" si="10"/>
        <v>1</v>
      </c>
      <c r="J80" s="924"/>
      <c r="K80" s="51">
        <f t="shared" si="11"/>
        <v>1</v>
      </c>
      <c r="L80" s="924"/>
      <c r="M80" s="51">
        <f t="shared" si="12"/>
        <v>1</v>
      </c>
      <c r="N80" s="924"/>
      <c r="O80" s="51">
        <f t="shared" si="13"/>
        <v>1</v>
      </c>
      <c r="P80" s="924"/>
      <c r="Q80" s="51">
        <f t="shared" si="14"/>
        <v>1</v>
      </c>
      <c r="R80" s="467">
        <f t="shared" si="15"/>
        <v>0</v>
      </c>
      <c r="S80" s="765">
        <f t="shared" si="17"/>
        <v>0</v>
      </c>
    </row>
    <row r="81" spans="1:19">
      <c r="A81" s="926"/>
      <c r="B81" s="132"/>
      <c r="C81" s="51">
        <f t="shared" si="7"/>
        <v>1</v>
      </c>
      <c r="D81" s="924"/>
      <c r="E81" s="51">
        <f t="shared" si="8"/>
        <v>1</v>
      </c>
      <c r="F81" s="924"/>
      <c r="G81" s="51">
        <f t="shared" si="9"/>
        <v>1</v>
      </c>
      <c r="H81" s="924"/>
      <c r="I81" s="51">
        <f t="shared" si="10"/>
        <v>1</v>
      </c>
      <c r="J81" s="924"/>
      <c r="K81" s="51">
        <f t="shared" si="11"/>
        <v>1</v>
      </c>
      <c r="L81" s="924"/>
      <c r="M81" s="51">
        <f t="shared" si="12"/>
        <v>1</v>
      </c>
      <c r="N81" s="924"/>
      <c r="O81" s="51">
        <f t="shared" si="13"/>
        <v>1</v>
      </c>
      <c r="P81" s="924"/>
      <c r="Q81" s="51">
        <f t="shared" si="14"/>
        <v>1</v>
      </c>
      <c r="R81" s="467">
        <f t="shared" si="15"/>
        <v>0</v>
      </c>
      <c r="S81" s="765">
        <f t="shared" si="17"/>
        <v>0</v>
      </c>
    </row>
    <row r="82" spans="1:19">
      <c r="A82" s="926"/>
      <c r="B82" s="132"/>
      <c r="C82" s="51">
        <f t="shared" si="7"/>
        <v>1</v>
      </c>
      <c r="D82" s="924"/>
      <c r="E82" s="51">
        <f t="shared" si="8"/>
        <v>1</v>
      </c>
      <c r="F82" s="924"/>
      <c r="G82" s="51">
        <f t="shared" si="9"/>
        <v>1</v>
      </c>
      <c r="H82" s="924"/>
      <c r="I82" s="51">
        <f t="shared" si="10"/>
        <v>1</v>
      </c>
      <c r="J82" s="924"/>
      <c r="K82" s="51">
        <f t="shared" si="11"/>
        <v>1</v>
      </c>
      <c r="L82" s="924"/>
      <c r="M82" s="51">
        <f t="shared" si="12"/>
        <v>1</v>
      </c>
      <c r="N82" s="924"/>
      <c r="O82" s="51">
        <f t="shared" si="13"/>
        <v>1</v>
      </c>
      <c r="P82" s="924"/>
      <c r="Q82" s="51">
        <f t="shared" si="14"/>
        <v>1</v>
      </c>
      <c r="R82" s="467">
        <f t="shared" si="15"/>
        <v>0</v>
      </c>
      <c r="S82" s="765">
        <f t="shared" si="17"/>
        <v>0</v>
      </c>
    </row>
    <row r="83" spans="1:19">
      <c r="A83" s="926"/>
      <c r="B83" s="132"/>
      <c r="C83" s="51">
        <f t="shared" si="7"/>
        <v>1</v>
      </c>
      <c r="D83" s="924"/>
      <c r="E83" s="51">
        <f t="shared" si="8"/>
        <v>1</v>
      </c>
      <c r="F83" s="924"/>
      <c r="G83" s="51">
        <f t="shared" si="9"/>
        <v>1</v>
      </c>
      <c r="H83" s="924"/>
      <c r="I83" s="51">
        <f t="shared" si="10"/>
        <v>1</v>
      </c>
      <c r="J83" s="924"/>
      <c r="K83" s="51">
        <f t="shared" si="11"/>
        <v>1</v>
      </c>
      <c r="L83" s="924"/>
      <c r="M83" s="51">
        <f t="shared" si="12"/>
        <v>1</v>
      </c>
      <c r="N83" s="924"/>
      <c r="O83" s="51">
        <f t="shared" si="13"/>
        <v>1</v>
      </c>
      <c r="P83" s="924"/>
      <c r="Q83" s="51">
        <f t="shared" si="14"/>
        <v>1</v>
      </c>
      <c r="R83" s="467">
        <f t="shared" si="15"/>
        <v>0</v>
      </c>
      <c r="S83" s="765">
        <f t="shared" si="17"/>
        <v>0</v>
      </c>
    </row>
    <row r="84" spans="1:19">
      <c r="A84" s="926"/>
      <c r="B84" s="132"/>
      <c r="C84" s="51">
        <f t="shared" si="7"/>
        <v>1</v>
      </c>
      <c r="D84" s="924"/>
      <c r="E84" s="51">
        <f t="shared" si="8"/>
        <v>1</v>
      </c>
      <c r="F84" s="924"/>
      <c r="G84" s="51">
        <f t="shared" si="9"/>
        <v>1</v>
      </c>
      <c r="H84" s="924"/>
      <c r="I84" s="51">
        <f t="shared" si="10"/>
        <v>1</v>
      </c>
      <c r="J84" s="924"/>
      <c r="K84" s="51">
        <f t="shared" si="11"/>
        <v>1</v>
      </c>
      <c r="L84" s="924"/>
      <c r="M84" s="51">
        <f t="shared" si="12"/>
        <v>1</v>
      </c>
      <c r="N84" s="924"/>
      <c r="O84" s="51">
        <f t="shared" si="13"/>
        <v>1</v>
      </c>
      <c r="P84" s="924"/>
      <c r="Q84" s="51">
        <f t="shared" si="14"/>
        <v>1</v>
      </c>
      <c r="R84" s="467">
        <f t="shared" si="15"/>
        <v>0</v>
      </c>
      <c r="S84" s="765">
        <f t="shared" si="17"/>
        <v>0</v>
      </c>
    </row>
    <row r="85" spans="1:19">
      <c r="A85" s="926"/>
      <c r="B85" s="132"/>
      <c r="C85" s="51">
        <f t="shared" si="7"/>
        <v>1</v>
      </c>
      <c r="D85" s="924"/>
      <c r="E85" s="51">
        <f t="shared" si="8"/>
        <v>1</v>
      </c>
      <c r="F85" s="924"/>
      <c r="G85" s="51">
        <f t="shared" si="9"/>
        <v>1</v>
      </c>
      <c r="H85" s="924"/>
      <c r="I85" s="51">
        <f t="shared" si="10"/>
        <v>1</v>
      </c>
      <c r="J85" s="924"/>
      <c r="K85" s="51">
        <f t="shared" si="11"/>
        <v>1</v>
      </c>
      <c r="L85" s="924"/>
      <c r="M85" s="51">
        <f t="shared" si="12"/>
        <v>1</v>
      </c>
      <c r="N85" s="924"/>
      <c r="O85" s="51">
        <f t="shared" si="13"/>
        <v>1</v>
      </c>
      <c r="P85" s="924"/>
      <c r="Q85" s="51">
        <f t="shared" si="14"/>
        <v>1</v>
      </c>
      <c r="R85" s="467">
        <f t="shared" si="15"/>
        <v>0</v>
      </c>
      <c r="S85" s="765">
        <f t="shared" si="17"/>
        <v>0</v>
      </c>
    </row>
    <row r="86" spans="1:19">
      <c r="A86" s="926"/>
      <c r="B86" s="132"/>
      <c r="C86" s="51">
        <f t="shared" si="7"/>
        <v>1</v>
      </c>
      <c r="D86" s="924"/>
      <c r="E86" s="51">
        <f t="shared" si="8"/>
        <v>1</v>
      </c>
      <c r="F86" s="924"/>
      <c r="G86" s="51">
        <f t="shared" si="9"/>
        <v>1</v>
      </c>
      <c r="H86" s="924"/>
      <c r="I86" s="51">
        <f t="shared" si="10"/>
        <v>1</v>
      </c>
      <c r="J86" s="924"/>
      <c r="K86" s="51">
        <f t="shared" si="11"/>
        <v>1</v>
      </c>
      <c r="L86" s="924"/>
      <c r="M86" s="51">
        <f t="shared" si="12"/>
        <v>1</v>
      </c>
      <c r="N86" s="924"/>
      <c r="O86" s="51">
        <f t="shared" si="13"/>
        <v>1</v>
      </c>
      <c r="P86" s="924"/>
      <c r="Q86" s="51">
        <f t="shared" si="14"/>
        <v>1</v>
      </c>
      <c r="R86" s="467">
        <f t="shared" si="15"/>
        <v>0</v>
      </c>
      <c r="S86" s="765">
        <f t="shared" si="17"/>
        <v>0</v>
      </c>
    </row>
    <row r="87" spans="1:19">
      <c r="A87" s="926"/>
      <c r="B87" s="132"/>
      <c r="C87" s="51">
        <f t="shared" si="7"/>
        <v>1</v>
      </c>
      <c r="D87" s="924"/>
      <c r="E87" s="51">
        <f t="shared" si="8"/>
        <v>1</v>
      </c>
      <c r="F87" s="924"/>
      <c r="G87" s="51">
        <f t="shared" si="9"/>
        <v>1</v>
      </c>
      <c r="H87" s="924"/>
      <c r="I87" s="51">
        <f t="shared" si="10"/>
        <v>1</v>
      </c>
      <c r="J87" s="924"/>
      <c r="K87" s="51">
        <f t="shared" si="11"/>
        <v>1</v>
      </c>
      <c r="L87" s="924"/>
      <c r="M87" s="51">
        <f t="shared" si="12"/>
        <v>1</v>
      </c>
      <c r="N87" s="924"/>
      <c r="O87" s="51">
        <f t="shared" si="13"/>
        <v>1</v>
      </c>
      <c r="P87" s="924"/>
      <c r="Q87" s="51">
        <f t="shared" si="14"/>
        <v>1</v>
      </c>
      <c r="R87" s="467">
        <f t="shared" si="15"/>
        <v>0</v>
      </c>
      <c r="S87" s="765">
        <f t="shared" si="17"/>
        <v>0</v>
      </c>
    </row>
    <row r="88" spans="1:19">
      <c r="A88" s="926"/>
      <c r="B88" s="132"/>
      <c r="C88" s="51">
        <f t="shared" si="7"/>
        <v>1</v>
      </c>
      <c r="D88" s="924"/>
      <c r="E88" s="51">
        <f t="shared" si="8"/>
        <v>1</v>
      </c>
      <c r="F88" s="924"/>
      <c r="G88" s="51">
        <f t="shared" si="9"/>
        <v>1</v>
      </c>
      <c r="H88" s="924"/>
      <c r="I88" s="51">
        <f t="shared" si="10"/>
        <v>1</v>
      </c>
      <c r="J88" s="924"/>
      <c r="K88" s="51">
        <f t="shared" si="11"/>
        <v>1</v>
      </c>
      <c r="L88" s="924"/>
      <c r="M88" s="51">
        <f t="shared" si="12"/>
        <v>1</v>
      </c>
      <c r="N88" s="924"/>
      <c r="O88" s="51">
        <f t="shared" si="13"/>
        <v>1</v>
      </c>
      <c r="P88" s="924"/>
      <c r="Q88" s="51">
        <f t="shared" si="14"/>
        <v>1</v>
      </c>
      <c r="R88" s="467">
        <f t="shared" si="15"/>
        <v>0</v>
      </c>
      <c r="S88" s="765">
        <f t="shared" si="17"/>
        <v>0</v>
      </c>
    </row>
    <row r="89" spans="1:19">
      <c r="A89" s="926"/>
      <c r="B89" s="132"/>
      <c r="C89" s="51">
        <f t="shared" si="7"/>
        <v>1</v>
      </c>
      <c r="D89" s="924"/>
      <c r="E89" s="51">
        <f t="shared" si="8"/>
        <v>1</v>
      </c>
      <c r="F89" s="924"/>
      <c r="G89" s="51">
        <f t="shared" si="9"/>
        <v>1</v>
      </c>
      <c r="H89" s="924"/>
      <c r="I89" s="51">
        <f t="shared" si="10"/>
        <v>1</v>
      </c>
      <c r="J89" s="924"/>
      <c r="K89" s="51">
        <f t="shared" si="11"/>
        <v>1</v>
      </c>
      <c r="L89" s="924"/>
      <c r="M89" s="51">
        <f t="shared" si="12"/>
        <v>1</v>
      </c>
      <c r="N89" s="924"/>
      <c r="O89" s="51">
        <f t="shared" si="13"/>
        <v>1</v>
      </c>
      <c r="P89" s="924"/>
      <c r="Q89" s="51">
        <f t="shared" si="14"/>
        <v>1</v>
      </c>
      <c r="R89" s="467">
        <f t="shared" si="15"/>
        <v>0</v>
      </c>
      <c r="S89" s="765">
        <f t="shared" si="17"/>
        <v>0</v>
      </c>
    </row>
    <row r="90" spans="1:19">
      <c r="A90" s="926"/>
      <c r="B90" s="132"/>
      <c r="C90" s="51">
        <f t="shared" ref="C90:C153" si="18">IF(B90="",1,(LOOKUP(B90,$3:$3,$4:$4)-LOOKUP($B$24,$3:$3,$4:$4)+100)/100)</f>
        <v>1</v>
      </c>
      <c r="D90" s="924"/>
      <c r="E90" s="51">
        <f t="shared" ref="E90:E153" si="19">(SUMIF($5:$5,D90,$6:$6)-SUMIF($5:$5,$D$24,$6:$6)+100)/100</f>
        <v>1</v>
      </c>
      <c r="F90" s="924"/>
      <c r="G90" s="51">
        <f t="shared" ref="G90:G153" si="20">(SUMIF($7:$7,F90,$8:$8)-SUMIF($7:$7,$F$24,$8:$8)+100)/100</f>
        <v>1</v>
      </c>
      <c r="H90" s="924"/>
      <c r="I90" s="51">
        <f t="shared" ref="I90:I153" si="21">(SUMIF($9:$9,H90,$10:$10)-SUMIF($9:$9,$H$24,$10:$10)+100)/100</f>
        <v>1</v>
      </c>
      <c r="J90" s="924"/>
      <c r="K90" s="51">
        <f t="shared" ref="K90:K153" si="22">(SUMIF($11:$11,J90,$12:$12)-SUMIF($11:$11,$J$24,$12:$12)+100)/100</f>
        <v>1</v>
      </c>
      <c r="L90" s="924"/>
      <c r="M90" s="51">
        <f t="shared" ref="M90:M153" si="23">(SUMIF($13:$13,L90,$14:$14)-SUMIF($13:$13,$L$24,$14:$14)+100)/100</f>
        <v>1</v>
      </c>
      <c r="N90" s="924"/>
      <c r="O90" s="51">
        <f t="shared" ref="O90:O153" si="24">(SUMIF($15:$15,N90,$16:$16)-SUMIF($15:$15,$N$24,$16:$16)+100)/100</f>
        <v>1</v>
      </c>
      <c r="P90" s="924"/>
      <c r="Q90" s="51">
        <f t="shared" ref="Q90:Q153" si="25">(SUMIF($17:$17,P90,$18:$18)-SUMIF($17:$17,$P$24,$18:$18)+100)/100</f>
        <v>1</v>
      </c>
      <c r="R90" s="467">
        <f t="shared" ref="R90:R153" si="26">IF(B90="",0,ROUND($R$24*C90*E90*G90*I90*K90*M90*O90*Q90,0))</f>
        <v>0</v>
      </c>
      <c r="S90" s="765">
        <f t="shared" si="17"/>
        <v>0</v>
      </c>
    </row>
    <row r="91" spans="1:19">
      <c r="A91" s="926"/>
      <c r="B91" s="132"/>
      <c r="C91" s="51">
        <f t="shared" si="18"/>
        <v>1</v>
      </c>
      <c r="D91" s="924"/>
      <c r="E91" s="51">
        <f t="shared" si="19"/>
        <v>1</v>
      </c>
      <c r="F91" s="924"/>
      <c r="G91" s="51">
        <f t="shared" si="20"/>
        <v>1</v>
      </c>
      <c r="H91" s="924"/>
      <c r="I91" s="51">
        <f t="shared" si="21"/>
        <v>1</v>
      </c>
      <c r="J91" s="924"/>
      <c r="K91" s="51">
        <f t="shared" si="22"/>
        <v>1</v>
      </c>
      <c r="L91" s="924"/>
      <c r="M91" s="51">
        <f t="shared" si="23"/>
        <v>1</v>
      </c>
      <c r="N91" s="924"/>
      <c r="O91" s="51">
        <f t="shared" si="24"/>
        <v>1</v>
      </c>
      <c r="P91" s="924"/>
      <c r="Q91" s="51">
        <f t="shared" si="25"/>
        <v>1</v>
      </c>
      <c r="R91" s="467">
        <f t="shared" si="26"/>
        <v>0</v>
      </c>
      <c r="S91" s="765">
        <f t="shared" si="17"/>
        <v>0</v>
      </c>
    </row>
    <row r="92" spans="1:19">
      <c r="A92" s="926"/>
      <c r="B92" s="132"/>
      <c r="C92" s="51">
        <f t="shared" si="18"/>
        <v>1</v>
      </c>
      <c r="D92" s="924"/>
      <c r="E92" s="51">
        <f t="shared" si="19"/>
        <v>1</v>
      </c>
      <c r="F92" s="924"/>
      <c r="G92" s="51">
        <f t="shared" si="20"/>
        <v>1</v>
      </c>
      <c r="H92" s="924"/>
      <c r="I92" s="51">
        <f t="shared" si="21"/>
        <v>1</v>
      </c>
      <c r="J92" s="924"/>
      <c r="K92" s="51">
        <f t="shared" si="22"/>
        <v>1</v>
      </c>
      <c r="L92" s="924"/>
      <c r="M92" s="51">
        <f t="shared" si="23"/>
        <v>1</v>
      </c>
      <c r="N92" s="924"/>
      <c r="O92" s="51">
        <f t="shared" si="24"/>
        <v>1</v>
      </c>
      <c r="P92" s="924"/>
      <c r="Q92" s="51">
        <f t="shared" si="25"/>
        <v>1</v>
      </c>
      <c r="R92" s="467">
        <f t="shared" si="26"/>
        <v>0</v>
      </c>
      <c r="S92" s="765">
        <f t="shared" si="17"/>
        <v>0</v>
      </c>
    </row>
    <row r="93" spans="1:19">
      <c r="A93" s="926"/>
      <c r="B93" s="132"/>
      <c r="C93" s="51">
        <f t="shared" si="18"/>
        <v>1</v>
      </c>
      <c r="D93" s="924"/>
      <c r="E93" s="51">
        <f t="shared" si="19"/>
        <v>1</v>
      </c>
      <c r="F93" s="924"/>
      <c r="G93" s="51">
        <f t="shared" si="20"/>
        <v>1</v>
      </c>
      <c r="H93" s="924"/>
      <c r="I93" s="51">
        <f t="shared" si="21"/>
        <v>1</v>
      </c>
      <c r="J93" s="924"/>
      <c r="K93" s="51">
        <f t="shared" si="22"/>
        <v>1</v>
      </c>
      <c r="L93" s="924"/>
      <c r="M93" s="51">
        <f t="shared" si="23"/>
        <v>1</v>
      </c>
      <c r="N93" s="924"/>
      <c r="O93" s="51">
        <f t="shared" si="24"/>
        <v>1</v>
      </c>
      <c r="P93" s="924"/>
      <c r="Q93" s="51">
        <f t="shared" si="25"/>
        <v>1</v>
      </c>
      <c r="R93" s="467">
        <f t="shared" si="26"/>
        <v>0</v>
      </c>
      <c r="S93" s="765">
        <f t="shared" si="17"/>
        <v>0</v>
      </c>
    </row>
    <row r="94" spans="1:19">
      <c r="A94" s="926"/>
      <c r="B94" s="132"/>
      <c r="C94" s="51">
        <f t="shared" si="18"/>
        <v>1</v>
      </c>
      <c r="D94" s="924"/>
      <c r="E94" s="51">
        <f t="shared" si="19"/>
        <v>1</v>
      </c>
      <c r="F94" s="924"/>
      <c r="G94" s="51">
        <f t="shared" si="20"/>
        <v>1</v>
      </c>
      <c r="H94" s="924"/>
      <c r="I94" s="51">
        <f t="shared" si="21"/>
        <v>1</v>
      </c>
      <c r="J94" s="924"/>
      <c r="K94" s="51">
        <f t="shared" si="22"/>
        <v>1</v>
      </c>
      <c r="L94" s="924"/>
      <c r="M94" s="51">
        <f t="shared" si="23"/>
        <v>1</v>
      </c>
      <c r="N94" s="924"/>
      <c r="O94" s="51">
        <f t="shared" si="24"/>
        <v>1</v>
      </c>
      <c r="P94" s="924"/>
      <c r="Q94" s="51">
        <f t="shared" si="25"/>
        <v>1</v>
      </c>
      <c r="R94" s="467">
        <f t="shared" si="26"/>
        <v>0</v>
      </c>
      <c r="S94" s="765">
        <f t="shared" si="17"/>
        <v>0</v>
      </c>
    </row>
    <row r="95" spans="1:19">
      <c r="A95" s="926"/>
      <c r="B95" s="132"/>
      <c r="C95" s="51">
        <f t="shared" si="18"/>
        <v>1</v>
      </c>
      <c r="D95" s="924"/>
      <c r="E95" s="51">
        <f t="shared" si="19"/>
        <v>1</v>
      </c>
      <c r="F95" s="924"/>
      <c r="G95" s="51">
        <f t="shared" si="20"/>
        <v>1</v>
      </c>
      <c r="H95" s="924"/>
      <c r="I95" s="51">
        <f t="shared" si="21"/>
        <v>1</v>
      </c>
      <c r="J95" s="924"/>
      <c r="K95" s="51">
        <f t="shared" si="22"/>
        <v>1</v>
      </c>
      <c r="L95" s="924"/>
      <c r="M95" s="51">
        <f t="shared" si="23"/>
        <v>1</v>
      </c>
      <c r="N95" s="924"/>
      <c r="O95" s="51">
        <f t="shared" si="24"/>
        <v>1</v>
      </c>
      <c r="P95" s="924"/>
      <c r="Q95" s="51">
        <f t="shared" si="25"/>
        <v>1</v>
      </c>
      <c r="R95" s="467">
        <f t="shared" si="26"/>
        <v>0</v>
      </c>
      <c r="S95" s="765">
        <f t="shared" si="17"/>
        <v>0</v>
      </c>
    </row>
    <row r="96" spans="1:19">
      <c r="A96" s="926"/>
      <c r="B96" s="132"/>
      <c r="C96" s="51">
        <f t="shared" si="18"/>
        <v>1</v>
      </c>
      <c r="D96" s="924"/>
      <c r="E96" s="51">
        <f t="shared" si="19"/>
        <v>1</v>
      </c>
      <c r="F96" s="924"/>
      <c r="G96" s="51">
        <f t="shared" si="20"/>
        <v>1</v>
      </c>
      <c r="H96" s="924"/>
      <c r="I96" s="51">
        <f t="shared" si="21"/>
        <v>1</v>
      </c>
      <c r="J96" s="924"/>
      <c r="K96" s="51">
        <f t="shared" si="22"/>
        <v>1</v>
      </c>
      <c r="L96" s="924"/>
      <c r="M96" s="51">
        <f t="shared" si="23"/>
        <v>1</v>
      </c>
      <c r="N96" s="924"/>
      <c r="O96" s="51">
        <f t="shared" si="24"/>
        <v>1</v>
      </c>
      <c r="P96" s="924"/>
      <c r="Q96" s="51">
        <f t="shared" si="25"/>
        <v>1</v>
      </c>
      <c r="R96" s="467">
        <f t="shared" si="26"/>
        <v>0</v>
      </c>
      <c r="S96" s="765">
        <f t="shared" si="17"/>
        <v>0</v>
      </c>
    </row>
    <row r="97" spans="1:19">
      <c r="A97" s="926"/>
      <c r="B97" s="132"/>
      <c r="C97" s="51">
        <f t="shared" si="18"/>
        <v>1</v>
      </c>
      <c r="D97" s="924"/>
      <c r="E97" s="51">
        <f t="shared" si="19"/>
        <v>1</v>
      </c>
      <c r="F97" s="924"/>
      <c r="G97" s="51">
        <f t="shared" si="20"/>
        <v>1</v>
      </c>
      <c r="H97" s="924"/>
      <c r="I97" s="51">
        <f t="shared" si="21"/>
        <v>1</v>
      </c>
      <c r="J97" s="924"/>
      <c r="K97" s="51">
        <f t="shared" si="22"/>
        <v>1</v>
      </c>
      <c r="L97" s="924"/>
      <c r="M97" s="51">
        <f t="shared" si="23"/>
        <v>1</v>
      </c>
      <c r="N97" s="924"/>
      <c r="O97" s="51">
        <f t="shared" si="24"/>
        <v>1</v>
      </c>
      <c r="P97" s="924"/>
      <c r="Q97" s="51">
        <f t="shared" si="25"/>
        <v>1</v>
      </c>
      <c r="R97" s="467">
        <f t="shared" si="26"/>
        <v>0</v>
      </c>
      <c r="S97" s="765">
        <f t="shared" si="17"/>
        <v>0</v>
      </c>
    </row>
    <row r="98" spans="1:19">
      <c r="A98" s="926"/>
      <c r="B98" s="132"/>
      <c r="C98" s="51">
        <f t="shared" si="18"/>
        <v>1</v>
      </c>
      <c r="D98" s="924"/>
      <c r="E98" s="51">
        <f t="shared" si="19"/>
        <v>1</v>
      </c>
      <c r="F98" s="924"/>
      <c r="G98" s="51">
        <f t="shared" si="20"/>
        <v>1</v>
      </c>
      <c r="H98" s="924"/>
      <c r="I98" s="51">
        <f t="shared" si="21"/>
        <v>1</v>
      </c>
      <c r="J98" s="924"/>
      <c r="K98" s="51">
        <f t="shared" si="22"/>
        <v>1</v>
      </c>
      <c r="L98" s="924"/>
      <c r="M98" s="51">
        <f t="shared" si="23"/>
        <v>1</v>
      </c>
      <c r="N98" s="924"/>
      <c r="O98" s="51">
        <f t="shared" si="24"/>
        <v>1</v>
      </c>
      <c r="P98" s="924"/>
      <c r="Q98" s="51">
        <f t="shared" si="25"/>
        <v>1</v>
      </c>
      <c r="R98" s="467">
        <f t="shared" si="26"/>
        <v>0</v>
      </c>
      <c r="S98" s="765">
        <f t="shared" si="17"/>
        <v>0</v>
      </c>
    </row>
    <row r="99" spans="1:19">
      <c r="A99" s="926"/>
      <c r="B99" s="132"/>
      <c r="C99" s="51">
        <f t="shared" si="18"/>
        <v>1</v>
      </c>
      <c r="D99" s="924"/>
      <c r="E99" s="51">
        <f t="shared" si="19"/>
        <v>1</v>
      </c>
      <c r="F99" s="924"/>
      <c r="G99" s="51">
        <f t="shared" si="20"/>
        <v>1</v>
      </c>
      <c r="H99" s="924"/>
      <c r="I99" s="51">
        <f t="shared" si="21"/>
        <v>1</v>
      </c>
      <c r="J99" s="924"/>
      <c r="K99" s="51">
        <f t="shared" si="22"/>
        <v>1</v>
      </c>
      <c r="L99" s="924"/>
      <c r="M99" s="51">
        <f t="shared" si="23"/>
        <v>1</v>
      </c>
      <c r="N99" s="924"/>
      <c r="O99" s="51">
        <f t="shared" si="24"/>
        <v>1</v>
      </c>
      <c r="P99" s="924"/>
      <c r="Q99" s="51">
        <f t="shared" si="25"/>
        <v>1</v>
      </c>
      <c r="R99" s="467">
        <f t="shared" si="26"/>
        <v>0</v>
      </c>
      <c r="S99" s="765">
        <f t="shared" si="17"/>
        <v>0</v>
      </c>
    </row>
    <row r="100" spans="1:19">
      <c r="A100" s="926"/>
      <c r="B100" s="132"/>
      <c r="C100" s="51">
        <f t="shared" si="18"/>
        <v>1</v>
      </c>
      <c r="D100" s="924"/>
      <c r="E100" s="51">
        <f t="shared" si="19"/>
        <v>1</v>
      </c>
      <c r="F100" s="924"/>
      <c r="G100" s="51">
        <f t="shared" si="20"/>
        <v>1</v>
      </c>
      <c r="H100" s="924"/>
      <c r="I100" s="51">
        <f t="shared" si="21"/>
        <v>1</v>
      </c>
      <c r="J100" s="924"/>
      <c r="K100" s="51">
        <f t="shared" si="22"/>
        <v>1</v>
      </c>
      <c r="L100" s="924"/>
      <c r="M100" s="51">
        <f t="shared" si="23"/>
        <v>1</v>
      </c>
      <c r="N100" s="924"/>
      <c r="O100" s="51">
        <f t="shared" si="24"/>
        <v>1</v>
      </c>
      <c r="P100" s="924"/>
      <c r="Q100" s="51">
        <f t="shared" si="25"/>
        <v>1</v>
      </c>
      <c r="R100" s="467">
        <f t="shared" si="26"/>
        <v>0</v>
      </c>
      <c r="S100" s="765">
        <f t="shared" si="17"/>
        <v>0</v>
      </c>
    </row>
    <row r="101" spans="1:19">
      <c r="A101" s="926"/>
      <c r="B101" s="132"/>
      <c r="C101" s="51">
        <f t="shared" si="18"/>
        <v>1</v>
      </c>
      <c r="D101" s="924"/>
      <c r="E101" s="51">
        <f t="shared" si="19"/>
        <v>1</v>
      </c>
      <c r="F101" s="924"/>
      <c r="G101" s="51">
        <f t="shared" si="20"/>
        <v>1</v>
      </c>
      <c r="H101" s="924"/>
      <c r="I101" s="51">
        <f t="shared" si="21"/>
        <v>1</v>
      </c>
      <c r="J101" s="924"/>
      <c r="K101" s="51">
        <f t="shared" si="22"/>
        <v>1</v>
      </c>
      <c r="L101" s="924"/>
      <c r="M101" s="51">
        <f t="shared" si="23"/>
        <v>1</v>
      </c>
      <c r="N101" s="924"/>
      <c r="O101" s="51">
        <f t="shared" si="24"/>
        <v>1</v>
      </c>
      <c r="P101" s="924"/>
      <c r="Q101" s="51">
        <f t="shared" si="25"/>
        <v>1</v>
      </c>
      <c r="R101" s="467">
        <f t="shared" si="26"/>
        <v>0</v>
      </c>
      <c r="S101" s="765">
        <f t="shared" si="17"/>
        <v>0</v>
      </c>
    </row>
    <row r="102" spans="1:19">
      <c r="A102" s="926"/>
      <c r="B102" s="132"/>
      <c r="C102" s="51">
        <f t="shared" si="18"/>
        <v>1</v>
      </c>
      <c r="D102" s="924"/>
      <c r="E102" s="51">
        <f t="shared" si="19"/>
        <v>1</v>
      </c>
      <c r="F102" s="924"/>
      <c r="G102" s="51">
        <f t="shared" si="20"/>
        <v>1</v>
      </c>
      <c r="H102" s="924"/>
      <c r="I102" s="51">
        <f t="shared" si="21"/>
        <v>1</v>
      </c>
      <c r="J102" s="924"/>
      <c r="K102" s="51">
        <f t="shared" si="22"/>
        <v>1</v>
      </c>
      <c r="L102" s="924"/>
      <c r="M102" s="51">
        <f t="shared" si="23"/>
        <v>1</v>
      </c>
      <c r="N102" s="924"/>
      <c r="O102" s="51">
        <f t="shared" si="24"/>
        <v>1</v>
      </c>
      <c r="P102" s="924"/>
      <c r="Q102" s="51">
        <f t="shared" si="25"/>
        <v>1</v>
      </c>
      <c r="R102" s="467">
        <f t="shared" si="26"/>
        <v>0</v>
      </c>
      <c r="S102" s="765">
        <f t="shared" si="17"/>
        <v>0</v>
      </c>
    </row>
    <row r="103" spans="1:19">
      <c r="A103" s="926"/>
      <c r="B103" s="132"/>
      <c r="C103" s="51">
        <f t="shared" si="18"/>
        <v>1</v>
      </c>
      <c r="D103" s="924"/>
      <c r="E103" s="51">
        <f t="shared" si="19"/>
        <v>1</v>
      </c>
      <c r="F103" s="924"/>
      <c r="G103" s="51">
        <f t="shared" si="20"/>
        <v>1</v>
      </c>
      <c r="H103" s="924"/>
      <c r="I103" s="51">
        <f t="shared" si="21"/>
        <v>1</v>
      </c>
      <c r="J103" s="924"/>
      <c r="K103" s="51">
        <f t="shared" si="22"/>
        <v>1</v>
      </c>
      <c r="L103" s="924"/>
      <c r="M103" s="51">
        <f t="shared" si="23"/>
        <v>1</v>
      </c>
      <c r="N103" s="924"/>
      <c r="O103" s="51">
        <f t="shared" si="24"/>
        <v>1</v>
      </c>
      <c r="P103" s="924"/>
      <c r="Q103" s="51">
        <f t="shared" si="25"/>
        <v>1</v>
      </c>
      <c r="R103" s="467">
        <f t="shared" si="26"/>
        <v>0</v>
      </c>
      <c r="S103" s="765">
        <f t="shared" si="17"/>
        <v>0</v>
      </c>
    </row>
    <row r="104" spans="1:19">
      <c r="A104" s="926"/>
      <c r="B104" s="132"/>
      <c r="C104" s="51">
        <f t="shared" si="18"/>
        <v>1</v>
      </c>
      <c r="D104" s="924"/>
      <c r="E104" s="51">
        <f t="shared" si="19"/>
        <v>1</v>
      </c>
      <c r="F104" s="924"/>
      <c r="G104" s="51">
        <f t="shared" si="20"/>
        <v>1</v>
      </c>
      <c r="H104" s="924"/>
      <c r="I104" s="51">
        <f t="shared" si="21"/>
        <v>1</v>
      </c>
      <c r="J104" s="924"/>
      <c r="K104" s="51">
        <f t="shared" si="22"/>
        <v>1</v>
      </c>
      <c r="L104" s="924"/>
      <c r="M104" s="51">
        <f t="shared" si="23"/>
        <v>1</v>
      </c>
      <c r="N104" s="924"/>
      <c r="O104" s="51">
        <f t="shared" si="24"/>
        <v>1</v>
      </c>
      <c r="P104" s="924"/>
      <c r="Q104" s="51">
        <f t="shared" si="25"/>
        <v>1</v>
      </c>
      <c r="R104" s="467">
        <f t="shared" si="26"/>
        <v>0</v>
      </c>
      <c r="S104" s="765">
        <f t="shared" si="17"/>
        <v>0</v>
      </c>
    </row>
    <row r="105" spans="1:19">
      <c r="A105" s="926"/>
      <c r="B105" s="132"/>
      <c r="C105" s="51">
        <f t="shared" si="18"/>
        <v>1</v>
      </c>
      <c r="D105" s="924"/>
      <c r="E105" s="51">
        <f t="shared" si="19"/>
        <v>1</v>
      </c>
      <c r="F105" s="924"/>
      <c r="G105" s="51">
        <f t="shared" si="20"/>
        <v>1</v>
      </c>
      <c r="H105" s="924"/>
      <c r="I105" s="51">
        <f t="shared" si="21"/>
        <v>1</v>
      </c>
      <c r="J105" s="924"/>
      <c r="K105" s="51">
        <f t="shared" si="22"/>
        <v>1</v>
      </c>
      <c r="L105" s="924"/>
      <c r="M105" s="51">
        <f t="shared" si="23"/>
        <v>1</v>
      </c>
      <c r="N105" s="924"/>
      <c r="O105" s="51">
        <f t="shared" si="24"/>
        <v>1</v>
      </c>
      <c r="P105" s="924"/>
      <c r="Q105" s="51">
        <f t="shared" si="25"/>
        <v>1</v>
      </c>
      <c r="R105" s="467">
        <f t="shared" si="26"/>
        <v>0</v>
      </c>
      <c r="S105" s="765">
        <f t="shared" si="17"/>
        <v>0</v>
      </c>
    </row>
    <row r="106" spans="1:19">
      <c r="A106" s="926"/>
      <c r="B106" s="132"/>
      <c r="C106" s="51">
        <f t="shared" si="18"/>
        <v>1</v>
      </c>
      <c r="D106" s="924"/>
      <c r="E106" s="51">
        <f t="shared" si="19"/>
        <v>1</v>
      </c>
      <c r="F106" s="924"/>
      <c r="G106" s="51">
        <f t="shared" si="20"/>
        <v>1</v>
      </c>
      <c r="H106" s="924"/>
      <c r="I106" s="51">
        <f t="shared" si="21"/>
        <v>1</v>
      </c>
      <c r="J106" s="924"/>
      <c r="K106" s="51">
        <f t="shared" si="22"/>
        <v>1</v>
      </c>
      <c r="L106" s="924"/>
      <c r="M106" s="51">
        <f t="shared" si="23"/>
        <v>1</v>
      </c>
      <c r="N106" s="924"/>
      <c r="O106" s="51">
        <f t="shared" si="24"/>
        <v>1</v>
      </c>
      <c r="P106" s="924"/>
      <c r="Q106" s="51">
        <f t="shared" si="25"/>
        <v>1</v>
      </c>
      <c r="R106" s="467">
        <f t="shared" si="26"/>
        <v>0</v>
      </c>
      <c r="S106" s="765">
        <f t="shared" si="17"/>
        <v>0</v>
      </c>
    </row>
    <row r="107" spans="1:19">
      <c r="A107" s="926"/>
      <c r="B107" s="132"/>
      <c r="C107" s="51">
        <f t="shared" si="18"/>
        <v>1</v>
      </c>
      <c r="D107" s="924"/>
      <c r="E107" s="51">
        <f t="shared" si="19"/>
        <v>1</v>
      </c>
      <c r="F107" s="924"/>
      <c r="G107" s="51">
        <f t="shared" si="20"/>
        <v>1</v>
      </c>
      <c r="H107" s="924"/>
      <c r="I107" s="51">
        <f t="shared" si="21"/>
        <v>1</v>
      </c>
      <c r="J107" s="924"/>
      <c r="K107" s="51">
        <f t="shared" si="22"/>
        <v>1</v>
      </c>
      <c r="L107" s="924"/>
      <c r="M107" s="51">
        <f t="shared" si="23"/>
        <v>1</v>
      </c>
      <c r="N107" s="924"/>
      <c r="O107" s="51">
        <f t="shared" si="24"/>
        <v>1</v>
      </c>
      <c r="P107" s="924"/>
      <c r="Q107" s="51">
        <f t="shared" si="25"/>
        <v>1</v>
      </c>
      <c r="R107" s="467">
        <f t="shared" si="26"/>
        <v>0</v>
      </c>
      <c r="S107" s="765">
        <f t="shared" si="17"/>
        <v>0</v>
      </c>
    </row>
    <row r="108" spans="1:19">
      <c r="A108" s="926"/>
      <c r="B108" s="132"/>
      <c r="C108" s="51">
        <f t="shared" si="18"/>
        <v>1</v>
      </c>
      <c r="D108" s="924"/>
      <c r="E108" s="51">
        <f t="shared" si="19"/>
        <v>1</v>
      </c>
      <c r="F108" s="924"/>
      <c r="G108" s="51">
        <f t="shared" si="20"/>
        <v>1</v>
      </c>
      <c r="H108" s="924"/>
      <c r="I108" s="51">
        <f t="shared" si="21"/>
        <v>1</v>
      </c>
      <c r="J108" s="924"/>
      <c r="K108" s="51">
        <f t="shared" si="22"/>
        <v>1</v>
      </c>
      <c r="L108" s="924"/>
      <c r="M108" s="51">
        <f t="shared" si="23"/>
        <v>1</v>
      </c>
      <c r="N108" s="924"/>
      <c r="O108" s="51">
        <f t="shared" si="24"/>
        <v>1</v>
      </c>
      <c r="P108" s="924"/>
      <c r="Q108" s="51">
        <f t="shared" si="25"/>
        <v>1</v>
      </c>
      <c r="R108" s="467">
        <f t="shared" si="26"/>
        <v>0</v>
      </c>
      <c r="S108" s="765">
        <f t="shared" si="17"/>
        <v>0</v>
      </c>
    </row>
    <row r="109" spans="1:19">
      <c r="A109" s="926"/>
      <c r="B109" s="132"/>
      <c r="C109" s="51">
        <f t="shared" si="18"/>
        <v>1</v>
      </c>
      <c r="D109" s="924"/>
      <c r="E109" s="51">
        <f t="shared" si="19"/>
        <v>1</v>
      </c>
      <c r="F109" s="924"/>
      <c r="G109" s="51">
        <f t="shared" si="20"/>
        <v>1</v>
      </c>
      <c r="H109" s="924"/>
      <c r="I109" s="51">
        <f t="shared" si="21"/>
        <v>1</v>
      </c>
      <c r="J109" s="924"/>
      <c r="K109" s="51">
        <f t="shared" si="22"/>
        <v>1</v>
      </c>
      <c r="L109" s="924"/>
      <c r="M109" s="51">
        <f t="shared" si="23"/>
        <v>1</v>
      </c>
      <c r="N109" s="924"/>
      <c r="O109" s="51">
        <f t="shared" si="24"/>
        <v>1</v>
      </c>
      <c r="P109" s="924"/>
      <c r="Q109" s="51">
        <f t="shared" si="25"/>
        <v>1</v>
      </c>
      <c r="R109" s="467">
        <f t="shared" si="26"/>
        <v>0</v>
      </c>
      <c r="S109" s="765">
        <f t="shared" si="17"/>
        <v>0</v>
      </c>
    </row>
    <row r="110" spans="1:19">
      <c r="A110" s="926"/>
      <c r="B110" s="132"/>
      <c r="C110" s="51">
        <f t="shared" si="18"/>
        <v>1</v>
      </c>
      <c r="D110" s="924"/>
      <c r="E110" s="51">
        <f t="shared" si="19"/>
        <v>1</v>
      </c>
      <c r="F110" s="924"/>
      <c r="G110" s="51">
        <f t="shared" si="20"/>
        <v>1</v>
      </c>
      <c r="H110" s="924"/>
      <c r="I110" s="51">
        <f t="shared" si="21"/>
        <v>1</v>
      </c>
      <c r="J110" s="924"/>
      <c r="K110" s="51">
        <f t="shared" si="22"/>
        <v>1</v>
      </c>
      <c r="L110" s="924"/>
      <c r="M110" s="51">
        <f t="shared" si="23"/>
        <v>1</v>
      </c>
      <c r="N110" s="924"/>
      <c r="O110" s="51">
        <f t="shared" si="24"/>
        <v>1</v>
      </c>
      <c r="P110" s="924"/>
      <c r="Q110" s="51">
        <f t="shared" si="25"/>
        <v>1</v>
      </c>
      <c r="R110" s="467">
        <f t="shared" si="26"/>
        <v>0</v>
      </c>
      <c r="S110" s="765">
        <f t="shared" si="17"/>
        <v>0</v>
      </c>
    </row>
    <row r="111" spans="1:19">
      <c r="A111" s="926"/>
      <c r="B111" s="132"/>
      <c r="C111" s="51">
        <f t="shared" si="18"/>
        <v>1</v>
      </c>
      <c r="D111" s="924"/>
      <c r="E111" s="51">
        <f t="shared" si="19"/>
        <v>1</v>
      </c>
      <c r="F111" s="924"/>
      <c r="G111" s="51">
        <f t="shared" si="20"/>
        <v>1</v>
      </c>
      <c r="H111" s="924"/>
      <c r="I111" s="51">
        <f t="shared" si="21"/>
        <v>1</v>
      </c>
      <c r="J111" s="924"/>
      <c r="K111" s="51">
        <f t="shared" si="22"/>
        <v>1</v>
      </c>
      <c r="L111" s="924"/>
      <c r="M111" s="51">
        <f t="shared" si="23"/>
        <v>1</v>
      </c>
      <c r="N111" s="924"/>
      <c r="O111" s="51">
        <f t="shared" si="24"/>
        <v>1</v>
      </c>
      <c r="P111" s="924"/>
      <c r="Q111" s="51">
        <f t="shared" si="25"/>
        <v>1</v>
      </c>
      <c r="R111" s="467">
        <f t="shared" si="26"/>
        <v>0</v>
      </c>
      <c r="S111" s="765">
        <f t="shared" si="17"/>
        <v>0</v>
      </c>
    </row>
    <row r="112" spans="1:19">
      <c r="A112" s="926"/>
      <c r="B112" s="132"/>
      <c r="C112" s="51">
        <f t="shared" si="18"/>
        <v>1</v>
      </c>
      <c r="D112" s="924"/>
      <c r="E112" s="51">
        <f t="shared" si="19"/>
        <v>1</v>
      </c>
      <c r="F112" s="924"/>
      <c r="G112" s="51">
        <f t="shared" si="20"/>
        <v>1</v>
      </c>
      <c r="H112" s="924"/>
      <c r="I112" s="51">
        <f t="shared" si="21"/>
        <v>1</v>
      </c>
      <c r="J112" s="924"/>
      <c r="K112" s="51">
        <f t="shared" si="22"/>
        <v>1</v>
      </c>
      <c r="L112" s="924"/>
      <c r="M112" s="51">
        <f t="shared" si="23"/>
        <v>1</v>
      </c>
      <c r="N112" s="924"/>
      <c r="O112" s="51">
        <f t="shared" si="24"/>
        <v>1</v>
      </c>
      <c r="P112" s="924"/>
      <c r="Q112" s="51">
        <f t="shared" si="25"/>
        <v>1</v>
      </c>
      <c r="R112" s="467">
        <f t="shared" si="26"/>
        <v>0</v>
      </c>
      <c r="S112" s="765">
        <f t="shared" si="17"/>
        <v>0</v>
      </c>
    </row>
    <row r="113" spans="1:19">
      <c r="A113" s="926"/>
      <c r="B113" s="132"/>
      <c r="C113" s="51">
        <f t="shared" si="18"/>
        <v>1</v>
      </c>
      <c r="D113" s="924"/>
      <c r="E113" s="51">
        <f t="shared" si="19"/>
        <v>1</v>
      </c>
      <c r="F113" s="924"/>
      <c r="G113" s="51">
        <f t="shared" si="20"/>
        <v>1</v>
      </c>
      <c r="H113" s="924"/>
      <c r="I113" s="51">
        <f t="shared" si="21"/>
        <v>1</v>
      </c>
      <c r="J113" s="924"/>
      <c r="K113" s="51">
        <f t="shared" si="22"/>
        <v>1</v>
      </c>
      <c r="L113" s="924"/>
      <c r="M113" s="51">
        <f t="shared" si="23"/>
        <v>1</v>
      </c>
      <c r="N113" s="924"/>
      <c r="O113" s="51">
        <f t="shared" si="24"/>
        <v>1</v>
      </c>
      <c r="P113" s="924"/>
      <c r="Q113" s="51">
        <f t="shared" si="25"/>
        <v>1</v>
      </c>
      <c r="R113" s="467">
        <f t="shared" si="26"/>
        <v>0</v>
      </c>
      <c r="S113" s="765">
        <f t="shared" si="17"/>
        <v>0</v>
      </c>
    </row>
    <row r="114" spans="1:19">
      <c r="A114" s="926"/>
      <c r="B114" s="132"/>
      <c r="C114" s="51">
        <f t="shared" si="18"/>
        <v>1</v>
      </c>
      <c r="D114" s="924"/>
      <c r="E114" s="51">
        <f t="shared" si="19"/>
        <v>1</v>
      </c>
      <c r="F114" s="924"/>
      <c r="G114" s="51">
        <f t="shared" si="20"/>
        <v>1</v>
      </c>
      <c r="H114" s="924"/>
      <c r="I114" s="51">
        <f t="shared" si="21"/>
        <v>1</v>
      </c>
      <c r="J114" s="924"/>
      <c r="K114" s="51">
        <f t="shared" si="22"/>
        <v>1</v>
      </c>
      <c r="L114" s="924"/>
      <c r="M114" s="51">
        <f t="shared" si="23"/>
        <v>1</v>
      </c>
      <c r="N114" s="924"/>
      <c r="O114" s="51">
        <f t="shared" si="24"/>
        <v>1</v>
      </c>
      <c r="P114" s="924"/>
      <c r="Q114" s="51">
        <f t="shared" si="25"/>
        <v>1</v>
      </c>
      <c r="R114" s="467">
        <f t="shared" si="26"/>
        <v>0</v>
      </c>
      <c r="S114" s="765">
        <f t="shared" si="17"/>
        <v>0</v>
      </c>
    </row>
    <row r="115" spans="1:19">
      <c r="A115" s="926"/>
      <c r="B115" s="132"/>
      <c r="C115" s="51">
        <f t="shared" si="18"/>
        <v>1</v>
      </c>
      <c r="D115" s="924"/>
      <c r="E115" s="51">
        <f t="shared" si="19"/>
        <v>1</v>
      </c>
      <c r="F115" s="924"/>
      <c r="G115" s="51">
        <f t="shared" si="20"/>
        <v>1</v>
      </c>
      <c r="H115" s="924"/>
      <c r="I115" s="51">
        <f t="shared" si="21"/>
        <v>1</v>
      </c>
      <c r="J115" s="924"/>
      <c r="K115" s="51">
        <f t="shared" si="22"/>
        <v>1</v>
      </c>
      <c r="L115" s="924"/>
      <c r="M115" s="51">
        <f t="shared" si="23"/>
        <v>1</v>
      </c>
      <c r="N115" s="924"/>
      <c r="O115" s="51">
        <f t="shared" si="24"/>
        <v>1</v>
      </c>
      <c r="P115" s="924"/>
      <c r="Q115" s="51">
        <f t="shared" si="25"/>
        <v>1</v>
      </c>
      <c r="R115" s="467">
        <f t="shared" si="26"/>
        <v>0</v>
      </c>
      <c r="S115" s="765">
        <f t="shared" si="17"/>
        <v>0</v>
      </c>
    </row>
    <row r="116" spans="1:19">
      <c r="A116" s="926"/>
      <c r="B116" s="132"/>
      <c r="C116" s="51">
        <f t="shared" si="18"/>
        <v>1</v>
      </c>
      <c r="D116" s="924"/>
      <c r="E116" s="51">
        <f t="shared" si="19"/>
        <v>1</v>
      </c>
      <c r="F116" s="924"/>
      <c r="G116" s="51">
        <f t="shared" si="20"/>
        <v>1</v>
      </c>
      <c r="H116" s="924"/>
      <c r="I116" s="51">
        <f t="shared" si="21"/>
        <v>1</v>
      </c>
      <c r="J116" s="924"/>
      <c r="K116" s="51">
        <f t="shared" si="22"/>
        <v>1</v>
      </c>
      <c r="L116" s="924"/>
      <c r="M116" s="51">
        <f t="shared" si="23"/>
        <v>1</v>
      </c>
      <c r="N116" s="924"/>
      <c r="O116" s="51">
        <f t="shared" si="24"/>
        <v>1</v>
      </c>
      <c r="P116" s="924"/>
      <c r="Q116" s="51">
        <f t="shared" si="25"/>
        <v>1</v>
      </c>
      <c r="R116" s="467">
        <f t="shared" si="26"/>
        <v>0</v>
      </c>
      <c r="S116" s="765">
        <f t="shared" si="17"/>
        <v>0</v>
      </c>
    </row>
    <row r="117" spans="1:19">
      <c r="A117" s="926"/>
      <c r="B117" s="132"/>
      <c r="C117" s="51">
        <f t="shared" si="18"/>
        <v>1</v>
      </c>
      <c r="D117" s="924"/>
      <c r="E117" s="51">
        <f t="shared" si="19"/>
        <v>1</v>
      </c>
      <c r="F117" s="924"/>
      <c r="G117" s="51">
        <f t="shared" si="20"/>
        <v>1</v>
      </c>
      <c r="H117" s="924"/>
      <c r="I117" s="51">
        <f t="shared" si="21"/>
        <v>1</v>
      </c>
      <c r="J117" s="924"/>
      <c r="K117" s="51">
        <f t="shared" si="22"/>
        <v>1</v>
      </c>
      <c r="L117" s="924"/>
      <c r="M117" s="51">
        <f t="shared" si="23"/>
        <v>1</v>
      </c>
      <c r="N117" s="924"/>
      <c r="O117" s="51">
        <f t="shared" si="24"/>
        <v>1</v>
      </c>
      <c r="P117" s="924"/>
      <c r="Q117" s="51">
        <f t="shared" si="25"/>
        <v>1</v>
      </c>
      <c r="R117" s="467">
        <f t="shared" si="26"/>
        <v>0</v>
      </c>
      <c r="S117" s="765">
        <f t="shared" si="17"/>
        <v>0</v>
      </c>
    </row>
    <row r="118" spans="1:19">
      <c r="A118" s="926"/>
      <c r="B118" s="132"/>
      <c r="C118" s="51">
        <f t="shared" si="18"/>
        <v>1</v>
      </c>
      <c r="D118" s="924"/>
      <c r="E118" s="51">
        <f t="shared" si="19"/>
        <v>1</v>
      </c>
      <c r="F118" s="924"/>
      <c r="G118" s="51">
        <f t="shared" si="20"/>
        <v>1</v>
      </c>
      <c r="H118" s="924"/>
      <c r="I118" s="51">
        <f t="shared" si="21"/>
        <v>1</v>
      </c>
      <c r="J118" s="924"/>
      <c r="K118" s="51">
        <f t="shared" si="22"/>
        <v>1</v>
      </c>
      <c r="L118" s="924"/>
      <c r="M118" s="51">
        <f t="shared" si="23"/>
        <v>1</v>
      </c>
      <c r="N118" s="924"/>
      <c r="O118" s="51">
        <f t="shared" si="24"/>
        <v>1</v>
      </c>
      <c r="P118" s="924"/>
      <c r="Q118" s="51">
        <f t="shared" si="25"/>
        <v>1</v>
      </c>
      <c r="R118" s="467">
        <f t="shared" si="26"/>
        <v>0</v>
      </c>
      <c r="S118" s="765">
        <f t="shared" si="17"/>
        <v>0</v>
      </c>
    </row>
    <row r="119" spans="1:19">
      <c r="A119" s="926"/>
      <c r="B119" s="132"/>
      <c r="C119" s="51">
        <f t="shared" si="18"/>
        <v>1</v>
      </c>
      <c r="D119" s="924"/>
      <c r="E119" s="51">
        <f t="shared" si="19"/>
        <v>1</v>
      </c>
      <c r="F119" s="924"/>
      <c r="G119" s="51">
        <f t="shared" si="20"/>
        <v>1</v>
      </c>
      <c r="H119" s="924"/>
      <c r="I119" s="51">
        <f t="shared" si="21"/>
        <v>1</v>
      </c>
      <c r="J119" s="924"/>
      <c r="K119" s="51">
        <f t="shared" si="22"/>
        <v>1</v>
      </c>
      <c r="L119" s="924"/>
      <c r="M119" s="51">
        <f t="shared" si="23"/>
        <v>1</v>
      </c>
      <c r="N119" s="924"/>
      <c r="O119" s="51">
        <f t="shared" si="24"/>
        <v>1</v>
      </c>
      <c r="P119" s="924"/>
      <c r="Q119" s="51">
        <f t="shared" si="25"/>
        <v>1</v>
      </c>
      <c r="R119" s="467">
        <f t="shared" si="26"/>
        <v>0</v>
      </c>
      <c r="S119" s="765">
        <f t="shared" si="17"/>
        <v>0</v>
      </c>
    </row>
    <row r="120" spans="1:19">
      <c r="A120" s="926"/>
      <c r="B120" s="132"/>
      <c r="C120" s="51">
        <f t="shared" si="18"/>
        <v>1</v>
      </c>
      <c r="D120" s="924"/>
      <c r="E120" s="51">
        <f t="shared" si="19"/>
        <v>1</v>
      </c>
      <c r="F120" s="924"/>
      <c r="G120" s="51">
        <f t="shared" si="20"/>
        <v>1</v>
      </c>
      <c r="H120" s="924"/>
      <c r="I120" s="51">
        <f t="shared" si="21"/>
        <v>1</v>
      </c>
      <c r="J120" s="924"/>
      <c r="K120" s="51">
        <f t="shared" si="22"/>
        <v>1</v>
      </c>
      <c r="L120" s="924"/>
      <c r="M120" s="51">
        <f t="shared" si="23"/>
        <v>1</v>
      </c>
      <c r="N120" s="924"/>
      <c r="O120" s="51">
        <f t="shared" si="24"/>
        <v>1</v>
      </c>
      <c r="P120" s="924"/>
      <c r="Q120" s="51">
        <f t="shared" si="25"/>
        <v>1</v>
      </c>
      <c r="R120" s="467">
        <f t="shared" si="26"/>
        <v>0</v>
      </c>
      <c r="S120" s="765">
        <f t="shared" si="17"/>
        <v>0</v>
      </c>
    </row>
    <row r="121" spans="1:19">
      <c r="A121" s="926"/>
      <c r="B121" s="132"/>
      <c r="C121" s="51">
        <f t="shared" si="18"/>
        <v>1</v>
      </c>
      <c r="D121" s="924"/>
      <c r="E121" s="51">
        <f t="shared" si="19"/>
        <v>1</v>
      </c>
      <c r="F121" s="924"/>
      <c r="G121" s="51">
        <f t="shared" si="20"/>
        <v>1</v>
      </c>
      <c r="H121" s="924"/>
      <c r="I121" s="51">
        <f t="shared" si="21"/>
        <v>1</v>
      </c>
      <c r="J121" s="924"/>
      <c r="K121" s="51">
        <f t="shared" si="22"/>
        <v>1</v>
      </c>
      <c r="L121" s="924"/>
      <c r="M121" s="51">
        <f t="shared" si="23"/>
        <v>1</v>
      </c>
      <c r="N121" s="924"/>
      <c r="O121" s="51">
        <f t="shared" si="24"/>
        <v>1</v>
      </c>
      <c r="P121" s="924"/>
      <c r="Q121" s="51">
        <f t="shared" si="25"/>
        <v>1</v>
      </c>
      <c r="R121" s="467">
        <f t="shared" si="26"/>
        <v>0</v>
      </c>
      <c r="S121" s="765">
        <f t="shared" si="17"/>
        <v>0</v>
      </c>
    </row>
    <row r="122" spans="1:19">
      <c r="A122" s="926"/>
      <c r="B122" s="132"/>
      <c r="C122" s="51">
        <f t="shared" si="18"/>
        <v>1</v>
      </c>
      <c r="D122" s="924"/>
      <c r="E122" s="51">
        <f t="shared" si="19"/>
        <v>1</v>
      </c>
      <c r="F122" s="924"/>
      <c r="G122" s="51">
        <f t="shared" si="20"/>
        <v>1</v>
      </c>
      <c r="H122" s="924"/>
      <c r="I122" s="51">
        <f t="shared" si="21"/>
        <v>1</v>
      </c>
      <c r="J122" s="924"/>
      <c r="K122" s="51">
        <f t="shared" si="22"/>
        <v>1</v>
      </c>
      <c r="L122" s="924"/>
      <c r="M122" s="51">
        <f t="shared" si="23"/>
        <v>1</v>
      </c>
      <c r="N122" s="924"/>
      <c r="O122" s="51">
        <f t="shared" si="24"/>
        <v>1</v>
      </c>
      <c r="P122" s="924"/>
      <c r="Q122" s="51">
        <f t="shared" si="25"/>
        <v>1</v>
      </c>
      <c r="R122" s="467">
        <f t="shared" si="26"/>
        <v>0</v>
      </c>
      <c r="S122" s="765">
        <f t="shared" si="17"/>
        <v>0</v>
      </c>
    </row>
    <row r="123" spans="1:19">
      <c r="A123" s="926"/>
      <c r="B123" s="132"/>
      <c r="C123" s="51">
        <f t="shared" si="18"/>
        <v>1</v>
      </c>
      <c r="D123" s="924"/>
      <c r="E123" s="51">
        <f t="shared" si="19"/>
        <v>1</v>
      </c>
      <c r="F123" s="924"/>
      <c r="G123" s="51">
        <f t="shared" si="20"/>
        <v>1</v>
      </c>
      <c r="H123" s="924"/>
      <c r="I123" s="51">
        <f t="shared" si="21"/>
        <v>1</v>
      </c>
      <c r="J123" s="924"/>
      <c r="K123" s="51">
        <f t="shared" si="22"/>
        <v>1</v>
      </c>
      <c r="L123" s="924"/>
      <c r="M123" s="51">
        <f t="shared" si="23"/>
        <v>1</v>
      </c>
      <c r="N123" s="924"/>
      <c r="O123" s="51">
        <f t="shared" si="24"/>
        <v>1</v>
      </c>
      <c r="P123" s="924"/>
      <c r="Q123" s="51">
        <f t="shared" si="25"/>
        <v>1</v>
      </c>
      <c r="R123" s="467">
        <f t="shared" si="26"/>
        <v>0</v>
      </c>
      <c r="S123" s="765">
        <f t="shared" ref="S123:S186" si="27">ROUND(R123*B123/10000,0)</f>
        <v>0</v>
      </c>
    </row>
    <row r="124" spans="1:19">
      <c r="A124" s="926"/>
      <c r="B124" s="132"/>
      <c r="C124" s="51">
        <f t="shared" si="18"/>
        <v>1</v>
      </c>
      <c r="D124" s="924"/>
      <c r="E124" s="51">
        <f t="shared" si="19"/>
        <v>1</v>
      </c>
      <c r="F124" s="924"/>
      <c r="G124" s="51">
        <f t="shared" si="20"/>
        <v>1</v>
      </c>
      <c r="H124" s="924"/>
      <c r="I124" s="51">
        <f t="shared" si="21"/>
        <v>1</v>
      </c>
      <c r="J124" s="924"/>
      <c r="K124" s="51">
        <f t="shared" si="22"/>
        <v>1</v>
      </c>
      <c r="L124" s="924"/>
      <c r="M124" s="51">
        <f t="shared" si="23"/>
        <v>1</v>
      </c>
      <c r="N124" s="924"/>
      <c r="O124" s="51">
        <f t="shared" si="24"/>
        <v>1</v>
      </c>
      <c r="P124" s="924"/>
      <c r="Q124" s="51">
        <f t="shared" si="25"/>
        <v>1</v>
      </c>
      <c r="R124" s="467">
        <f t="shared" si="26"/>
        <v>0</v>
      </c>
      <c r="S124" s="765">
        <f t="shared" si="27"/>
        <v>0</v>
      </c>
    </row>
    <row r="125" spans="1:19">
      <c r="A125" s="926"/>
      <c r="B125" s="132"/>
      <c r="C125" s="51">
        <f t="shared" si="18"/>
        <v>1</v>
      </c>
      <c r="D125" s="924"/>
      <c r="E125" s="51">
        <f t="shared" si="19"/>
        <v>1</v>
      </c>
      <c r="F125" s="924"/>
      <c r="G125" s="51">
        <f t="shared" si="20"/>
        <v>1</v>
      </c>
      <c r="H125" s="924"/>
      <c r="I125" s="51">
        <f t="shared" si="21"/>
        <v>1</v>
      </c>
      <c r="J125" s="924"/>
      <c r="K125" s="51">
        <f t="shared" si="22"/>
        <v>1</v>
      </c>
      <c r="L125" s="924"/>
      <c r="M125" s="51">
        <f t="shared" si="23"/>
        <v>1</v>
      </c>
      <c r="N125" s="924"/>
      <c r="O125" s="51">
        <f t="shared" si="24"/>
        <v>1</v>
      </c>
      <c r="P125" s="924"/>
      <c r="Q125" s="51">
        <f t="shared" si="25"/>
        <v>1</v>
      </c>
      <c r="R125" s="467">
        <f t="shared" si="26"/>
        <v>0</v>
      </c>
      <c r="S125" s="765">
        <f t="shared" si="27"/>
        <v>0</v>
      </c>
    </row>
    <row r="126" spans="1:19">
      <c r="A126" s="926"/>
      <c r="B126" s="132"/>
      <c r="C126" s="51">
        <f t="shared" si="18"/>
        <v>1</v>
      </c>
      <c r="D126" s="924"/>
      <c r="E126" s="51">
        <f t="shared" si="19"/>
        <v>1</v>
      </c>
      <c r="F126" s="924"/>
      <c r="G126" s="51">
        <f t="shared" si="20"/>
        <v>1</v>
      </c>
      <c r="H126" s="924"/>
      <c r="I126" s="51">
        <f t="shared" si="21"/>
        <v>1</v>
      </c>
      <c r="J126" s="924"/>
      <c r="K126" s="51">
        <f t="shared" si="22"/>
        <v>1</v>
      </c>
      <c r="L126" s="924"/>
      <c r="M126" s="51">
        <f t="shared" si="23"/>
        <v>1</v>
      </c>
      <c r="N126" s="924"/>
      <c r="O126" s="51">
        <f t="shared" si="24"/>
        <v>1</v>
      </c>
      <c r="P126" s="924"/>
      <c r="Q126" s="51">
        <f t="shared" si="25"/>
        <v>1</v>
      </c>
      <c r="R126" s="467">
        <f t="shared" si="26"/>
        <v>0</v>
      </c>
      <c r="S126" s="765">
        <f t="shared" si="27"/>
        <v>0</v>
      </c>
    </row>
    <row r="127" spans="1:19">
      <c r="A127" s="926"/>
      <c r="B127" s="132"/>
      <c r="C127" s="51">
        <f t="shared" si="18"/>
        <v>1</v>
      </c>
      <c r="D127" s="924"/>
      <c r="E127" s="51">
        <f t="shared" si="19"/>
        <v>1</v>
      </c>
      <c r="F127" s="924"/>
      <c r="G127" s="51">
        <f t="shared" si="20"/>
        <v>1</v>
      </c>
      <c r="H127" s="924"/>
      <c r="I127" s="51">
        <f t="shared" si="21"/>
        <v>1</v>
      </c>
      <c r="J127" s="924"/>
      <c r="K127" s="51">
        <f t="shared" si="22"/>
        <v>1</v>
      </c>
      <c r="L127" s="924"/>
      <c r="M127" s="51">
        <f t="shared" si="23"/>
        <v>1</v>
      </c>
      <c r="N127" s="924"/>
      <c r="O127" s="51">
        <f t="shared" si="24"/>
        <v>1</v>
      </c>
      <c r="P127" s="924"/>
      <c r="Q127" s="51">
        <f t="shared" si="25"/>
        <v>1</v>
      </c>
      <c r="R127" s="467">
        <f t="shared" si="26"/>
        <v>0</v>
      </c>
      <c r="S127" s="765">
        <f t="shared" si="27"/>
        <v>0</v>
      </c>
    </row>
    <row r="128" spans="1:19">
      <c r="A128" s="926"/>
      <c r="B128" s="132"/>
      <c r="C128" s="51">
        <f t="shared" si="18"/>
        <v>1</v>
      </c>
      <c r="D128" s="924"/>
      <c r="E128" s="51">
        <f t="shared" si="19"/>
        <v>1</v>
      </c>
      <c r="F128" s="924"/>
      <c r="G128" s="51">
        <f t="shared" si="20"/>
        <v>1</v>
      </c>
      <c r="H128" s="924"/>
      <c r="I128" s="51">
        <f t="shared" si="21"/>
        <v>1</v>
      </c>
      <c r="J128" s="924"/>
      <c r="K128" s="51">
        <f t="shared" si="22"/>
        <v>1</v>
      </c>
      <c r="L128" s="924"/>
      <c r="M128" s="51">
        <f t="shared" si="23"/>
        <v>1</v>
      </c>
      <c r="N128" s="924"/>
      <c r="O128" s="51">
        <f t="shared" si="24"/>
        <v>1</v>
      </c>
      <c r="P128" s="924"/>
      <c r="Q128" s="51">
        <f t="shared" si="25"/>
        <v>1</v>
      </c>
      <c r="R128" s="467">
        <f t="shared" si="26"/>
        <v>0</v>
      </c>
      <c r="S128" s="765">
        <f t="shared" si="27"/>
        <v>0</v>
      </c>
    </row>
    <row r="129" spans="1:19">
      <c r="A129" s="926"/>
      <c r="B129" s="132"/>
      <c r="C129" s="51">
        <f t="shared" si="18"/>
        <v>1</v>
      </c>
      <c r="D129" s="924"/>
      <c r="E129" s="51">
        <f t="shared" si="19"/>
        <v>1</v>
      </c>
      <c r="F129" s="924"/>
      <c r="G129" s="51">
        <f t="shared" si="20"/>
        <v>1</v>
      </c>
      <c r="H129" s="924"/>
      <c r="I129" s="51">
        <f t="shared" si="21"/>
        <v>1</v>
      </c>
      <c r="J129" s="924"/>
      <c r="K129" s="51">
        <f t="shared" si="22"/>
        <v>1</v>
      </c>
      <c r="L129" s="924"/>
      <c r="M129" s="51">
        <f t="shared" si="23"/>
        <v>1</v>
      </c>
      <c r="N129" s="924"/>
      <c r="O129" s="51">
        <f t="shared" si="24"/>
        <v>1</v>
      </c>
      <c r="P129" s="924"/>
      <c r="Q129" s="51">
        <f t="shared" si="25"/>
        <v>1</v>
      </c>
      <c r="R129" s="467">
        <f t="shared" si="26"/>
        <v>0</v>
      </c>
      <c r="S129" s="765">
        <f t="shared" si="27"/>
        <v>0</v>
      </c>
    </row>
    <row r="130" spans="1:19">
      <c r="A130" s="926"/>
      <c r="B130" s="132"/>
      <c r="C130" s="51">
        <f t="shared" si="18"/>
        <v>1</v>
      </c>
      <c r="D130" s="924"/>
      <c r="E130" s="51">
        <f t="shared" si="19"/>
        <v>1</v>
      </c>
      <c r="F130" s="924"/>
      <c r="G130" s="51">
        <f t="shared" si="20"/>
        <v>1</v>
      </c>
      <c r="H130" s="924"/>
      <c r="I130" s="51">
        <f t="shared" si="21"/>
        <v>1</v>
      </c>
      <c r="J130" s="924"/>
      <c r="K130" s="51">
        <f t="shared" si="22"/>
        <v>1</v>
      </c>
      <c r="L130" s="924"/>
      <c r="M130" s="51">
        <f t="shared" si="23"/>
        <v>1</v>
      </c>
      <c r="N130" s="924"/>
      <c r="O130" s="51">
        <f t="shared" si="24"/>
        <v>1</v>
      </c>
      <c r="P130" s="924"/>
      <c r="Q130" s="51">
        <f t="shared" si="25"/>
        <v>1</v>
      </c>
      <c r="R130" s="467">
        <f t="shared" si="26"/>
        <v>0</v>
      </c>
      <c r="S130" s="765">
        <f t="shared" si="27"/>
        <v>0</v>
      </c>
    </row>
    <row r="131" spans="1:19">
      <c r="A131" s="926"/>
      <c r="B131" s="132"/>
      <c r="C131" s="51">
        <f t="shared" si="18"/>
        <v>1</v>
      </c>
      <c r="D131" s="924"/>
      <c r="E131" s="51">
        <f t="shared" si="19"/>
        <v>1</v>
      </c>
      <c r="F131" s="924"/>
      <c r="G131" s="51">
        <f t="shared" si="20"/>
        <v>1</v>
      </c>
      <c r="H131" s="924"/>
      <c r="I131" s="51">
        <f t="shared" si="21"/>
        <v>1</v>
      </c>
      <c r="J131" s="924"/>
      <c r="K131" s="51">
        <f t="shared" si="22"/>
        <v>1</v>
      </c>
      <c r="L131" s="924"/>
      <c r="M131" s="51">
        <f t="shared" si="23"/>
        <v>1</v>
      </c>
      <c r="N131" s="924"/>
      <c r="O131" s="51">
        <f t="shared" si="24"/>
        <v>1</v>
      </c>
      <c r="P131" s="924"/>
      <c r="Q131" s="51">
        <f t="shared" si="25"/>
        <v>1</v>
      </c>
      <c r="R131" s="467">
        <f t="shared" si="26"/>
        <v>0</v>
      </c>
      <c r="S131" s="765">
        <f t="shared" si="27"/>
        <v>0</v>
      </c>
    </row>
    <row r="132" spans="1:19">
      <c r="A132" s="926"/>
      <c r="B132" s="132"/>
      <c r="C132" s="51">
        <f t="shared" si="18"/>
        <v>1</v>
      </c>
      <c r="D132" s="924"/>
      <c r="E132" s="51">
        <f t="shared" si="19"/>
        <v>1</v>
      </c>
      <c r="F132" s="924"/>
      <c r="G132" s="51">
        <f t="shared" si="20"/>
        <v>1</v>
      </c>
      <c r="H132" s="924"/>
      <c r="I132" s="51">
        <f t="shared" si="21"/>
        <v>1</v>
      </c>
      <c r="J132" s="924"/>
      <c r="K132" s="51">
        <f t="shared" si="22"/>
        <v>1</v>
      </c>
      <c r="L132" s="924"/>
      <c r="M132" s="51">
        <f t="shared" si="23"/>
        <v>1</v>
      </c>
      <c r="N132" s="924"/>
      <c r="O132" s="51">
        <f t="shared" si="24"/>
        <v>1</v>
      </c>
      <c r="P132" s="924"/>
      <c r="Q132" s="51">
        <f t="shared" si="25"/>
        <v>1</v>
      </c>
      <c r="R132" s="467">
        <f t="shared" si="26"/>
        <v>0</v>
      </c>
      <c r="S132" s="765">
        <f t="shared" si="27"/>
        <v>0</v>
      </c>
    </row>
    <row r="133" spans="1:19">
      <c r="A133" s="926"/>
      <c r="B133" s="132"/>
      <c r="C133" s="51">
        <f t="shared" si="18"/>
        <v>1</v>
      </c>
      <c r="D133" s="924"/>
      <c r="E133" s="51">
        <f t="shared" si="19"/>
        <v>1</v>
      </c>
      <c r="F133" s="924"/>
      <c r="G133" s="51">
        <f t="shared" si="20"/>
        <v>1</v>
      </c>
      <c r="H133" s="924"/>
      <c r="I133" s="51">
        <f t="shared" si="21"/>
        <v>1</v>
      </c>
      <c r="J133" s="924"/>
      <c r="K133" s="51">
        <f t="shared" si="22"/>
        <v>1</v>
      </c>
      <c r="L133" s="924"/>
      <c r="M133" s="51">
        <f t="shared" si="23"/>
        <v>1</v>
      </c>
      <c r="N133" s="924"/>
      <c r="O133" s="51">
        <f t="shared" si="24"/>
        <v>1</v>
      </c>
      <c r="P133" s="924"/>
      <c r="Q133" s="51">
        <f t="shared" si="25"/>
        <v>1</v>
      </c>
      <c r="R133" s="467">
        <f t="shared" si="26"/>
        <v>0</v>
      </c>
      <c r="S133" s="765">
        <f t="shared" si="27"/>
        <v>0</v>
      </c>
    </row>
    <row r="134" spans="1:19">
      <c r="A134" s="926"/>
      <c r="B134" s="132"/>
      <c r="C134" s="51">
        <f t="shared" si="18"/>
        <v>1</v>
      </c>
      <c r="D134" s="924"/>
      <c r="E134" s="51">
        <f t="shared" si="19"/>
        <v>1</v>
      </c>
      <c r="F134" s="924"/>
      <c r="G134" s="51">
        <f t="shared" si="20"/>
        <v>1</v>
      </c>
      <c r="H134" s="924"/>
      <c r="I134" s="51">
        <f t="shared" si="21"/>
        <v>1</v>
      </c>
      <c r="J134" s="924"/>
      <c r="K134" s="51">
        <f t="shared" si="22"/>
        <v>1</v>
      </c>
      <c r="L134" s="924"/>
      <c r="M134" s="51">
        <f t="shared" si="23"/>
        <v>1</v>
      </c>
      <c r="N134" s="924"/>
      <c r="O134" s="51">
        <f t="shared" si="24"/>
        <v>1</v>
      </c>
      <c r="P134" s="924"/>
      <c r="Q134" s="51">
        <f t="shared" si="25"/>
        <v>1</v>
      </c>
      <c r="R134" s="467">
        <f t="shared" si="26"/>
        <v>0</v>
      </c>
      <c r="S134" s="765">
        <f t="shared" si="27"/>
        <v>0</v>
      </c>
    </row>
    <row r="135" spans="1:19">
      <c r="A135" s="926"/>
      <c r="B135" s="132"/>
      <c r="C135" s="51">
        <f t="shared" si="18"/>
        <v>1</v>
      </c>
      <c r="D135" s="924"/>
      <c r="E135" s="51">
        <f t="shared" si="19"/>
        <v>1</v>
      </c>
      <c r="F135" s="924"/>
      <c r="G135" s="51">
        <f t="shared" si="20"/>
        <v>1</v>
      </c>
      <c r="H135" s="924"/>
      <c r="I135" s="51">
        <f t="shared" si="21"/>
        <v>1</v>
      </c>
      <c r="J135" s="924"/>
      <c r="K135" s="51">
        <f t="shared" si="22"/>
        <v>1</v>
      </c>
      <c r="L135" s="924"/>
      <c r="M135" s="51">
        <f t="shared" si="23"/>
        <v>1</v>
      </c>
      <c r="N135" s="924"/>
      <c r="O135" s="51">
        <f t="shared" si="24"/>
        <v>1</v>
      </c>
      <c r="P135" s="924"/>
      <c r="Q135" s="51">
        <f t="shared" si="25"/>
        <v>1</v>
      </c>
      <c r="R135" s="467">
        <f t="shared" si="26"/>
        <v>0</v>
      </c>
      <c r="S135" s="765">
        <f t="shared" si="27"/>
        <v>0</v>
      </c>
    </row>
    <row r="136" spans="1:19">
      <c r="A136" s="926"/>
      <c r="B136" s="132"/>
      <c r="C136" s="51">
        <f t="shared" si="18"/>
        <v>1</v>
      </c>
      <c r="D136" s="924"/>
      <c r="E136" s="51">
        <f t="shared" si="19"/>
        <v>1</v>
      </c>
      <c r="F136" s="924"/>
      <c r="G136" s="51">
        <f t="shared" si="20"/>
        <v>1</v>
      </c>
      <c r="H136" s="924"/>
      <c r="I136" s="51">
        <f t="shared" si="21"/>
        <v>1</v>
      </c>
      <c r="J136" s="924"/>
      <c r="K136" s="51">
        <f t="shared" si="22"/>
        <v>1</v>
      </c>
      <c r="L136" s="924"/>
      <c r="M136" s="51">
        <f t="shared" si="23"/>
        <v>1</v>
      </c>
      <c r="N136" s="924"/>
      <c r="O136" s="51">
        <f t="shared" si="24"/>
        <v>1</v>
      </c>
      <c r="P136" s="924"/>
      <c r="Q136" s="51">
        <f t="shared" si="25"/>
        <v>1</v>
      </c>
      <c r="R136" s="467">
        <f t="shared" si="26"/>
        <v>0</v>
      </c>
      <c r="S136" s="765">
        <f t="shared" si="27"/>
        <v>0</v>
      </c>
    </row>
    <row r="137" spans="1:19">
      <c r="A137" s="926"/>
      <c r="B137" s="132"/>
      <c r="C137" s="51">
        <f t="shared" si="18"/>
        <v>1</v>
      </c>
      <c r="D137" s="924"/>
      <c r="E137" s="51">
        <f t="shared" si="19"/>
        <v>1</v>
      </c>
      <c r="F137" s="924"/>
      <c r="G137" s="51">
        <f t="shared" si="20"/>
        <v>1</v>
      </c>
      <c r="H137" s="924"/>
      <c r="I137" s="51">
        <f t="shared" si="21"/>
        <v>1</v>
      </c>
      <c r="J137" s="924"/>
      <c r="K137" s="51">
        <f t="shared" si="22"/>
        <v>1</v>
      </c>
      <c r="L137" s="924"/>
      <c r="M137" s="51">
        <f t="shared" si="23"/>
        <v>1</v>
      </c>
      <c r="N137" s="924"/>
      <c r="O137" s="51">
        <f t="shared" si="24"/>
        <v>1</v>
      </c>
      <c r="P137" s="924"/>
      <c r="Q137" s="51">
        <f t="shared" si="25"/>
        <v>1</v>
      </c>
      <c r="R137" s="467">
        <f t="shared" si="26"/>
        <v>0</v>
      </c>
      <c r="S137" s="765">
        <f t="shared" si="27"/>
        <v>0</v>
      </c>
    </row>
    <row r="138" spans="1:19">
      <c r="A138" s="926"/>
      <c r="B138" s="132"/>
      <c r="C138" s="51">
        <f t="shared" si="18"/>
        <v>1</v>
      </c>
      <c r="D138" s="924"/>
      <c r="E138" s="51">
        <f t="shared" si="19"/>
        <v>1</v>
      </c>
      <c r="F138" s="924"/>
      <c r="G138" s="51">
        <f t="shared" si="20"/>
        <v>1</v>
      </c>
      <c r="H138" s="924"/>
      <c r="I138" s="51">
        <f t="shared" si="21"/>
        <v>1</v>
      </c>
      <c r="J138" s="924"/>
      <c r="K138" s="51">
        <f t="shared" si="22"/>
        <v>1</v>
      </c>
      <c r="L138" s="924"/>
      <c r="M138" s="51">
        <f t="shared" si="23"/>
        <v>1</v>
      </c>
      <c r="N138" s="924"/>
      <c r="O138" s="51">
        <f t="shared" si="24"/>
        <v>1</v>
      </c>
      <c r="P138" s="924"/>
      <c r="Q138" s="51">
        <f t="shared" si="25"/>
        <v>1</v>
      </c>
      <c r="R138" s="467">
        <f t="shared" si="26"/>
        <v>0</v>
      </c>
      <c r="S138" s="765">
        <f t="shared" si="27"/>
        <v>0</v>
      </c>
    </row>
    <row r="139" spans="1:19">
      <c r="A139" s="926"/>
      <c r="B139" s="132"/>
      <c r="C139" s="51">
        <f t="shared" si="18"/>
        <v>1</v>
      </c>
      <c r="D139" s="924"/>
      <c r="E139" s="51">
        <f t="shared" si="19"/>
        <v>1</v>
      </c>
      <c r="F139" s="924"/>
      <c r="G139" s="51">
        <f t="shared" si="20"/>
        <v>1</v>
      </c>
      <c r="H139" s="924"/>
      <c r="I139" s="51">
        <f t="shared" si="21"/>
        <v>1</v>
      </c>
      <c r="J139" s="924"/>
      <c r="K139" s="51">
        <f t="shared" si="22"/>
        <v>1</v>
      </c>
      <c r="L139" s="924"/>
      <c r="M139" s="51">
        <f t="shared" si="23"/>
        <v>1</v>
      </c>
      <c r="N139" s="924"/>
      <c r="O139" s="51">
        <f t="shared" si="24"/>
        <v>1</v>
      </c>
      <c r="P139" s="924"/>
      <c r="Q139" s="51">
        <f t="shared" si="25"/>
        <v>1</v>
      </c>
      <c r="R139" s="467">
        <f t="shared" si="26"/>
        <v>0</v>
      </c>
      <c r="S139" s="765">
        <f t="shared" si="27"/>
        <v>0</v>
      </c>
    </row>
    <row r="140" spans="1:19">
      <c r="A140" s="926"/>
      <c r="B140" s="132"/>
      <c r="C140" s="51">
        <f t="shared" si="18"/>
        <v>1</v>
      </c>
      <c r="D140" s="924"/>
      <c r="E140" s="51">
        <f t="shared" si="19"/>
        <v>1</v>
      </c>
      <c r="F140" s="924"/>
      <c r="G140" s="51">
        <f t="shared" si="20"/>
        <v>1</v>
      </c>
      <c r="H140" s="924"/>
      <c r="I140" s="51">
        <f t="shared" si="21"/>
        <v>1</v>
      </c>
      <c r="J140" s="924"/>
      <c r="K140" s="51">
        <f t="shared" si="22"/>
        <v>1</v>
      </c>
      <c r="L140" s="924"/>
      <c r="M140" s="51">
        <f t="shared" si="23"/>
        <v>1</v>
      </c>
      <c r="N140" s="924"/>
      <c r="O140" s="51">
        <f t="shared" si="24"/>
        <v>1</v>
      </c>
      <c r="P140" s="924"/>
      <c r="Q140" s="51">
        <f t="shared" si="25"/>
        <v>1</v>
      </c>
      <c r="R140" s="467">
        <f t="shared" si="26"/>
        <v>0</v>
      </c>
      <c r="S140" s="765">
        <f t="shared" si="27"/>
        <v>0</v>
      </c>
    </row>
    <row r="141" spans="1:19">
      <c r="A141" s="926"/>
      <c r="B141" s="132"/>
      <c r="C141" s="51">
        <f t="shared" si="18"/>
        <v>1</v>
      </c>
      <c r="D141" s="924"/>
      <c r="E141" s="51">
        <f t="shared" si="19"/>
        <v>1</v>
      </c>
      <c r="F141" s="924"/>
      <c r="G141" s="51">
        <f t="shared" si="20"/>
        <v>1</v>
      </c>
      <c r="H141" s="924"/>
      <c r="I141" s="51">
        <f t="shared" si="21"/>
        <v>1</v>
      </c>
      <c r="J141" s="924"/>
      <c r="K141" s="51">
        <f t="shared" si="22"/>
        <v>1</v>
      </c>
      <c r="L141" s="924"/>
      <c r="M141" s="51">
        <f t="shared" si="23"/>
        <v>1</v>
      </c>
      <c r="N141" s="924"/>
      <c r="O141" s="51">
        <f t="shared" si="24"/>
        <v>1</v>
      </c>
      <c r="P141" s="924"/>
      <c r="Q141" s="51">
        <f t="shared" si="25"/>
        <v>1</v>
      </c>
      <c r="R141" s="467">
        <f t="shared" si="26"/>
        <v>0</v>
      </c>
      <c r="S141" s="765">
        <f t="shared" si="27"/>
        <v>0</v>
      </c>
    </row>
    <row r="142" spans="1:19">
      <c r="A142" s="926"/>
      <c r="B142" s="132"/>
      <c r="C142" s="51">
        <f t="shared" si="18"/>
        <v>1</v>
      </c>
      <c r="D142" s="924"/>
      <c r="E142" s="51">
        <f t="shared" si="19"/>
        <v>1</v>
      </c>
      <c r="F142" s="924"/>
      <c r="G142" s="51">
        <f t="shared" si="20"/>
        <v>1</v>
      </c>
      <c r="H142" s="924"/>
      <c r="I142" s="51">
        <f t="shared" si="21"/>
        <v>1</v>
      </c>
      <c r="J142" s="924"/>
      <c r="K142" s="51">
        <f t="shared" si="22"/>
        <v>1</v>
      </c>
      <c r="L142" s="924"/>
      <c r="M142" s="51">
        <f t="shared" si="23"/>
        <v>1</v>
      </c>
      <c r="N142" s="924"/>
      <c r="O142" s="51">
        <f t="shared" si="24"/>
        <v>1</v>
      </c>
      <c r="P142" s="924"/>
      <c r="Q142" s="51">
        <f t="shared" si="25"/>
        <v>1</v>
      </c>
      <c r="R142" s="467">
        <f t="shared" si="26"/>
        <v>0</v>
      </c>
      <c r="S142" s="765">
        <f t="shared" si="27"/>
        <v>0</v>
      </c>
    </row>
    <row r="143" spans="1:19">
      <c r="A143" s="926"/>
      <c r="B143" s="132"/>
      <c r="C143" s="51">
        <f t="shared" si="18"/>
        <v>1</v>
      </c>
      <c r="D143" s="924"/>
      <c r="E143" s="51">
        <f t="shared" si="19"/>
        <v>1</v>
      </c>
      <c r="F143" s="924"/>
      <c r="G143" s="51">
        <f t="shared" si="20"/>
        <v>1</v>
      </c>
      <c r="H143" s="924"/>
      <c r="I143" s="51">
        <f t="shared" si="21"/>
        <v>1</v>
      </c>
      <c r="J143" s="924"/>
      <c r="K143" s="51">
        <f t="shared" si="22"/>
        <v>1</v>
      </c>
      <c r="L143" s="924"/>
      <c r="M143" s="51">
        <f t="shared" si="23"/>
        <v>1</v>
      </c>
      <c r="N143" s="924"/>
      <c r="O143" s="51">
        <f t="shared" si="24"/>
        <v>1</v>
      </c>
      <c r="P143" s="924"/>
      <c r="Q143" s="51">
        <f t="shared" si="25"/>
        <v>1</v>
      </c>
      <c r="R143" s="467">
        <f t="shared" si="26"/>
        <v>0</v>
      </c>
      <c r="S143" s="765">
        <f t="shared" si="27"/>
        <v>0</v>
      </c>
    </row>
    <row r="144" spans="1:19">
      <c r="A144" s="926"/>
      <c r="B144" s="132"/>
      <c r="C144" s="51">
        <f t="shared" si="18"/>
        <v>1</v>
      </c>
      <c r="D144" s="924"/>
      <c r="E144" s="51">
        <f t="shared" si="19"/>
        <v>1</v>
      </c>
      <c r="F144" s="924"/>
      <c r="G144" s="51">
        <f t="shared" si="20"/>
        <v>1</v>
      </c>
      <c r="H144" s="924"/>
      <c r="I144" s="51">
        <f t="shared" si="21"/>
        <v>1</v>
      </c>
      <c r="J144" s="924"/>
      <c r="K144" s="51">
        <f t="shared" si="22"/>
        <v>1</v>
      </c>
      <c r="L144" s="924"/>
      <c r="M144" s="51">
        <f t="shared" si="23"/>
        <v>1</v>
      </c>
      <c r="N144" s="924"/>
      <c r="O144" s="51">
        <f t="shared" si="24"/>
        <v>1</v>
      </c>
      <c r="P144" s="924"/>
      <c r="Q144" s="51">
        <f t="shared" si="25"/>
        <v>1</v>
      </c>
      <c r="R144" s="467">
        <f t="shared" si="26"/>
        <v>0</v>
      </c>
      <c r="S144" s="765">
        <f t="shared" si="27"/>
        <v>0</v>
      </c>
    </row>
    <row r="145" spans="1:19">
      <c r="A145" s="926"/>
      <c r="B145" s="132"/>
      <c r="C145" s="51">
        <f t="shared" si="18"/>
        <v>1</v>
      </c>
      <c r="D145" s="924"/>
      <c r="E145" s="51">
        <f t="shared" si="19"/>
        <v>1</v>
      </c>
      <c r="F145" s="924"/>
      <c r="G145" s="51">
        <f t="shared" si="20"/>
        <v>1</v>
      </c>
      <c r="H145" s="924"/>
      <c r="I145" s="51">
        <f t="shared" si="21"/>
        <v>1</v>
      </c>
      <c r="J145" s="924"/>
      <c r="K145" s="51">
        <f t="shared" si="22"/>
        <v>1</v>
      </c>
      <c r="L145" s="924"/>
      <c r="M145" s="51">
        <f t="shared" si="23"/>
        <v>1</v>
      </c>
      <c r="N145" s="924"/>
      <c r="O145" s="51">
        <f t="shared" si="24"/>
        <v>1</v>
      </c>
      <c r="P145" s="924"/>
      <c r="Q145" s="51">
        <f t="shared" si="25"/>
        <v>1</v>
      </c>
      <c r="R145" s="467">
        <f t="shared" si="26"/>
        <v>0</v>
      </c>
      <c r="S145" s="765">
        <f t="shared" si="27"/>
        <v>0</v>
      </c>
    </row>
    <row r="146" spans="1:19">
      <c r="A146" s="926"/>
      <c r="B146" s="132"/>
      <c r="C146" s="51">
        <f t="shared" si="18"/>
        <v>1</v>
      </c>
      <c r="D146" s="924"/>
      <c r="E146" s="51">
        <f t="shared" si="19"/>
        <v>1</v>
      </c>
      <c r="F146" s="924"/>
      <c r="G146" s="51">
        <f t="shared" si="20"/>
        <v>1</v>
      </c>
      <c r="H146" s="924"/>
      <c r="I146" s="51">
        <f t="shared" si="21"/>
        <v>1</v>
      </c>
      <c r="J146" s="924"/>
      <c r="K146" s="51">
        <f t="shared" si="22"/>
        <v>1</v>
      </c>
      <c r="L146" s="924"/>
      <c r="M146" s="51">
        <f t="shared" si="23"/>
        <v>1</v>
      </c>
      <c r="N146" s="924"/>
      <c r="O146" s="51">
        <f t="shared" si="24"/>
        <v>1</v>
      </c>
      <c r="P146" s="924"/>
      <c r="Q146" s="51">
        <f t="shared" si="25"/>
        <v>1</v>
      </c>
      <c r="R146" s="467">
        <f t="shared" si="26"/>
        <v>0</v>
      </c>
      <c r="S146" s="765">
        <f t="shared" si="27"/>
        <v>0</v>
      </c>
    </row>
    <row r="147" spans="1:19">
      <c r="A147" s="926"/>
      <c r="B147" s="132"/>
      <c r="C147" s="51">
        <f t="shared" si="18"/>
        <v>1</v>
      </c>
      <c r="D147" s="924"/>
      <c r="E147" s="51">
        <f t="shared" si="19"/>
        <v>1</v>
      </c>
      <c r="F147" s="924"/>
      <c r="G147" s="51">
        <f t="shared" si="20"/>
        <v>1</v>
      </c>
      <c r="H147" s="924"/>
      <c r="I147" s="51">
        <f t="shared" si="21"/>
        <v>1</v>
      </c>
      <c r="J147" s="924"/>
      <c r="K147" s="51">
        <f t="shared" si="22"/>
        <v>1</v>
      </c>
      <c r="L147" s="924"/>
      <c r="M147" s="51">
        <f t="shared" si="23"/>
        <v>1</v>
      </c>
      <c r="N147" s="924"/>
      <c r="O147" s="51">
        <f t="shared" si="24"/>
        <v>1</v>
      </c>
      <c r="P147" s="924"/>
      <c r="Q147" s="51">
        <f t="shared" si="25"/>
        <v>1</v>
      </c>
      <c r="R147" s="467">
        <f t="shared" si="26"/>
        <v>0</v>
      </c>
      <c r="S147" s="765">
        <f t="shared" si="27"/>
        <v>0</v>
      </c>
    </row>
    <row r="148" spans="1:19">
      <c r="A148" s="926"/>
      <c r="B148" s="132"/>
      <c r="C148" s="51">
        <f t="shared" si="18"/>
        <v>1</v>
      </c>
      <c r="D148" s="924"/>
      <c r="E148" s="51">
        <f t="shared" si="19"/>
        <v>1</v>
      </c>
      <c r="F148" s="924"/>
      <c r="G148" s="51">
        <f t="shared" si="20"/>
        <v>1</v>
      </c>
      <c r="H148" s="924"/>
      <c r="I148" s="51">
        <f t="shared" si="21"/>
        <v>1</v>
      </c>
      <c r="J148" s="924"/>
      <c r="K148" s="51">
        <f t="shared" si="22"/>
        <v>1</v>
      </c>
      <c r="L148" s="924"/>
      <c r="M148" s="51">
        <f t="shared" si="23"/>
        <v>1</v>
      </c>
      <c r="N148" s="924"/>
      <c r="O148" s="51">
        <f t="shared" si="24"/>
        <v>1</v>
      </c>
      <c r="P148" s="924"/>
      <c r="Q148" s="51">
        <f t="shared" si="25"/>
        <v>1</v>
      </c>
      <c r="R148" s="467">
        <f t="shared" si="26"/>
        <v>0</v>
      </c>
      <c r="S148" s="765">
        <f t="shared" si="27"/>
        <v>0</v>
      </c>
    </row>
    <row r="149" spans="1:19">
      <c r="A149" s="926"/>
      <c r="B149" s="132"/>
      <c r="C149" s="51">
        <f t="shared" si="18"/>
        <v>1</v>
      </c>
      <c r="D149" s="924"/>
      <c r="E149" s="51">
        <f t="shared" si="19"/>
        <v>1</v>
      </c>
      <c r="F149" s="924"/>
      <c r="G149" s="51">
        <f t="shared" si="20"/>
        <v>1</v>
      </c>
      <c r="H149" s="924"/>
      <c r="I149" s="51">
        <f t="shared" si="21"/>
        <v>1</v>
      </c>
      <c r="J149" s="924"/>
      <c r="K149" s="51">
        <f t="shared" si="22"/>
        <v>1</v>
      </c>
      <c r="L149" s="924"/>
      <c r="M149" s="51">
        <f t="shared" si="23"/>
        <v>1</v>
      </c>
      <c r="N149" s="924"/>
      <c r="O149" s="51">
        <f t="shared" si="24"/>
        <v>1</v>
      </c>
      <c r="P149" s="924"/>
      <c r="Q149" s="51">
        <f t="shared" si="25"/>
        <v>1</v>
      </c>
      <c r="R149" s="467">
        <f t="shared" si="26"/>
        <v>0</v>
      </c>
      <c r="S149" s="765">
        <f t="shared" si="27"/>
        <v>0</v>
      </c>
    </row>
    <row r="150" spans="1:19">
      <c r="A150" s="926"/>
      <c r="B150" s="132"/>
      <c r="C150" s="51">
        <f t="shared" si="18"/>
        <v>1</v>
      </c>
      <c r="D150" s="924"/>
      <c r="E150" s="51">
        <f t="shared" si="19"/>
        <v>1</v>
      </c>
      <c r="F150" s="924"/>
      <c r="G150" s="51">
        <f t="shared" si="20"/>
        <v>1</v>
      </c>
      <c r="H150" s="924"/>
      <c r="I150" s="51">
        <f t="shared" si="21"/>
        <v>1</v>
      </c>
      <c r="J150" s="924"/>
      <c r="K150" s="51">
        <f t="shared" si="22"/>
        <v>1</v>
      </c>
      <c r="L150" s="924"/>
      <c r="M150" s="51">
        <f t="shared" si="23"/>
        <v>1</v>
      </c>
      <c r="N150" s="924"/>
      <c r="O150" s="51">
        <f t="shared" si="24"/>
        <v>1</v>
      </c>
      <c r="P150" s="924"/>
      <c r="Q150" s="51">
        <f t="shared" si="25"/>
        <v>1</v>
      </c>
      <c r="R150" s="467">
        <f t="shared" si="26"/>
        <v>0</v>
      </c>
      <c r="S150" s="765">
        <f t="shared" si="27"/>
        <v>0</v>
      </c>
    </row>
    <row r="151" spans="1:19">
      <c r="A151" s="926"/>
      <c r="B151" s="132"/>
      <c r="C151" s="51">
        <f t="shared" si="18"/>
        <v>1</v>
      </c>
      <c r="D151" s="924"/>
      <c r="E151" s="51">
        <f t="shared" si="19"/>
        <v>1</v>
      </c>
      <c r="F151" s="924"/>
      <c r="G151" s="51">
        <f t="shared" si="20"/>
        <v>1</v>
      </c>
      <c r="H151" s="924"/>
      <c r="I151" s="51">
        <f t="shared" si="21"/>
        <v>1</v>
      </c>
      <c r="J151" s="924"/>
      <c r="K151" s="51">
        <f t="shared" si="22"/>
        <v>1</v>
      </c>
      <c r="L151" s="924"/>
      <c r="M151" s="51">
        <f t="shared" si="23"/>
        <v>1</v>
      </c>
      <c r="N151" s="924"/>
      <c r="O151" s="51">
        <f t="shared" si="24"/>
        <v>1</v>
      </c>
      <c r="P151" s="924"/>
      <c r="Q151" s="51">
        <f t="shared" si="25"/>
        <v>1</v>
      </c>
      <c r="R151" s="467">
        <f t="shared" si="26"/>
        <v>0</v>
      </c>
      <c r="S151" s="765">
        <f t="shared" si="27"/>
        <v>0</v>
      </c>
    </row>
    <row r="152" spans="1:19">
      <c r="A152" s="926"/>
      <c r="B152" s="132"/>
      <c r="C152" s="51">
        <f t="shared" si="18"/>
        <v>1</v>
      </c>
      <c r="D152" s="924"/>
      <c r="E152" s="51">
        <f t="shared" si="19"/>
        <v>1</v>
      </c>
      <c r="F152" s="924"/>
      <c r="G152" s="51">
        <f t="shared" si="20"/>
        <v>1</v>
      </c>
      <c r="H152" s="924"/>
      <c r="I152" s="51">
        <f t="shared" si="21"/>
        <v>1</v>
      </c>
      <c r="J152" s="924"/>
      <c r="K152" s="51">
        <f t="shared" si="22"/>
        <v>1</v>
      </c>
      <c r="L152" s="924"/>
      <c r="M152" s="51">
        <f t="shared" si="23"/>
        <v>1</v>
      </c>
      <c r="N152" s="924"/>
      <c r="O152" s="51">
        <f t="shared" si="24"/>
        <v>1</v>
      </c>
      <c r="P152" s="924"/>
      <c r="Q152" s="51">
        <f t="shared" si="25"/>
        <v>1</v>
      </c>
      <c r="R152" s="467">
        <f t="shared" si="26"/>
        <v>0</v>
      </c>
      <c r="S152" s="765">
        <f t="shared" si="27"/>
        <v>0</v>
      </c>
    </row>
    <row r="153" spans="1:19">
      <c r="A153" s="926"/>
      <c r="B153" s="132"/>
      <c r="C153" s="51">
        <f t="shared" si="18"/>
        <v>1</v>
      </c>
      <c r="D153" s="924"/>
      <c r="E153" s="51">
        <f t="shared" si="19"/>
        <v>1</v>
      </c>
      <c r="F153" s="924"/>
      <c r="G153" s="51">
        <f t="shared" si="20"/>
        <v>1</v>
      </c>
      <c r="H153" s="924"/>
      <c r="I153" s="51">
        <f t="shared" si="21"/>
        <v>1</v>
      </c>
      <c r="J153" s="924"/>
      <c r="K153" s="51">
        <f t="shared" si="22"/>
        <v>1</v>
      </c>
      <c r="L153" s="924"/>
      <c r="M153" s="51">
        <f t="shared" si="23"/>
        <v>1</v>
      </c>
      <c r="N153" s="924"/>
      <c r="O153" s="51">
        <f t="shared" si="24"/>
        <v>1</v>
      </c>
      <c r="P153" s="924"/>
      <c r="Q153" s="51">
        <f t="shared" si="25"/>
        <v>1</v>
      </c>
      <c r="R153" s="467">
        <f t="shared" si="26"/>
        <v>0</v>
      </c>
      <c r="S153" s="765">
        <f t="shared" si="27"/>
        <v>0</v>
      </c>
    </row>
    <row r="154" spans="1:19">
      <c r="A154" s="926"/>
      <c r="B154" s="132"/>
      <c r="C154" s="51">
        <f t="shared" ref="C154:C217" si="28">IF(B154="",1,(LOOKUP(B154,$3:$3,$4:$4)-LOOKUP($B$24,$3:$3,$4:$4)+100)/100)</f>
        <v>1</v>
      </c>
      <c r="D154" s="924"/>
      <c r="E154" s="51">
        <f t="shared" ref="E154:E217" si="29">(SUMIF($5:$5,D154,$6:$6)-SUMIF($5:$5,$D$24,$6:$6)+100)/100</f>
        <v>1</v>
      </c>
      <c r="F154" s="924"/>
      <c r="G154" s="51">
        <f t="shared" ref="G154:G217" si="30">(SUMIF($7:$7,F154,$8:$8)-SUMIF($7:$7,$F$24,$8:$8)+100)/100</f>
        <v>1</v>
      </c>
      <c r="H154" s="924"/>
      <c r="I154" s="51">
        <f t="shared" ref="I154:I217" si="31">(SUMIF($9:$9,H154,$10:$10)-SUMIF($9:$9,$H$24,$10:$10)+100)/100</f>
        <v>1</v>
      </c>
      <c r="J154" s="924"/>
      <c r="K154" s="51">
        <f t="shared" ref="K154:K217" si="32">(SUMIF($11:$11,J154,$12:$12)-SUMIF($11:$11,$J$24,$12:$12)+100)/100</f>
        <v>1</v>
      </c>
      <c r="L154" s="924"/>
      <c r="M154" s="51">
        <f t="shared" ref="M154:M217" si="33">(SUMIF($13:$13,L154,$14:$14)-SUMIF($13:$13,$L$24,$14:$14)+100)/100</f>
        <v>1</v>
      </c>
      <c r="N154" s="924"/>
      <c r="O154" s="51">
        <f t="shared" ref="O154:O217" si="34">(SUMIF($15:$15,N154,$16:$16)-SUMIF($15:$15,$N$24,$16:$16)+100)/100</f>
        <v>1</v>
      </c>
      <c r="P154" s="924"/>
      <c r="Q154" s="51">
        <f t="shared" ref="Q154:Q217" si="35">(SUMIF($17:$17,P154,$18:$18)-SUMIF($17:$17,$P$24,$18:$18)+100)/100</f>
        <v>1</v>
      </c>
      <c r="R154" s="467">
        <f t="shared" ref="R154:R217" si="36">IF(B154="",0,ROUND($R$24*C154*E154*G154*I154*K154*M154*O154*Q154,0))</f>
        <v>0</v>
      </c>
      <c r="S154" s="765">
        <f t="shared" si="27"/>
        <v>0</v>
      </c>
    </row>
    <row r="155" spans="1:19">
      <c r="A155" s="926"/>
      <c r="B155" s="132"/>
      <c r="C155" s="51">
        <f t="shared" si="28"/>
        <v>1</v>
      </c>
      <c r="D155" s="924"/>
      <c r="E155" s="51">
        <f t="shared" si="29"/>
        <v>1</v>
      </c>
      <c r="F155" s="924"/>
      <c r="G155" s="51">
        <f t="shared" si="30"/>
        <v>1</v>
      </c>
      <c r="H155" s="924"/>
      <c r="I155" s="51">
        <f t="shared" si="31"/>
        <v>1</v>
      </c>
      <c r="J155" s="924"/>
      <c r="K155" s="51">
        <f t="shared" si="32"/>
        <v>1</v>
      </c>
      <c r="L155" s="924"/>
      <c r="M155" s="51">
        <f t="shared" si="33"/>
        <v>1</v>
      </c>
      <c r="N155" s="924"/>
      <c r="O155" s="51">
        <f t="shared" si="34"/>
        <v>1</v>
      </c>
      <c r="P155" s="924"/>
      <c r="Q155" s="51">
        <f t="shared" si="35"/>
        <v>1</v>
      </c>
      <c r="R155" s="467">
        <f t="shared" si="36"/>
        <v>0</v>
      </c>
      <c r="S155" s="765">
        <f t="shared" si="27"/>
        <v>0</v>
      </c>
    </row>
    <row r="156" spans="1:19">
      <c r="A156" s="926"/>
      <c r="B156" s="132"/>
      <c r="C156" s="51">
        <f t="shared" si="28"/>
        <v>1</v>
      </c>
      <c r="D156" s="924"/>
      <c r="E156" s="51">
        <f t="shared" si="29"/>
        <v>1</v>
      </c>
      <c r="F156" s="924"/>
      <c r="G156" s="51">
        <f t="shared" si="30"/>
        <v>1</v>
      </c>
      <c r="H156" s="924"/>
      <c r="I156" s="51">
        <f t="shared" si="31"/>
        <v>1</v>
      </c>
      <c r="J156" s="924"/>
      <c r="K156" s="51">
        <f t="shared" si="32"/>
        <v>1</v>
      </c>
      <c r="L156" s="924"/>
      <c r="M156" s="51">
        <f t="shared" si="33"/>
        <v>1</v>
      </c>
      <c r="N156" s="924"/>
      <c r="O156" s="51">
        <f t="shared" si="34"/>
        <v>1</v>
      </c>
      <c r="P156" s="924"/>
      <c r="Q156" s="51">
        <f t="shared" si="35"/>
        <v>1</v>
      </c>
      <c r="R156" s="467">
        <f t="shared" si="36"/>
        <v>0</v>
      </c>
      <c r="S156" s="765">
        <f t="shared" si="27"/>
        <v>0</v>
      </c>
    </row>
    <row r="157" spans="1:19">
      <c r="A157" s="926"/>
      <c r="B157" s="132"/>
      <c r="C157" s="51">
        <f t="shared" si="28"/>
        <v>1</v>
      </c>
      <c r="D157" s="924"/>
      <c r="E157" s="51">
        <f t="shared" si="29"/>
        <v>1</v>
      </c>
      <c r="F157" s="924"/>
      <c r="G157" s="51">
        <f t="shared" si="30"/>
        <v>1</v>
      </c>
      <c r="H157" s="924"/>
      <c r="I157" s="51">
        <f t="shared" si="31"/>
        <v>1</v>
      </c>
      <c r="J157" s="924"/>
      <c r="K157" s="51">
        <f t="shared" si="32"/>
        <v>1</v>
      </c>
      <c r="L157" s="924"/>
      <c r="M157" s="51">
        <f t="shared" si="33"/>
        <v>1</v>
      </c>
      <c r="N157" s="924"/>
      <c r="O157" s="51">
        <f t="shared" si="34"/>
        <v>1</v>
      </c>
      <c r="P157" s="924"/>
      <c r="Q157" s="51">
        <f t="shared" si="35"/>
        <v>1</v>
      </c>
      <c r="R157" s="467">
        <f t="shared" si="36"/>
        <v>0</v>
      </c>
      <c r="S157" s="765">
        <f t="shared" si="27"/>
        <v>0</v>
      </c>
    </row>
    <row r="158" spans="1:19">
      <c r="A158" s="926"/>
      <c r="B158" s="132"/>
      <c r="C158" s="51">
        <f t="shared" si="28"/>
        <v>1</v>
      </c>
      <c r="D158" s="924"/>
      <c r="E158" s="51">
        <f t="shared" si="29"/>
        <v>1</v>
      </c>
      <c r="F158" s="924"/>
      <c r="G158" s="51">
        <f t="shared" si="30"/>
        <v>1</v>
      </c>
      <c r="H158" s="924"/>
      <c r="I158" s="51">
        <f t="shared" si="31"/>
        <v>1</v>
      </c>
      <c r="J158" s="924"/>
      <c r="K158" s="51">
        <f t="shared" si="32"/>
        <v>1</v>
      </c>
      <c r="L158" s="924"/>
      <c r="M158" s="51">
        <f t="shared" si="33"/>
        <v>1</v>
      </c>
      <c r="N158" s="924"/>
      <c r="O158" s="51">
        <f t="shared" si="34"/>
        <v>1</v>
      </c>
      <c r="P158" s="924"/>
      <c r="Q158" s="51">
        <f t="shared" si="35"/>
        <v>1</v>
      </c>
      <c r="R158" s="467">
        <f t="shared" si="36"/>
        <v>0</v>
      </c>
      <c r="S158" s="765">
        <f t="shared" si="27"/>
        <v>0</v>
      </c>
    </row>
    <row r="159" spans="1:19">
      <c r="A159" s="926"/>
      <c r="B159" s="132"/>
      <c r="C159" s="51">
        <f t="shared" si="28"/>
        <v>1</v>
      </c>
      <c r="D159" s="924"/>
      <c r="E159" s="51">
        <f t="shared" si="29"/>
        <v>1</v>
      </c>
      <c r="F159" s="924"/>
      <c r="G159" s="51">
        <f t="shared" si="30"/>
        <v>1</v>
      </c>
      <c r="H159" s="924"/>
      <c r="I159" s="51">
        <f t="shared" si="31"/>
        <v>1</v>
      </c>
      <c r="J159" s="924"/>
      <c r="K159" s="51">
        <f t="shared" si="32"/>
        <v>1</v>
      </c>
      <c r="L159" s="924"/>
      <c r="M159" s="51">
        <f t="shared" si="33"/>
        <v>1</v>
      </c>
      <c r="N159" s="924"/>
      <c r="O159" s="51">
        <f t="shared" si="34"/>
        <v>1</v>
      </c>
      <c r="P159" s="924"/>
      <c r="Q159" s="51">
        <f t="shared" si="35"/>
        <v>1</v>
      </c>
      <c r="R159" s="467">
        <f t="shared" si="36"/>
        <v>0</v>
      </c>
      <c r="S159" s="765">
        <f t="shared" si="27"/>
        <v>0</v>
      </c>
    </row>
    <row r="160" spans="1:19">
      <c r="A160" s="926"/>
      <c r="B160" s="132"/>
      <c r="C160" s="51">
        <f t="shared" si="28"/>
        <v>1</v>
      </c>
      <c r="D160" s="924"/>
      <c r="E160" s="51">
        <f t="shared" si="29"/>
        <v>1</v>
      </c>
      <c r="F160" s="924"/>
      <c r="G160" s="51">
        <f t="shared" si="30"/>
        <v>1</v>
      </c>
      <c r="H160" s="924"/>
      <c r="I160" s="51">
        <f t="shared" si="31"/>
        <v>1</v>
      </c>
      <c r="J160" s="924"/>
      <c r="K160" s="51">
        <f t="shared" si="32"/>
        <v>1</v>
      </c>
      <c r="L160" s="924"/>
      <c r="M160" s="51">
        <f t="shared" si="33"/>
        <v>1</v>
      </c>
      <c r="N160" s="924"/>
      <c r="O160" s="51">
        <f t="shared" si="34"/>
        <v>1</v>
      </c>
      <c r="P160" s="924"/>
      <c r="Q160" s="51">
        <f t="shared" si="35"/>
        <v>1</v>
      </c>
      <c r="R160" s="467">
        <f t="shared" si="36"/>
        <v>0</v>
      </c>
      <c r="S160" s="765">
        <f t="shared" si="27"/>
        <v>0</v>
      </c>
    </row>
    <row r="161" spans="1:19">
      <c r="A161" s="926"/>
      <c r="B161" s="132"/>
      <c r="C161" s="51">
        <f t="shared" si="28"/>
        <v>1</v>
      </c>
      <c r="D161" s="924"/>
      <c r="E161" s="51">
        <f t="shared" si="29"/>
        <v>1</v>
      </c>
      <c r="F161" s="924"/>
      <c r="G161" s="51">
        <f t="shared" si="30"/>
        <v>1</v>
      </c>
      <c r="H161" s="924"/>
      <c r="I161" s="51">
        <f t="shared" si="31"/>
        <v>1</v>
      </c>
      <c r="J161" s="924"/>
      <c r="K161" s="51">
        <f t="shared" si="32"/>
        <v>1</v>
      </c>
      <c r="L161" s="924"/>
      <c r="M161" s="51">
        <f t="shared" si="33"/>
        <v>1</v>
      </c>
      <c r="N161" s="924"/>
      <c r="O161" s="51">
        <f t="shared" si="34"/>
        <v>1</v>
      </c>
      <c r="P161" s="924"/>
      <c r="Q161" s="51">
        <f t="shared" si="35"/>
        <v>1</v>
      </c>
      <c r="R161" s="467">
        <f t="shared" si="36"/>
        <v>0</v>
      </c>
      <c r="S161" s="765">
        <f t="shared" si="27"/>
        <v>0</v>
      </c>
    </row>
    <row r="162" spans="1:19">
      <c r="A162" s="926"/>
      <c r="B162" s="132"/>
      <c r="C162" s="51">
        <f t="shared" si="28"/>
        <v>1</v>
      </c>
      <c r="D162" s="924"/>
      <c r="E162" s="51">
        <f t="shared" si="29"/>
        <v>1</v>
      </c>
      <c r="F162" s="924"/>
      <c r="G162" s="51">
        <f t="shared" si="30"/>
        <v>1</v>
      </c>
      <c r="H162" s="924"/>
      <c r="I162" s="51">
        <f t="shared" si="31"/>
        <v>1</v>
      </c>
      <c r="J162" s="924"/>
      <c r="K162" s="51">
        <f t="shared" si="32"/>
        <v>1</v>
      </c>
      <c r="L162" s="924"/>
      <c r="M162" s="51">
        <f t="shared" si="33"/>
        <v>1</v>
      </c>
      <c r="N162" s="924"/>
      <c r="O162" s="51">
        <f t="shared" si="34"/>
        <v>1</v>
      </c>
      <c r="P162" s="924"/>
      <c r="Q162" s="51">
        <f t="shared" si="35"/>
        <v>1</v>
      </c>
      <c r="R162" s="467">
        <f t="shared" si="36"/>
        <v>0</v>
      </c>
      <c r="S162" s="765">
        <f t="shared" si="27"/>
        <v>0</v>
      </c>
    </row>
    <row r="163" spans="1:19">
      <c r="A163" s="926"/>
      <c r="B163" s="132"/>
      <c r="C163" s="51">
        <f t="shared" si="28"/>
        <v>1</v>
      </c>
      <c r="D163" s="924"/>
      <c r="E163" s="51">
        <f t="shared" si="29"/>
        <v>1</v>
      </c>
      <c r="F163" s="924"/>
      <c r="G163" s="51">
        <f t="shared" si="30"/>
        <v>1</v>
      </c>
      <c r="H163" s="924"/>
      <c r="I163" s="51">
        <f t="shared" si="31"/>
        <v>1</v>
      </c>
      <c r="J163" s="924"/>
      <c r="K163" s="51">
        <f t="shared" si="32"/>
        <v>1</v>
      </c>
      <c r="L163" s="924"/>
      <c r="M163" s="51">
        <f t="shared" si="33"/>
        <v>1</v>
      </c>
      <c r="N163" s="924"/>
      <c r="O163" s="51">
        <f t="shared" si="34"/>
        <v>1</v>
      </c>
      <c r="P163" s="924"/>
      <c r="Q163" s="51">
        <f t="shared" si="35"/>
        <v>1</v>
      </c>
      <c r="R163" s="467">
        <f t="shared" si="36"/>
        <v>0</v>
      </c>
      <c r="S163" s="765">
        <f t="shared" si="27"/>
        <v>0</v>
      </c>
    </row>
    <row r="164" spans="1:19">
      <c r="A164" s="926"/>
      <c r="B164" s="132"/>
      <c r="C164" s="51">
        <f t="shared" si="28"/>
        <v>1</v>
      </c>
      <c r="D164" s="924"/>
      <c r="E164" s="51">
        <f t="shared" si="29"/>
        <v>1</v>
      </c>
      <c r="F164" s="924"/>
      <c r="G164" s="51">
        <f t="shared" si="30"/>
        <v>1</v>
      </c>
      <c r="H164" s="924"/>
      <c r="I164" s="51">
        <f t="shared" si="31"/>
        <v>1</v>
      </c>
      <c r="J164" s="924"/>
      <c r="K164" s="51">
        <f t="shared" si="32"/>
        <v>1</v>
      </c>
      <c r="L164" s="924"/>
      <c r="M164" s="51">
        <f t="shared" si="33"/>
        <v>1</v>
      </c>
      <c r="N164" s="924"/>
      <c r="O164" s="51">
        <f t="shared" si="34"/>
        <v>1</v>
      </c>
      <c r="P164" s="924"/>
      <c r="Q164" s="51">
        <f t="shared" si="35"/>
        <v>1</v>
      </c>
      <c r="R164" s="467">
        <f t="shared" si="36"/>
        <v>0</v>
      </c>
      <c r="S164" s="765">
        <f t="shared" si="27"/>
        <v>0</v>
      </c>
    </row>
    <row r="165" spans="1:19">
      <c r="A165" s="926"/>
      <c r="B165" s="132"/>
      <c r="C165" s="51">
        <f t="shared" si="28"/>
        <v>1</v>
      </c>
      <c r="D165" s="924"/>
      <c r="E165" s="51">
        <f t="shared" si="29"/>
        <v>1</v>
      </c>
      <c r="F165" s="924"/>
      <c r="G165" s="51">
        <f t="shared" si="30"/>
        <v>1</v>
      </c>
      <c r="H165" s="924"/>
      <c r="I165" s="51">
        <f t="shared" si="31"/>
        <v>1</v>
      </c>
      <c r="J165" s="924"/>
      <c r="K165" s="51">
        <f t="shared" si="32"/>
        <v>1</v>
      </c>
      <c r="L165" s="924"/>
      <c r="M165" s="51">
        <f t="shared" si="33"/>
        <v>1</v>
      </c>
      <c r="N165" s="924"/>
      <c r="O165" s="51">
        <f t="shared" si="34"/>
        <v>1</v>
      </c>
      <c r="P165" s="924"/>
      <c r="Q165" s="51">
        <f t="shared" si="35"/>
        <v>1</v>
      </c>
      <c r="R165" s="467">
        <f t="shared" si="36"/>
        <v>0</v>
      </c>
      <c r="S165" s="765">
        <f t="shared" si="27"/>
        <v>0</v>
      </c>
    </row>
    <row r="166" spans="1:19">
      <c r="A166" s="926"/>
      <c r="B166" s="132"/>
      <c r="C166" s="51">
        <f t="shared" si="28"/>
        <v>1</v>
      </c>
      <c r="D166" s="924"/>
      <c r="E166" s="51">
        <f t="shared" si="29"/>
        <v>1</v>
      </c>
      <c r="F166" s="924"/>
      <c r="G166" s="51">
        <f t="shared" si="30"/>
        <v>1</v>
      </c>
      <c r="H166" s="924"/>
      <c r="I166" s="51">
        <f t="shared" si="31"/>
        <v>1</v>
      </c>
      <c r="J166" s="924"/>
      <c r="K166" s="51">
        <f t="shared" si="32"/>
        <v>1</v>
      </c>
      <c r="L166" s="924"/>
      <c r="M166" s="51">
        <f t="shared" si="33"/>
        <v>1</v>
      </c>
      <c r="N166" s="924"/>
      <c r="O166" s="51">
        <f t="shared" si="34"/>
        <v>1</v>
      </c>
      <c r="P166" s="924"/>
      <c r="Q166" s="51">
        <f t="shared" si="35"/>
        <v>1</v>
      </c>
      <c r="R166" s="467">
        <f t="shared" si="36"/>
        <v>0</v>
      </c>
      <c r="S166" s="765">
        <f t="shared" si="27"/>
        <v>0</v>
      </c>
    </row>
    <row r="167" spans="1:19">
      <c r="A167" s="926"/>
      <c r="B167" s="132"/>
      <c r="C167" s="51">
        <f t="shared" si="28"/>
        <v>1</v>
      </c>
      <c r="D167" s="924"/>
      <c r="E167" s="51">
        <f t="shared" si="29"/>
        <v>1</v>
      </c>
      <c r="F167" s="924"/>
      <c r="G167" s="51">
        <f t="shared" si="30"/>
        <v>1</v>
      </c>
      <c r="H167" s="924"/>
      <c r="I167" s="51">
        <f t="shared" si="31"/>
        <v>1</v>
      </c>
      <c r="J167" s="924"/>
      <c r="K167" s="51">
        <f t="shared" si="32"/>
        <v>1</v>
      </c>
      <c r="L167" s="924"/>
      <c r="M167" s="51">
        <f t="shared" si="33"/>
        <v>1</v>
      </c>
      <c r="N167" s="924"/>
      <c r="O167" s="51">
        <f t="shared" si="34"/>
        <v>1</v>
      </c>
      <c r="P167" s="924"/>
      <c r="Q167" s="51">
        <f t="shared" si="35"/>
        <v>1</v>
      </c>
      <c r="R167" s="467">
        <f t="shared" si="36"/>
        <v>0</v>
      </c>
      <c r="S167" s="765">
        <f t="shared" si="27"/>
        <v>0</v>
      </c>
    </row>
    <row r="168" spans="1:19">
      <c r="A168" s="926"/>
      <c r="B168" s="132"/>
      <c r="C168" s="51">
        <f t="shared" si="28"/>
        <v>1</v>
      </c>
      <c r="D168" s="924"/>
      <c r="E168" s="51">
        <f t="shared" si="29"/>
        <v>1</v>
      </c>
      <c r="F168" s="924"/>
      <c r="G168" s="51">
        <f t="shared" si="30"/>
        <v>1</v>
      </c>
      <c r="H168" s="924"/>
      <c r="I168" s="51">
        <f t="shared" si="31"/>
        <v>1</v>
      </c>
      <c r="J168" s="924"/>
      <c r="K168" s="51">
        <f t="shared" si="32"/>
        <v>1</v>
      </c>
      <c r="L168" s="924"/>
      <c r="M168" s="51">
        <f t="shared" si="33"/>
        <v>1</v>
      </c>
      <c r="N168" s="924"/>
      <c r="O168" s="51">
        <f t="shared" si="34"/>
        <v>1</v>
      </c>
      <c r="P168" s="924"/>
      <c r="Q168" s="51">
        <f t="shared" si="35"/>
        <v>1</v>
      </c>
      <c r="R168" s="467">
        <f t="shared" si="36"/>
        <v>0</v>
      </c>
      <c r="S168" s="765">
        <f t="shared" si="27"/>
        <v>0</v>
      </c>
    </row>
    <row r="169" spans="1:19">
      <c r="A169" s="926"/>
      <c r="B169" s="132"/>
      <c r="C169" s="51">
        <f t="shared" si="28"/>
        <v>1</v>
      </c>
      <c r="D169" s="924"/>
      <c r="E169" s="51">
        <f t="shared" si="29"/>
        <v>1</v>
      </c>
      <c r="F169" s="924"/>
      <c r="G169" s="51">
        <f t="shared" si="30"/>
        <v>1</v>
      </c>
      <c r="H169" s="924"/>
      <c r="I169" s="51">
        <f t="shared" si="31"/>
        <v>1</v>
      </c>
      <c r="J169" s="924"/>
      <c r="K169" s="51">
        <f t="shared" si="32"/>
        <v>1</v>
      </c>
      <c r="L169" s="924"/>
      <c r="M169" s="51">
        <f t="shared" si="33"/>
        <v>1</v>
      </c>
      <c r="N169" s="924"/>
      <c r="O169" s="51">
        <f t="shared" si="34"/>
        <v>1</v>
      </c>
      <c r="P169" s="924"/>
      <c r="Q169" s="51">
        <f t="shared" si="35"/>
        <v>1</v>
      </c>
      <c r="R169" s="467">
        <f t="shared" si="36"/>
        <v>0</v>
      </c>
      <c r="S169" s="765">
        <f t="shared" si="27"/>
        <v>0</v>
      </c>
    </row>
    <row r="170" spans="1:19">
      <c r="A170" s="926"/>
      <c r="B170" s="132"/>
      <c r="C170" s="51">
        <f t="shared" si="28"/>
        <v>1</v>
      </c>
      <c r="D170" s="924"/>
      <c r="E170" s="51">
        <f t="shared" si="29"/>
        <v>1</v>
      </c>
      <c r="F170" s="924"/>
      <c r="G170" s="51">
        <f t="shared" si="30"/>
        <v>1</v>
      </c>
      <c r="H170" s="924"/>
      <c r="I170" s="51">
        <f t="shared" si="31"/>
        <v>1</v>
      </c>
      <c r="J170" s="924"/>
      <c r="K170" s="51">
        <f t="shared" si="32"/>
        <v>1</v>
      </c>
      <c r="L170" s="924"/>
      <c r="M170" s="51">
        <f t="shared" si="33"/>
        <v>1</v>
      </c>
      <c r="N170" s="924"/>
      <c r="O170" s="51">
        <f t="shared" si="34"/>
        <v>1</v>
      </c>
      <c r="P170" s="924"/>
      <c r="Q170" s="51">
        <f t="shared" si="35"/>
        <v>1</v>
      </c>
      <c r="R170" s="467">
        <f t="shared" si="36"/>
        <v>0</v>
      </c>
      <c r="S170" s="765">
        <f t="shared" si="27"/>
        <v>0</v>
      </c>
    </row>
    <row r="171" spans="1:19">
      <c r="A171" s="926"/>
      <c r="B171" s="132"/>
      <c r="C171" s="51">
        <f t="shared" si="28"/>
        <v>1</v>
      </c>
      <c r="D171" s="924"/>
      <c r="E171" s="51">
        <f t="shared" si="29"/>
        <v>1</v>
      </c>
      <c r="F171" s="924"/>
      <c r="G171" s="51">
        <f t="shared" si="30"/>
        <v>1</v>
      </c>
      <c r="H171" s="924"/>
      <c r="I171" s="51">
        <f t="shared" si="31"/>
        <v>1</v>
      </c>
      <c r="J171" s="924"/>
      <c r="K171" s="51">
        <f t="shared" si="32"/>
        <v>1</v>
      </c>
      <c r="L171" s="924"/>
      <c r="M171" s="51">
        <f t="shared" si="33"/>
        <v>1</v>
      </c>
      <c r="N171" s="924"/>
      <c r="O171" s="51">
        <f t="shared" si="34"/>
        <v>1</v>
      </c>
      <c r="P171" s="924"/>
      <c r="Q171" s="51">
        <f t="shared" si="35"/>
        <v>1</v>
      </c>
      <c r="R171" s="467">
        <f t="shared" si="36"/>
        <v>0</v>
      </c>
      <c r="S171" s="765">
        <f t="shared" si="27"/>
        <v>0</v>
      </c>
    </row>
    <row r="172" spans="1:19">
      <c r="A172" s="926"/>
      <c r="B172" s="132"/>
      <c r="C172" s="51">
        <f t="shared" si="28"/>
        <v>1</v>
      </c>
      <c r="D172" s="924"/>
      <c r="E172" s="51">
        <f t="shared" si="29"/>
        <v>1</v>
      </c>
      <c r="F172" s="924"/>
      <c r="G172" s="51">
        <f t="shared" si="30"/>
        <v>1</v>
      </c>
      <c r="H172" s="924"/>
      <c r="I172" s="51">
        <f t="shared" si="31"/>
        <v>1</v>
      </c>
      <c r="J172" s="924"/>
      <c r="K172" s="51">
        <f t="shared" si="32"/>
        <v>1</v>
      </c>
      <c r="L172" s="924"/>
      <c r="M172" s="51">
        <f t="shared" si="33"/>
        <v>1</v>
      </c>
      <c r="N172" s="924"/>
      <c r="O172" s="51">
        <f t="shared" si="34"/>
        <v>1</v>
      </c>
      <c r="P172" s="924"/>
      <c r="Q172" s="51">
        <f t="shared" si="35"/>
        <v>1</v>
      </c>
      <c r="R172" s="467">
        <f t="shared" si="36"/>
        <v>0</v>
      </c>
      <c r="S172" s="765">
        <f t="shared" si="27"/>
        <v>0</v>
      </c>
    </row>
    <row r="173" spans="1:19">
      <c r="A173" s="926"/>
      <c r="B173" s="132"/>
      <c r="C173" s="51">
        <f t="shared" si="28"/>
        <v>1</v>
      </c>
      <c r="D173" s="924"/>
      <c r="E173" s="51">
        <f t="shared" si="29"/>
        <v>1</v>
      </c>
      <c r="F173" s="924"/>
      <c r="G173" s="51">
        <f t="shared" si="30"/>
        <v>1</v>
      </c>
      <c r="H173" s="924"/>
      <c r="I173" s="51">
        <f t="shared" si="31"/>
        <v>1</v>
      </c>
      <c r="J173" s="924"/>
      <c r="K173" s="51">
        <f t="shared" si="32"/>
        <v>1</v>
      </c>
      <c r="L173" s="924"/>
      <c r="M173" s="51">
        <f t="shared" si="33"/>
        <v>1</v>
      </c>
      <c r="N173" s="924"/>
      <c r="O173" s="51">
        <f t="shared" si="34"/>
        <v>1</v>
      </c>
      <c r="P173" s="924"/>
      <c r="Q173" s="51">
        <f t="shared" si="35"/>
        <v>1</v>
      </c>
      <c r="R173" s="467">
        <f t="shared" si="36"/>
        <v>0</v>
      </c>
      <c r="S173" s="765">
        <f t="shared" si="27"/>
        <v>0</v>
      </c>
    </row>
    <row r="174" spans="1:19">
      <c r="A174" s="926"/>
      <c r="B174" s="132"/>
      <c r="C174" s="51">
        <f t="shared" si="28"/>
        <v>1</v>
      </c>
      <c r="D174" s="924"/>
      <c r="E174" s="51">
        <f t="shared" si="29"/>
        <v>1</v>
      </c>
      <c r="F174" s="924"/>
      <c r="G174" s="51">
        <f t="shared" si="30"/>
        <v>1</v>
      </c>
      <c r="H174" s="924"/>
      <c r="I174" s="51">
        <f t="shared" si="31"/>
        <v>1</v>
      </c>
      <c r="J174" s="924"/>
      <c r="K174" s="51">
        <f t="shared" si="32"/>
        <v>1</v>
      </c>
      <c r="L174" s="924"/>
      <c r="M174" s="51">
        <f t="shared" si="33"/>
        <v>1</v>
      </c>
      <c r="N174" s="924"/>
      <c r="O174" s="51">
        <f t="shared" si="34"/>
        <v>1</v>
      </c>
      <c r="P174" s="924"/>
      <c r="Q174" s="51">
        <f t="shared" si="35"/>
        <v>1</v>
      </c>
      <c r="R174" s="467">
        <f t="shared" si="36"/>
        <v>0</v>
      </c>
      <c r="S174" s="765">
        <f t="shared" si="27"/>
        <v>0</v>
      </c>
    </row>
    <row r="175" spans="1:19">
      <c r="A175" s="926"/>
      <c r="B175" s="132"/>
      <c r="C175" s="51">
        <f t="shared" si="28"/>
        <v>1</v>
      </c>
      <c r="D175" s="924"/>
      <c r="E175" s="51">
        <f t="shared" si="29"/>
        <v>1</v>
      </c>
      <c r="F175" s="924"/>
      <c r="G175" s="51">
        <f t="shared" si="30"/>
        <v>1</v>
      </c>
      <c r="H175" s="924"/>
      <c r="I175" s="51">
        <f t="shared" si="31"/>
        <v>1</v>
      </c>
      <c r="J175" s="924"/>
      <c r="K175" s="51">
        <f t="shared" si="32"/>
        <v>1</v>
      </c>
      <c r="L175" s="924"/>
      <c r="M175" s="51">
        <f t="shared" si="33"/>
        <v>1</v>
      </c>
      <c r="N175" s="924"/>
      <c r="O175" s="51">
        <f t="shared" si="34"/>
        <v>1</v>
      </c>
      <c r="P175" s="924"/>
      <c r="Q175" s="51">
        <f t="shared" si="35"/>
        <v>1</v>
      </c>
      <c r="R175" s="467">
        <f t="shared" si="36"/>
        <v>0</v>
      </c>
      <c r="S175" s="765">
        <f t="shared" si="27"/>
        <v>0</v>
      </c>
    </row>
    <row r="176" spans="1:19">
      <c r="A176" s="926"/>
      <c r="B176" s="132"/>
      <c r="C176" s="51">
        <f t="shared" si="28"/>
        <v>1</v>
      </c>
      <c r="D176" s="924"/>
      <c r="E176" s="51">
        <f t="shared" si="29"/>
        <v>1</v>
      </c>
      <c r="F176" s="924"/>
      <c r="G176" s="51">
        <f t="shared" si="30"/>
        <v>1</v>
      </c>
      <c r="H176" s="924"/>
      <c r="I176" s="51">
        <f t="shared" si="31"/>
        <v>1</v>
      </c>
      <c r="J176" s="924"/>
      <c r="K176" s="51">
        <f t="shared" si="32"/>
        <v>1</v>
      </c>
      <c r="L176" s="924"/>
      <c r="M176" s="51">
        <f t="shared" si="33"/>
        <v>1</v>
      </c>
      <c r="N176" s="924"/>
      <c r="O176" s="51">
        <f t="shared" si="34"/>
        <v>1</v>
      </c>
      <c r="P176" s="924"/>
      <c r="Q176" s="51">
        <f t="shared" si="35"/>
        <v>1</v>
      </c>
      <c r="R176" s="467">
        <f t="shared" si="36"/>
        <v>0</v>
      </c>
      <c r="S176" s="765">
        <f t="shared" si="27"/>
        <v>0</v>
      </c>
    </row>
    <row r="177" spans="1:19">
      <c r="A177" s="926"/>
      <c r="B177" s="132"/>
      <c r="C177" s="51">
        <f t="shared" si="28"/>
        <v>1</v>
      </c>
      <c r="D177" s="924"/>
      <c r="E177" s="51">
        <f t="shared" si="29"/>
        <v>1</v>
      </c>
      <c r="F177" s="924"/>
      <c r="G177" s="51">
        <f t="shared" si="30"/>
        <v>1</v>
      </c>
      <c r="H177" s="924"/>
      <c r="I177" s="51">
        <f t="shared" si="31"/>
        <v>1</v>
      </c>
      <c r="J177" s="924"/>
      <c r="K177" s="51">
        <f t="shared" si="32"/>
        <v>1</v>
      </c>
      <c r="L177" s="924"/>
      <c r="M177" s="51">
        <f t="shared" si="33"/>
        <v>1</v>
      </c>
      <c r="N177" s="924"/>
      <c r="O177" s="51">
        <f t="shared" si="34"/>
        <v>1</v>
      </c>
      <c r="P177" s="924"/>
      <c r="Q177" s="51">
        <f t="shared" si="35"/>
        <v>1</v>
      </c>
      <c r="R177" s="467">
        <f t="shared" si="36"/>
        <v>0</v>
      </c>
      <c r="S177" s="765">
        <f t="shared" si="27"/>
        <v>0</v>
      </c>
    </row>
    <row r="178" spans="1:19">
      <c r="A178" s="926"/>
      <c r="B178" s="132"/>
      <c r="C178" s="51">
        <f t="shared" si="28"/>
        <v>1</v>
      </c>
      <c r="D178" s="924"/>
      <c r="E178" s="51">
        <f t="shared" si="29"/>
        <v>1</v>
      </c>
      <c r="F178" s="924"/>
      <c r="G178" s="51">
        <f t="shared" si="30"/>
        <v>1</v>
      </c>
      <c r="H178" s="924"/>
      <c r="I178" s="51">
        <f t="shared" si="31"/>
        <v>1</v>
      </c>
      <c r="J178" s="924"/>
      <c r="K178" s="51">
        <f t="shared" si="32"/>
        <v>1</v>
      </c>
      <c r="L178" s="924"/>
      <c r="M178" s="51">
        <f t="shared" si="33"/>
        <v>1</v>
      </c>
      <c r="N178" s="924"/>
      <c r="O178" s="51">
        <f t="shared" si="34"/>
        <v>1</v>
      </c>
      <c r="P178" s="924"/>
      <c r="Q178" s="51">
        <f t="shared" si="35"/>
        <v>1</v>
      </c>
      <c r="R178" s="467">
        <f t="shared" si="36"/>
        <v>0</v>
      </c>
      <c r="S178" s="765">
        <f t="shared" si="27"/>
        <v>0</v>
      </c>
    </row>
    <row r="179" spans="1:19">
      <c r="A179" s="926"/>
      <c r="B179" s="132"/>
      <c r="C179" s="51">
        <f t="shared" si="28"/>
        <v>1</v>
      </c>
      <c r="D179" s="924"/>
      <c r="E179" s="51">
        <f t="shared" si="29"/>
        <v>1</v>
      </c>
      <c r="F179" s="924"/>
      <c r="G179" s="51">
        <f t="shared" si="30"/>
        <v>1</v>
      </c>
      <c r="H179" s="924"/>
      <c r="I179" s="51">
        <f t="shared" si="31"/>
        <v>1</v>
      </c>
      <c r="J179" s="924"/>
      <c r="K179" s="51">
        <f t="shared" si="32"/>
        <v>1</v>
      </c>
      <c r="L179" s="924"/>
      <c r="M179" s="51">
        <f t="shared" si="33"/>
        <v>1</v>
      </c>
      <c r="N179" s="924"/>
      <c r="O179" s="51">
        <f t="shared" si="34"/>
        <v>1</v>
      </c>
      <c r="P179" s="924"/>
      <c r="Q179" s="51">
        <f t="shared" si="35"/>
        <v>1</v>
      </c>
      <c r="R179" s="467">
        <f t="shared" si="36"/>
        <v>0</v>
      </c>
      <c r="S179" s="765">
        <f t="shared" si="27"/>
        <v>0</v>
      </c>
    </row>
    <row r="180" spans="1:19">
      <c r="A180" s="926"/>
      <c r="B180" s="132"/>
      <c r="C180" s="51">
        <f t="shared" si="28"/>
        <v>1</v>
      </c>
      <c r="D180" s="924"/>
      <c r="E180" s="51">
        <f t="shared" si="29"/>
        <v>1</v>
      </c>
      <c r="F180" s="924"/>
      <c r="G180" s="51">
        <f t="shared" si="30"/>
        <v>1</v>
      </c>
      <c r="H180" s="924"/>
      <c r="I180" s="51">
        <f t="shared" si="31"/>
        <v>1</v>
      </c>
      <c r="J180" s="924"/>
      <c r="K180" s="51">
        <f t="shared" si="32"/>
        <v>1</v>
      </c>
      <c r="L180" s="924"/>
      <c r="M180" s="51">
        <f t="shared" si="33"/>
        <v>1</v>
      </c>
      <c r="N180" s="924"/>
      <c r="O180" s="51">
        <f t="shared" si="34"/>
        <v>1</v>
      </c>
      <c r="P180" s="924"/>
      <c r="Q180" s="51">
        <f t="shared" si="35"/>
        <v>1</v>
      </c>
      <c r="R180" s="467">
        <f t="shared" si="36"/>
        <v>0</v>
      </c>
      <c r="S180" s="765">
        <f t="shared" si="27"/>
        <v>0</v>
      </c>
    </row>
    <row r="181" spans="1:19">
      <c r="A181" s="926"/>
      <c r="B181" s="132"/>
      <c r="C181" s="51">
        <f t="shared" si="28"/>
        <v>1</v>
      </c>
      <c r="D181" s="924"/>
      <c r="E181" s="51">
        <f t="shared" si="29"/>
        <v>1</v>
      </c>
      <c r="F181" s="924"/>
      <c r="G181" s="51">
        <f t="shared" si="30"/>
        <v>1</v>
      </c>
      <c r="H181" s="924"/>
      <c r="I181" s="51">
        <f t="shared" si="31"/>
        <v>1</v>
      </c>
      <c r="J181" s="924"/>
      <c r="K181" s="51">
        <f t="shared" si="32"/>
        <v>1</v>
      </c>
      <c r="L181" s="924"/>
      <c r="M181" s="51">
        <f t="shared" si="33"/>
        <v>1</v>
      </c>
      <c r="N181" s="924"/>
      <c r="O181" s="51">
        <f t="shared" si="34"/>
        <v>1</v>
      </c>
      <c r="P181" s="924"/>
      <c r="Q181" s="51">
        <f t="shared" si="35"/>
        <v>1</v>
      </c>
      <c r="R181" s="467">
        <f t="shared" si="36"/>
        <v>0</v>
      </c>
      <c r="S181" s="765">
        <f t="shared" si="27"/>
        <v>0</v>
      </c>
    </row>
    <row r="182" spans="1:19">
      <c r="A182" s="926"/>
      <c r="B182" s="132"/>
      <c r="C182" s="51">
        <f t="shared" si="28"/>
        <v>1</v>
      </c>
      <c r="D182" s="924"/>
      <c r="E182" s="51">
        <f t="shared" si="29"/>
        <v>1</v>
      </c>
      <c r="F182" s="924"/>
      <c r="G182" s="51">
        <f t="shared" si="30"/>
        <v>1</v>
      </c>
      <c r="H182" s="924"/>
      <c r="I182" s="51">
        <f t="shared" si="31"/>
        <v>1</v>
      </c>
      <c r="J182" s="924"/>
      <c r="K182" s="51">
        <f t="shared" si="32"/>
        <v>1</v>
      </c>
      <c r="L182" s="924"/>
      <c r="M182" s="51">
        <f t="shared" si="33"/>
        <v>1</v>
      </c>
      <c r="N182" s="924"/>
      <c r="O182" s="51">
        <f t="shared" si="34"/>
        <v>1</v>
      </c>
      <c r="P182" s="924"/>
      <c r="Q182" s="51">
        <f t="shared" si="35"/>
        <v>1</v>
      </c>
      <c r="R182" s="467">
        <f t="shared" si="36"/>
        <v>0</v>
      </c>
      <c r="S182" s="765">
        <f t="shared" si="27"/>
        <v>0</v>
      </c>
    </row>
    <row r="183" spans="1:19">
      <c r="A183" s="926"/>
      <c r="B183" s="132"/>
      <c r="C183" s="51">
        <f t="shared" si="28"/>
        <v>1</v>
      </c>
      <c r="D183" s="924"/>
      <c r="E183" s="51">
        <f t="shared" si="29"/>
        <v>1</v>
      </c>
      <c r="F183" s="924"/>
      <c r="G183" s="51">
        <f t="shared" si="30"/>
        <v>1</v>
      </c>
      <c r="H183" s="924"/>
      <c r="I183" s="51">
        <f t="shared" si="31"/>
        <v>1</v>
      </c>
      <c r="J183" s="924"/>
      <c r="K183" s="51">
        <f t="shared" si="32"/>
        <v>1</v>
      </c>
      <c r="L183" s="924"/>
      <c r="M183" s="51">
        <f t="shared" si="33"/>
        <v>1</v>
      </c>
      <c r="N183" s="924"/>
      <c r="O183" s="51">
        <f t="shared" si="34"/>
        <v>1</v>
      </c>
      <c r="P183" s="924"/>
      <c r="Q183" s="51">
        <f t="shared" si="35"/>
        <v>1</v>
      </c>
      <c r="R183" s="467">
        <f t="shared" si="36"/>
        <v>0</v>
      </c>
      <c r="S183" s="765">
        <f t="shared" si="27"/>
        <v>0</v>
      </c>
    </row>
    <row r="184" spans="1:19">
      <c r="A184" s="926"/>
      <c r="B184" s="132"/>
      <c r="C184" s="51">
        <f t="shared" si="28"/>
        <v>1</v>
      </c>
      <c r="D184" s="924"/>
      <c r="E184" s="51">
        <f t="shared" si="29"/>
        <v>1</v>
      </c>
      <c r="F184" s="924"/>
      <c r="G184" s="51">
        <f t="shared" si="30"/>
        <v>1</v>
      </c>
      <c r="H184" s="924"/>
      <c r="I184" s="51">
        <f t="shared" si="31"/>
        <v>1</v>
      </c>
      <c r="J184" s="924"/>
      <c r="K184" s="51">
        <f t="shared" si="32"/>
        <v>1</v>
      </c>
      <c r="L184" s="924"/>
      <c r="M184" s="51">
        <f t="shared" si="33"/>
        <v>1</v>
      </c>
      <c r="N184" s="924"/>
      <c r="O184" s="51">
        <f t="shared" si="34"/>
        <v>1</v>
      </c>
      <c r="P184" s="924"/>
      <c r="Q184" s="51">
        <f t="shared" si="35"/>
        <v>1</v>
      </c>
      <c r="R184" s="467">
        <f t="shared" si="36"/>
        <v>0</v>
      </c>
      <c r="S184" s="765">
        <f t="shared" si="27"/>
        <v>0</v>
      </c>
    </row>
    <row r="185" spans="1:19">
      <c r="A185" s="926"/>
      <c r="B185" s="132"/>
      <c r="C185" s="51">
        <f t="shared" si="28"/>
        <v>1</v>
      </c>
      <c r="D185" s="924"/>
      <c r="E185" s="51">
        <f t="shared" si="29"/>
        <v>1</v>
      </c>
      <c r="F185" s="924"/>
      <c r="G185" s="51">
        <f t="shared" si="30"/>
        <v>1</v>
      </c>
      <c r="H185" s="924"/>
      <c r="I185" s="51">
        <f t="shared" si="31"/>
        <v>1</v>
      </c>
      <c r="J185" s="924"/>
      <c r="K185" s="51">
        <f t="shared" si="32"/>
        <v>1</v>
      </c>
      <c r="L185" s="924"/>
      <c r="M185" s="51">
        <f t="shared" si="33"/>
        <v>1</v>
      </c>
      <c r="N185" s="924"/>
      <c r="O185" s="51">
        <f t="shared" si="34"/>
        <v>1</v>
      </c>
      <c r="P185" s="924"/>
      <c r="Q185" s="51">
        <f t="shared" si="35"/>
        <v>1</v>
      </c>
      <c r="R185" s="467">
        <f t="shared" si="36"/>
        <v>0</v>
      </c>
      <c r="S185" s="765">
        <f t="shared" si="27"/>
        <v>0</v>
      </c>
    </row>
    <row r="186" spans="1:19">
      <c r="A186" s="926"/>
      <c r="B186" s="132"/>
      <c r="C186" s="51">
        <f t="shared" si="28"/>
        <v>1</v>
      </c>
      <c r="D186" s="924"/>
      <c r="E186" s="51">
        <f t="shared" si="29"/>
        <v>1</v>
      </c>
      <c r="F186" s="924"/>
      <c r="G186" s="51">
        <f t="shared" si="30"/>
        <v>1</v>
      </c>
      <c r="H186" s="924"/>
      <c r="I186" s="51">
        <f t="shared" si="31"/>
        <v>1</v>
      </c>
      <c r="J186" s="924"/>
      <c r="K186" s="51">
        <f t="shared" si="32"/>
        <v>1</v>
      </c>
      <c r="L186" s="924"/>
      <c r="M186" s="51">
        <f t="shared" si="33"/>
        <v>1</v>
      </c>
      <c r="N186" s="924"/>
      <c r="O186" s="51">
        <f t="shared" si="34"/>
        <v>1</v>
      </c>
      <c r="P186" s="924"/>
      <c r="Q186" s="51">
        <f t="shared" si="35"/>
        <v>1</v>
      </c>
      <c r="R186" s="467">
        <f t="shared" si="36"/>
        <v>0</v>
      </c>
      <c r="S186" s="765">
        <f t="shared" si="27"/>
        <v>0</v>
      </c>
    </row>
    <row r="187" spans="1:19">
      <c r="A187" s="926"/>
      <c r="B187" s="132"/>
      <c r="C187" s="51">
        <f t="shared" si="28"/>
        <v>1</v>
      </c>
      <c r="D187" s="924"/>
      <c r="E187" s="51">
        <f t="shared" si="29"/>
        <v>1</v>
      </c>
      <c r="F187" s="924"/>
      <c r="G187" s="51">
        <f t="shared" si="30"/>
        <v>1</v>
      </c>
      <c r="H187" s="924"/>
      <c r="I187" s="51">
        <f t="shared" si="31"/>
        <v>1</v>
      </c>
      <c r="J187" s="924"/>
      <c r="K187" s="51">
        <f t="shared" si="32"/>
        <v>1</v>
      </c>
      <c r="L187" s="924"/>
      <c r="M187" s="51">
        <f t="shared" si="33"/>
        <v>1</v>
      </c>
      <c r="N187" s="924"/>
      <c r="O187" s="51">
        <f t="shared" si="34"/>
        <v>1</v>
      </c>
      <c r="P187" s="924"/>
      <c r="Q187" s="51">
        <f t="shared" si="35"/>
        <v>1</v>
      </c>
      <c r="R187" s="467">
        <f t="shared" si="36"/>
        <v>0</v>
      </c>
      <c r="S187" s="765">
        <f t="shared" ref="S187:S222" si="37">ROUND(R187*B187/10000,0)</f>
        <v>0</v>
      </c>
    </row>
    <row r="188" spans="1:19">
      <c r="A188" s="926"/>
      <c r="B188" s="132"/>
      <c r="C188" s="51">
        <f t="shared" si="28"/>
        <v>1</v>
      </c>
      <c r="D188" s="924"/>
      <c r="E188" s="51">
        <f t="shared" si="29"/>
        <v>1</v>
      </c>
      <c r="F188" s="924"/>
      <c r="G188" s="51">
        <f t="shared" si="30"/>
        <v>1</v>
      </c>
      <c r="H188" s="924"/>
      <c r="I188" s="51">
        <f t="shared" si="31"/>
        <v>1</v>
      </c>
      <c r="J188" s="924"/>
      <c r="K188" s="51">
        <f t="shared" si="32"/>
        <v>1</v>
      </c>
      <c r="L188" s="924"/>
      <c r="M188" s="51">
        <f t="shared" si="33"/>
        <v>1</v>
      </c>
      <c r="N188" s="924"/>
      <c r="O188" s="51">
        <f t="shared" si="34"/>
        <v>1</v>
      </c>
      <c r="P188" s="924"/>
      <c r="Q188" s="51">
        <f t="shared" si="35"/>
        <v>1</v>
      </c>
      <c r="R188" s="467">
        <f t="shared" si="36"/>
        <v>0</v>
      </c>
      <c r="S188" s="765">
        <f t="shared" si="37"/>
        <v>0</v>
      </c>
    </row>
    <row r="189" spans="1:19">
      <c r="A189" s="926"/>
      <c r="B189" s="132"/>
      <c r="C189" s="51">
        <f t="shared" si="28"/>
        <v>1</v>
      </c>
      <c r="D189" s="924"/>
      <c r="E189" s="51">
        <f t="shared" si="29"/>
        <v>1</v>
      </c>
      <c r="F189" s="924"/>
      <c r="G189" s="51">
        <f t="shared" si="30"/>
        <v>1</v>
      </c>
      <c r="H189" s="924"/>
      <c r="I189" s="51">
        <f t="shared" si="31"/>
        <v>1</v>
      </c>
      <c r="J189" s="924"/>
      <c r="K189" s="51">
        <f t="shared" si="32"/>
        <v>1</v>
      </c>
      <c r="L189" s="924"/>
      <c r="M189" s="51">
        <f t="shared" si="33"/>
        <v>1</v>
      </c>
      <c r="N189" s="924"/>
      <c r="O189" s="51">
        <f t="shared" si="34"/>
        <v>1</v>
      </c>
      <c r="P189" s="924"/>
      <c r="Q189" s="51">
        <f t="shared" si="35"/>
        <v>1</v>
      </c>
      <c r="R189" s="467">
        <f t="shared" si="36"/>
        <v>0</v>
      </c>
      <c r="S189" s="765">
        <f t="shared" si="37"/>
        <v>0</v>
      </c>
    </row>
    <row r="190" spans="1:19">
      <c r="A190" s="926"/>
      <c r="B190" s="132"/>
      <c r="C190" s="51">
        <f t="shared" si="28"/>
        <v>1</v>
      </c>
      <c r="D190" s="924"/>
      <c r="E190" s="51">
        <f t="shared" si="29"/>
        <v>1</v>
      </c>
      <c r="F190" s="924"/>
      <c r="G190" s="51">
        <f t="shared" si="30"/>
        <v>1</v>
      </c>
      <c r="H190" s="924"/>
      <c r="I190" s="51">
        <f t="shared" si="31"/>
        <v>1</v>
      </c>
      <c r="J190" s="924"/>
      <c r="K190" s="51">
        <f t="shared" si="32"/>
        <v>1</v>
      </c>
      <c r="L190" s="924"/>
      <c r="M190" s="51">
        <f t="shared" si="33"/>
        <v>1</v>
      </c>
      <c r="N190" s="924"/>
      <c r="O190" s="51">
        <f t="shared" si="34"/>
        <v>1</v>
      </c>
      <c r="P190" s="924"/>
      <c r="Q190" s="51">
        <f t="shared" si="35"/>
        <v>1</v>
      </c>
      <c r="R190" s="467">
        <f t="shared" si="36"/>
        <v>0</v>
      </c>
      <c r="S190" s="765">
        <f t="shared" si="37"/>
        <v>0</v>
      </c>
    </row>
    <row r="191" spans="1:19">
      <c r="A191" s="926"/>
      <c r="B191" s="132"/>
      <c r="C191" s="51">
        <f t="shared" si="28"/>
        <v>1</v>
      </c>
      <c r="D191" s="924"/>
      <c r="E191" s="51">
        <f t="shared" si="29"/>
        <v>1</v>
      </c>
      <c r="F191" s="924"/>
      <c r="G191" s="51">
        <f t="shared" si="30"/>
        <v>1</v>
      </c>
      <c r="H191" s="924"/>
      <c r="I191" s="51">
        <f t="shared" si="31"/>
        <v>1</v>
      </c>
      <c r="J191" s="924"/>
      <c r="K191" s="51">
        <f t="shared" si="32"/>
        <v>1</v>
      </c>
      <c r="L191" s="924"/>
      <c r="M191" s="51">
        <f t="shared" si="33"/>
        <v>1</v>
      </c>
      <c r="N191" s="924"/>
      <c r="O191" s="51">
        <f t="shared" si="34"/>
        <v>1</v>
      </c>
      <c r="P191" s="924"/>
      <c r="Q191" s="51">
        <f t="shared" si="35"/>
        <v>1</v>
      </c>
      <c r="R191" s="467">
        <f t="shared" si="36"/>
        <v>0</v>
      </c>
      <c r="S191" s="765">
        <f t="shared" si="37"/>
        <v>0</v>
      </c>
    </row>
    <row r="192" spans="1:19">
      <c r="A192" s="926"/>
      <c r="B192" s="132"/>
      <c r="C192" s="51">
        <f t="shared" si="28"/>
        <v>1</v>
      </c>
      <c r="D192" s="924"/>
      <c r="E192" s="51">
        <f t="shared" si="29"/>
        <v>1</v>
      </c>
      <c r="F192" s="924"/>
      <c r="G192" s="51">
        <f t="shared" si="30"/>
        <v>1</v>
      </c>
      <c r="H192" s="924"/>
      <c r="I192" s="51">
        <f t="shared" si="31"/>
        <v>1</v>
      </c>
      <c r="J192" s="924"/>
      <c r="K192" s="51">
        <f t="shared" si="32"/>
        <v>1</v>
      </c>
      <c r="L192" s="924"/>
      <c r="M192" s="51">
        <f t="shared" si="33"/>
        <v>1</v>
      </c>
      <c r="N192" s="924"/>
      <c r="O192" s="51">
        <f t="shared" si="34"/>
        <v>1</v>
      </c>
      <c r="P192" s="924"/>
      <c r="Q192" s="51">
        <f t="shared" si="35"/>
        <v>1</v>
      </c>
      <c r="R192" s="467">
        <f t="shared" si="36"/>
        <v>0</v>
      </c>
      <c r="S192" s="765">
        <f t="shared" si="37"/>
        <v>0</v>
      </c>
    </row>
    <row r="193" spans="1:19">
      <c r="A193" s="926"/>
      <c r="B193" s="132"/>
      <c r="C193" s="51">
        <f t="shared" si="28"/>
        <v>1</v>
      </c>
      <c r="D193" s="924"/>
      <c r="E193" s="51">
        <f t="shared" si="29"/>
        <v>1</v>
      </c>
      <c r="F193" s="924"/>
      <c r="G193" s="51">
        <f t="shared" si="30"/>
        <v>1</v>
      </c>
      <c r="H193" s="924"/>
      <c r="I193" s="51">
        <f t="shared" si="31"/>
        <v>1</v>
      </c>
      <c r="J193" s="924"/>
      <c r="K193" s="51">
        <f t="shared" si="32"/>
        <v>1</v>
      </c>
      <c r="L193" s="924"/>
      <c r="M193" s="51">
        <f t="shared" si="33"/>
        <v>1</v>
      </c>
      <c r="N193" s="924"/>
      <c r="O193" s="51">
        <f t="shared" si="34"/>
        <v>1</v>
      </c>
      <c r="P193" s="924"/>
      <c r="Q193" s="51">
        <f t="shared" si="35"/>
        <v>1</v>
      </c>
      <c r="R193" s="467">
        <f t="shared" si="36"/>
        <v>0</v>
      </c>
      <c r="S193" s="765">
        <f t="shared" si="37"/>
        <v>0</v>
      </c>
    </row>
    <row r="194" spans="1:19">
      <c r="A194" s="926"/>
      <c r="B194" s="132"/>
      <c r="C194" s="51">
        <f t="shared" si="28"/>
        <v>1</v>
      </c>
      <c r="D194" s="924"/>
      <c r="E194" s="51">
        <f t="shared" si="29"/>
        <v>1</v>
      </c>
      <c r="F194" s="924"/>
      <c r="G194" s="51">
        <f t="shared" si="30"/>
        <v>1</v>
      </c>
      <c r="H194" s="924"/>
      <c r="I194" s="51">
        <f t="shared" si="31"/>
        <v>1</v>
      </c>
      <c r="J194" s="924"/>
      <c r="K194" s="51">
        <f t="shared" si="32"/>
        <v>1</v>
      </c>
      <c r="L194" s="924"/>
      <c r="M194" s="51">
        <f t="shared" si="33"/>
        <v>1</v>
      </c>
      <c r="N194" s="924"/>
      <c r="O194" s="51">
        <f t="shared" si="34"/>
        <v>1</v>
      </c>
      <c r="P194" s="924"/>
      <c r="Q194" s="51">
        <f t="shared" si="35"/>
        <v>1</v>
      </c>
      <c r="R194" s="467">
        <f t="shared" si="36"/>
        <v>0</v>
      </c>
      <c r="S194" s="765">
        <f t="shared" si="37"/>
        <v>0</v>
      </c>
    </row>
    <row r="195" spans="1:19">
      <c r="A195" s="926"/>
      <c r="B195" s="132"/>
      <c r="C195" s="51">
        <f t="shared" si="28"/>
        <v>1</v>
      </c>
      <c r="D195" s="924"/>
      <c r="E195" s="51">
        <f t="shared" si="29"/>
        <v>1</v>
      </c>
      <c r="F195" s="924"/>
      <c r="G195" s="51">
        <f t="shared" si="30"/>
        <v>1</v>
      </c>
      <c r="H195" s="924"/>
      <c r="I195" s="51">
        <f t="shared" si="31"/>
        <v>1</v>
      </c>
      <c r="J195" s="924"/>
      <c r="K195" s="51">
        <f t="shared" si="32"/>
        <v>1</v>
      </c>
      <c r="L195" s="924"/>
      <c r="M195" s="51">
        <f t="shared" si="33"/>
        <v>1</v>
      </c>
      <c r="N195" s="924"/>
      <c r="O195" s="51">
        <f t="shared" si="34"/>
        <v>1</v>
      </c>
      <c r="P195" s="924"/>
      <c r="Q195" s="51">
        <f t="shared" si="35"/>
        <v>1</v>
      </c>
      <c r="R195" s="467">
        <f t="shared" si="36"/>
        <v>0</v>
      </c>
      <c r="S195" s="765">
        <f t="shared" si="37"/>
        <v>0</v>
      </c>
    </row>
    <row r="196" spans="1:19">
      <c r="A196" s="926"/>
      <c r="B196" s="132"/>
      <c r="C196" s="51">
        <f t="shared" si="28"/>
        <v>1</v>
      </c>
      <c r="D196" s="924"/>
      <c r="E196" s="51">
        <f t="shared" si="29"/>
        <v>1</v>
      </c>
      <c r="F196" s="924"/>
      <c r="G196" s="51">
        <f t="shared" si="30"/>
        <v>1</v>
      </c>
      <c r="H196" s="924"/>
      <c r="I196" s="51">
        <f t="shared" si="31"/>
        <v>1</v>
      </c>
      <c r="J196" s="924"/>
      <c r="K196" s="51">
        <f t="shared" si="32"/>
        <v>1</v>
      </c>
      <c r="L196" s="924"/>
      <c r="M196" s="51">
        <f t="shared" si="33"/>
        <v>1</v>
      </c>
      <c r="N196" s="924"/>
      <c r="O196" s="51">
        <f t="shared" si="34"/>
        <v>1</v>
      </c>
      <c r="P196" s="924"/>
      <c r="Q196" s="51">
        <f t="shared" si="35"/>
        <v>1</v>
      </c>
      <c r="R196" s="467">
        <f t="shared" si="36"/>
        <v>0</v>
      </c>
      <c r="S196" s="765">
        <f t="shared" si="37"/>
        <v>0</v>
      </c>
    </row>
    <row r="197" spans="1:19">
      <c r="A197" s="926"/>
      <c r="B197" s="132"/>
      <c r="C197" s="51">
        <f t="shared" si="28"/>
        <v>1</v>
      </c>
      <c r="D197" s="924"/>
      <c r="E197" s="51">
        <f t="shared" si="29"/>
        <v>1</v>
      </c>
      <c r="F197" s="924"/>
      <c r="G197" s="51">
        <f t="shared" si="30"/>
        <v>1</v>
      </c>
      <c r="H197" s="924"/>
      <c r="I197" s="51">
        <f t="shared" si="31"/>
        <v>1</v>
      </c>
      <c r="J197" s="924"/>
      <c r="K197" s="51">
        <f t="shared" si="32"/>
        <v>1</v>
      </c>
      <c r="L197" s="924"/>
      <c r="M197" s="51">
        <f t="shared" si="33"/>
        <v>1</v>
      </c>
      <c r="N197" s="924"/>
      <c r="O197" s="51">
        <f t="shared" si="34"/>
        <v>1</v>
      </c>
      <c r="P197" s="924"/>
      <c r="Q197" s="51">
        <f t="shared" si="35"/>
        <v>1</v>
      </c>
      <c r="R197" s="467">
        <f t="shared" si="36"/>
        <v>0</v>
      </c>
      <c r="S197" s="765">
        <f t="shared" si="37"/>
        <v>0</v>
      </c>
    </row>
    <row r="198" spans="1:19">
      <c r="A198" s="926"/>
      <c r="B198" s="132"/>
      <c r="C198" s="51">
        <f t="shared" si="28"/>
        <v>1</v>
      </c>
      <c r="D198" s="924"/>
      <c r="E198" s="51">
        <f t="shared" si="29"/>
        <v>1</v>
      </c>
      <c r="F198" s="924"/>
      <c r="G198" s="51">
        <f t="shared" si="30"/>
        <v>1</v>
      </c>
      <c r="H198" s="924"/>
      <c r="I198" s="51">
        <f t="shared" si="31"/>
        <v>1</v>
      </c>
      <c r="J198" s="924"/>
      <c r="K198" s="51">
        <f t="shared" si="32"/>
        <v>1</v>
      </c>
      <c r="L198" s="924"/>
      <c r="M198" s="51">
        <f t="shared" si="33"/>
        <v>1</v>
      </c>
      <c r="N198" s="924"/>
      <c r="O198" s="51">
        <f t="shared" si="34"/>
        <v>1</v>
      </c>
      <c r="P198" s="924"/>
      <c r="Q198" s="51">
        <f t="shared" si="35"/>
        <v>1</v>
      </c>
      <c r="R198" s="467">
        <f t="shared" si="36"/>
        <v>0</v>
      </c>
      <c r="S198" s="765">
        <f t="shared" si="37"/>
        <v>0</v>
      </c>
    </row>
    <row r="199" spans="1:19">
      <c r="A199" s="926"/>
      <c r="B199" s="132"/>
      <c r="C199" s="51">
        <f t="shared" si="28"/>
        <v>1</v>
      </c>
      <c r="D199" s="924"/>
      <c r="E199" s="51">
        <f t="shared" si="29"/>
        <v>1</v>
      </c>
      <c r="F199" s="924"/>
      <c r="G199" s="51">
        <f t="shared" si="30"/>
        <v>1</v>
      </c>
      <c r="H199" s="924"/>
      <c r="I199" s="51">
        <f t="shared" si="31"/>
        <v>1</v>
      </c>
      <c r="J199" s="924"/>
      <c r="K199" s="51">
        <f t="shared" si="32"/>
        <v>1</v>
      </c>
      <c r="L199" s="924"/>
      <c r="M199" s="51">
        <f t="shared" si="33"/>
        <v>1</v>
      </c>
      <c r="N199" s="924"/>
      <c r="O199" s="51">
        <f t="shared" si="34"/>
        <v>1</v>
      </c>
      <c r="P199" s="924"/>
      <c r="Q199" s="51">
        <f t="shared" si="35"/>
        <v>1</v>
      </c>
      <c r="R199" s="467">
        <f t="shared" si="36"/>
        <v>0</v>
      </c>
      <c r="S199" s="765">
        <f t="shared" si="37"/>
        <v>0</v>
      </c>
    </row>
    <row r="200" spans="1:19">
      <c r="A200" s="926"/>
      <c r="B200" s="132"/>
      <c r="C200" s="51">
        <f t="shared" si="28"/>
        <v>1</v>
      </c>
      <c r="D200" s="924"/>
      <c r="E200" s="51">
        <f t="shared" si="29"/>
        <v>1</v>
      </c>
      <c r="F200" s="924"/>
      <c r="G200" s="51">
        <f t="shared" si="30"/>
        <v>1</v>
      </c>
      <c r="H200" s="924"/>
      <c r="I200" s="51">
        <f t="shared" si="31"/>
        <v>1</v>
      </c>
      <c r="J200" s="924"/>
      <c r="K200" s="51">
        <f t="shared" si="32"/>
        <v>1</v>
      </c>
      <c r="L200" s="924"/>
      <c r="M200" s="51">
        <f t="shared" si="33"/>
        <v>1</v>
      </c>
      <c r="N200" s="924"/>
      <c r="O200" s="51">
        <f t="shared" si="34"/>
        <v>1</v>
      </c>
      <c r="P200" s="924"/>
      <c r="Q200" s="51">
        <f t="shared" si="35"/>
        <v>1</v>
      </c>
      <c r="R200" s="467">
        <f t="shared" si="36"/>
        <v>0</v>
      </c>
      <c r="S200" s="765">
        <f t="shared" si="37"/>
        <v>0</v>
      </c>
    </row>
    <row r="201" spans="1:19">
      <c r="A201" s="926"/>
      <c r="B201" s="132"/>
      <c r="C201" s="51">
        <f t="shared" si="28"/>
        <v>1</v>
      </c>
      <c r="D201" s="924"/>
      <c r="E201" s="51">
        <f t="shared" si="29"/>
        <v>1</v>
      </c>
      <c r="F201" s="924"/>
      <c r="G201" s="51">
        <f t="shared" si="30"/>
        <v>1</v>
      </c>
      <c r="H201" s="924"/>
      <c r="I201" s="51">
        <f t="shared" si="31"/>
        <v>1</v>
      </c>
      <c r="J201" s="924"/>
      <c r="K201" s="51">
        <f t="shared" si="32"/>
        <v>1</v>
      </c>
      <c r="L201" s="924"/>
      <c r="M201" s="51">
        <f t="shared" si="33"/>
        <v>1</v>
      </c>
      <c r="N201" s="924"/>
      <c r="O201" s="51">
        <f t="shared" si="34"/>
        <v>1</v>
      </c>
      <c r="P201" s="924"/>
      <c r="Q201" s="51">
        <f t="shared" si="35"/>
        <v>1</v>
      </c>
      <c r="R201" s="467">
        <f t="shared" si="36"/>
        <v>0</v>
      </c>
      <c r="S201" s="765">
        <f t="shared" si="37"/>
        <v>0</v>
      </c>
    </row>
    <row r="202" spans="1:19">
      <c r="A202" s="926"/>
      <c r="B202" s="132"/>
      <c r="C202" s="51">
        <f t="shared" si="28"/>
        <v>1</v>
      </c>
      <c r="D202" s="924"/>
      <c r="E202" s="51">
        <f t="shared" si="29"/>
        <v>1</v>
      </c>
      <c r="F202" s="924"/>
      <c r="G202" s="51">
        <f t="shared" si="30"/>
        <v>1</v>
      </c>
      <c r="H202" s="924"/>
      <c r="I202" s="51">
        <f t="shared" si="31"/>
        <v>1</v>
      </c>
      <c r="J202" s="924"/>
      <c r="K202" s="51">
        <f t="shared" si="32"/>
        <v>1</v>
      </c>
      <c r="L202" s="924"/>
      <c r="M202" s="51">
        <f t="shared" si="33"/>
        <v>1</v>
      </c>
      <c r="N202" s="924"/>
      <c r="O202" s="51">
        <f t="shared" si="34"/>
        <v>1</v>
      </c>
      <c r="P202" s="924"/>
      <c r="Q202" s="51">
        <f t="shared" si="35"/>
        <v>1</v>
      </c>
      <c r="R202" s="467">
        <f t="shared" si="36"/>
        <v>0</v>
      </c>
      <c r="S202" s="765">
        <f t="shared" si="37"/>
        <v>0</v>
      </c>
    </row>
    <row r="203" spans="1:19">
      <c r="A203" s="926"/>
      <c r="B203" s="132"/>
      <c r="C203" s="51">
        <f t="shared" si="28"/>
        <v>1</v>
      </c>
      <c r="D203" s="924"/>
      <c r="E203" s="51">
        <f t="shared" si="29"/>
        <v>1</v>
      </c>
      <c r="F203" s="924"/>
      <c r="G203" s="51">
        <f t="shared" si="30"/>
        <v>1</v>
      </c>
      <c r="H203" s="924"/>
      <c r="I203" s="51">
        <f t="shared" si="31"/>
        <v>1</v>
      </c>
      <c r="J203" s="924"/>
      <c r="K203" s="51">
        <f t="shared" si="32"/>
        <v>1</v>
      </c>
      <c r="L203" s="924"/>
      <c r="M203" s="51">
        <f t="shared" si="33"/>
        <v>1</v>
      </c>
      <c r="N203" s="924"/>
      <c r="O203" s="51">
        <f t="shared" si="34"/>
        <v>1</v>
      </c>
      <c r="P203" s="924"/>
      <c r="Q203" s="51">
        <f t="shared" si="35"/>
        <v>1</v>
      </c>
      <c r="R203" s="467">
        <f t="shared" si="36"/>
        <v>0</v>
      </c>
      <c r="S203" s="765">
        <f t="shared" si="37"/>
        <v>0</v>
      </c>
    </row>
    <row r="204" spans="1:19">
      <c r="A204" s="926"/>
      <c r="B204" s="132"/>
      <c r="C204" s="51">
        <f t="shared" si="28"/>
        <v>1</v>
      </c>
      <c r="D204" s="924"/>
      <c r="E204" s="51">
        <f t="shared" si="29"/>
        <v>1</v>
      </c>
      <c r="F204" s="924"/>
      <c r="G204" s="51">
        <f t="shared" si="30"/>
        <v>1</v>
      </c>
      <c r="H204" s="924"/>
      <c r="I204" s="51">
        <f t="shared" si="31"/>
        <v>1</v>
      </c>
      <c r="J204" s="924"/>
      <c r="K204" s="51">
        <f t="shared" si="32"/>
        <v>1</v>
      </c>
      <c r="L204" s="924"/>
      <c r="M204" s="51">
        <f t="shared" si="33"/>
        <v>1</v>
      </c>
      <c r="N204" s="924"/>
      <c r="O204" s="51">
        <f t="shared" si="34"/>
        <v>1</v>
      </c>
      <c r="P204" s="924"/>
      <c r="Q204" s="51">
        <f t="shared" si="35"/>
        <v>1</v>
      </c>
      <c r="R204" s="467">
        <f t="shared" si="36"/>
        <v>0</v>
      </c>
      <c r="S204" s="765">
        <f t="shared" si="37"/>
        <v>0</v>
      </c>
    </row>
    <row r="205" spans="1:19">
      <c r="A205" s="926"/>
      <c r="B205" s="132"/>
      <c r="C205" s="51">
        <f t="shared" si="28"/>
        <v>1</v>
      </c>
      <c r="D205" s="924"/>
      <c r="E205" s="51">
        <f t="shared" si="29"/>
        <v>1</v>
      </c>
      <c r="F205" s="924"/>
      <c r="G205" s="51">
        <f t="shared" si="30"/>
        <v>1</v>
      </c>
      <c r="H205" s="924"/>
      <c r="I205" s="51">
        <f t="shared" si="31"/>
        <v>1</v>
      </c>
      <c r="J205" s="924"/>
      <c r="K205" s="51">
        <f t="shared" si="32"/>
        <v>1</v>
      </c>
      <c r="L205" s="924"/>
      <c r="M205" s="51">
        <f t="shared" si="33"/>
        <v>1</v>
      </c>
      <c r="N205" s="924"/>
      <c r="O205" s="51">
        <f t="shared" si="34"/>
        <v>1</v>
      </c>
      <c r="P205" s="924"/>
      <c r="Q205" s="51">
        <f t="shared" si="35"/>
        <v>1</v>
      </c>
      <c r="R205" s="467">
        <f t="shared" si="36"/>
        <v>0</v>
      </c>
      <c r="S205" s="765">
        <f t="shared" si="37"/>
        <v>0</v>
      </c>
    </row>
    <row r="206" spans="1:19">
      <c r="A206" s="926"/>
      <c r="B206" s="132"/>
      <c r="C206" s="51">
        <f t="shared" si="28"/>
        <v>1</v>
      </c>
      <c r="D206" s="924"/>
      <c r="E206" s="51">
        <f t="shared" si="29"/>
        <v>1</v>
      </c>
      <c r="F206" s="924"/>
      <c r="G206" s="51">
        <f t="shared" si="30"/>
        <v>1</v>
      </c>
      <c r="H206" s="924"/>
      <c r="I206" s="51">
        <f t="shared" si="31"/>
        <v>1</v>
      </c>
      <c r="J206" s="924"/>
      <c r="K206" s="51">
        <f t="shared" si="32"/>
        <v>1</v>
      </c>
      <c r="L206" s="924"/>
      <c r="M206" s="51">
        <f t="shared" si="33"/>
        <v>1</v>
      </c>
      <c r="N206" s="924"/>
      <c r="O206" s="51">
        <f t="shared" si="34"/>
        <v>1</v>
      </c>
      <c r="P206" s="924"/>
      <c r="Q206" s="51">
        <f t="shared" si="35"/>
        <v>1</v>
      </c>
      <c r="R206" s="467">
        <f t="shared" si="36"/>
        <v>0</v>
      </c>
      <c r="S206" s="765">
        <f t="shared" si="37"/>
        <v>0</v>
      </c>
    </row>
    <row r="207" spans="1:19">
      <c r="A207" s="926"/>
      <c r="B207" s="132"/>
      <c r="C207" s="51">
        <f t="shared" si="28"/>
        <v>1</v>
      </c>
      <c r="D207" s="924"/>
      <c r="E207" s="51">
        <f t="shared" si="29"/>
        <v>1</v>
      </c>
      <c r="F207" s="924"/>
      <c r="G207" s="51">
        <f t="shared" si="30"/>
        <v>1</v>
      </c>
      <c r="H207" s="924"/>
      <c r="I207" s="51">
        <f t="shared" si="31"/>
        <v>1</v>
      </c>
      <c r="J207" s="924"/>
      <c r="K207" s="51">
        <f t="shared" si="32"/>
        <v>1</v>
      </c>
      <c r="L207" s="924"/>
      <c r="M207" s="51">
        <f t="shared" si="33"/>
        <v>1</v>
      </c>
      <c r="N207" s="924"/>
      <c r="O207" s="51">
        <f t="shared" si="34"/>
        <v>1</v>
      </c>
      <c r="P207" s="924"/>
      <c r="Q207" s="51">
        <f t="shared" si="35"/>
        <v>1</v>
      </c>
      <c r="R207" s="467">
        <f t="shared" si="36"/>
        <v>0</v>
      </c>
      <c r="S207" s="765">
        <f t="shared" si="37"/>
        <v>0</v>
      </c>
    </row>
    <row r="208" spans="1:19">
      <c r="A208" s="926"/>
      <c r="B208" s="132"/>
      <c r="C208" s="51">
        <f t="shared" si="28"/>
        <v>1</v>
      </c>
      <c r="D208" s="924"/>
      <c r="E208" s="51">
        <f t="shared" si="29"/>
        <v>1</v>
      </c>
      <c r="F208" s="924"/>
      <c r="G208" s="51">
        <f t="shared" si="30"/>
        <v>1</v>
      </c>
      <c r="H208" s="924"/>
      <c r="I208" s="51">
        <f t="shared" si="31"/>
        <v>1</v>
      </c>
      <c r="J208" s="924"/>
      <c r="K208" s="51">
        <f t="shared" si="32"/>
        <v>1</v>
      </c>
      <c r="L208" s="924"/>
      <c r="M208" s="51">
        <f t="shared" si="33"/>
        <v>1</v>
      </c>
      <c r="N208" s="924"/>
      <c r="O208" s="51">
        <f t="shared" si="34"/>
        <v>1</v>
      </c>
      <c r="P208" s="924"/>
      <c r="Q208" s="51">
        <f t="shared" si="35"/>
        <v>1</v>
      </c>
      <c r="R208" s="467">
        <f t="shared" si="36"/>
        <v>0</v>
      </c>
      <c r="S208" s="765">
        <f t="shared" si="37"/>
        <v>0</v>
      </c>
    </row>
    <row r="209" spans="1:19">
      <c r="A209" s="926"/>
      <c r="B209" s="132"/>
      <c r="C209" s="51">
        <f t="shared" si="28"/>
        <v>1</v>
      </c>
      <c r="D209" s="924"/>
      <c r="E209" s="51">
        <f t="shared" si="29"/>
        <v>1</v>
      </c>
      <c r="F209" s="924"/>
      <c r="G209" s="51">
        <f t="shared" si="30"/>
        <v>1</v>
      </c>
      <c r="H209" s="924"/>
      <c r="I209" s="51">
        <f t="shared" si="31"/>
        <v>1</v>
      </c>
      <c r="J209" s="924"/>
      <c r="K209" s="51">
        <f t="shared" si="32"/>
        <v>1</v>
      </c>
      <c r="L209" s="924"/>
      <c r="M209" s="51">
        <f t="shared" si="33"/>
        <v>1</v>
      </c>
      <c r="N209" s="924"/>
      <c r="O209" s="51">
        <f t="shared" si="34"/>
        <v>1</v>
      </c>
      <c r="P209" s="924"/>
      <c r="Q209" s="51">
        <f t="shared" si="35"/>
        <v>1</v>
      </c>
      <c r="R209" s="467">
        <f t="shared" si="36"/>
        <v>0</v>
      </c>
      <c r="S209" s="765">
        <f t="shared" si="37"/>
        <v>0</v>
      </c>
    </row>
    <row r="210" spans="1:19">
      <c r="A210" s="926"/>
      <c r="B210" s="132"/>
      <c r="C210" s="51">
        <f t="shared" si="28"/>
        <v>1</v>
      </c>
      <c r="D210" s="924"/>
      <c r="E210" s="51">
        <f t="shared" si="29"/>
        <v>1</v>
      </c>
      <c r="F210" s="924"/>
      <c r="G210" s="51">
        <f t="shared" si="30"/>
        <v>1</v>
      </c>
      <c r="H210" s="924"/>
      <c r="I210" s="51">
        <f t="shared" si="31"/>
        <v>1</v>
      </c>
      <c r="J210" s="924"/>
      <c r="K210" s="51">
        <f t="shared" si="32"/>
        <v>1</v>
      </c>
      <c r="L210" s="924"/>
      <c r="M210" s="51">
        <f t="shared" si="33"/>
        <v>1</v>
      </c>
      <c r="N210" s="924"/>
      <c r="O210" s="51">
        <f t="shared" si="34"/>
        <v>1</v>
      </c>
      <c r="P210" s="924"/>
      <c r="Q210" s="51">
        <f t="shared" si="35"/>
        <v>1</v>
      </c>
      <c r="R210" s="467">
        <f t="shared" si="36"/>
        <v>0</v>
      </c>
      <c r="S210" s="765">
        <f t="shared" si="37"/>
        <v>0</v>
      </c>
    </row>
    <row r="211" spans="1:19">
      <c r="A211" s="926"/>
      <c r="B211" s="132"/>
      <c r="C211" s="51">
        <f t="shared" si="28"/>
        <v>1</v>
      </c>
      <c r="D211" s="924"/>
      <c r="E211" s="51">
        <f t="shared" si="29"/>
        <v>1</v>
      </c>
      <c r="F211" s="924"/>
      <c r="G211" s="51">
        <f t="shared" si="30"/>
        <v>1</v>
      </c>
      <c r="H211" s="924"/>
      <c r="I211" s="51">
        <f t="shared" si="31"/>
        <v>1</v>
      </c>
      <c r="J211" s="924"/>
      <c r="K211" s="51">
        <f t="shared" si="32"/>
        <v>1</v>
      </c>
      <c r="L211" s="924"/>
      <c r="M211" s="51">
        <f t="shared" si="33"/>
        <v>1</v>
      </c>
      <c r="N211" s="924"/>
      <c r="O211" s="51">
        <f t="shared" si="34"/>
        <v>1</v>
      </c>
      <c r="P211" s="924"/>
      <c r="Q211" s="51">
        <f t="shared" si="35"/>
        <v>1</v>
      </c>
      <c r="R211" s="467">
        <f t="shared" si="36"/>
        <v>0</v>
      </c>
      <c r="S211" s="765">
        <f t="shared" si="37"/>
        <v>0</v>
      </c>
    </row>
    <row r="212" spans="1:19">
      <c r="A212" s="926"/>
      <c r="B212" s="132"/>
      <c r="C212" s="51">
        <f t="shared" si="28"/>
        <v>1</v>
      </c>
      <c r="D212" s="924"/>
      <c r="E212" s="51">
        <f t="shared" si="29"/>
        <v>1</v>
      </c>
      <c r="F212" s="924"/>
      <c r="G212" s="51">
        <f t="shared" si="30"/>
        <v>1</v>
      </c>
      <c r="H212" s="924"/>
      <c r="I212" s="51">
        <f t="shared" si="31"/>
        <v>1</v>
      </c>
      <c r="J212" s="924"/>
      <c r="K212" s="51">
        <f t="shared" si="32"/>
        <v>1</v>
      </c>
      <c r="L212" s="924"/>
      <c r="M212" s="51">
        <f t="shared" si="33"/>
        <v>1</v>
      </c>
      <c r="N212" s="924"/>
      <c r="O212" s="51">
        <f t="shared" si="34"/>
        <v>1</v>
      </c>
      <c r="P212" s="924"/>
      <c r="Q212" s="51">
        <f t="shared" si="35"/>
        <v>1</v>
      </c>
      <c r="R212" s="467">
        <f t="shared" si="36"/>
        <v>0</v>
      </c>
      <c r="S212" s="765">
        <f t="shared" si="37"/>
        <v>0</v>
      </c>
    </row>
    <row r="213" spans="1:19">
      <c r="A213" s="926"/>
      <c r="B213" s="132"/>
      <c r="C213" s="51">
        <f t="shared" si="28"/>
        <v>1</v>
      </c>
      <c r="D213" s="924"/>
      <c r="E213" s="51">
        <f t="shared" si="29"/>
        <v>1</v>
      </c>
      <c r="F213" s="924"/>
      <c r="G213" s="51">
        <f t="shared" si="30"/>
        <v>1</v>
      </c>
      <c r="H213" s="924"/>
      <c r="I213" s="51">
        <f t="shared" si="31"/>
        <v>1</v>
      </c>
      <c r="J213" s="924"/>
      <c r="K213" s="51">
        <f t="shared" si="32"/>
        <v>1</v>
      </c>
      <c r="L213" s="924"/>
      <c r="M213" s="51">
        <f t="shared" si="33"/>
        <v>1</v>
      </c>
      <c r="N213" s="924"/>
      <c r="O213" s="51">
        <f t="shared" si="34"/>
        <v>1</v>
      </c>
      <c r="P213" s="924"/>
      <c r="Q213" s="51">
        <f t="shared" si="35"/>
        <v>1</v>
      </c>
      <c r="R213" s="467">
        <f t="shared" si="36"/>
        <v>0</v>
      </c>
      <c r="S213" s="765">
        <f t="shared" si="37"/>
        <v>0</v>
      </c>
    </row>
    <row r="214" spans="1:19">
      <c r="A214" s="926"/>
      <c r="B214" s="132"/>
      <c r="C214" s="51">
        <f t="shared" si="28"/>
        <v>1</v>
      </c>
      <c r="D214" s="924"/>
      <c r="E214" s="51">
        <f t="shared" si="29"/>
        <v>1</v>
      </c>
      <c r="F214" s="924"/>
      <c r="G214" s="51">
        <f t="shared" si="30"/>
        <v>1</v>
      </c>
      <c r="H214" s="924"/>
      <c r="I214" s="51">
        <f t="shared" si="31"/>
        <v>1</v>
      </c>
      <c r="J214" s="924"/>
      <c r="K214" s="51">
        <f t="shared" si="32"/>
        <v>1</v>
      </c>
      <c r="L214" s="924"/>
      <c r="M214" s="51">
        <f t="shared" si="33"/>
        <v>1</v>
      </c>
      <c r="N214" s="924"/>
      <c r="O214" s="51">
        <f t="shared" si="34"/>
        <v>1</v>
      </c>
      <c r="P214" s="924"/>
      <c r="Q214" s="51">
        <f t="shared" si="35"/>
        <v>1</v>
      </c>
      <c r="R214" s="467">
        <f t="shared" si="36"/>
        <v>0</v>
      </c>
      <c r="S214" s="765">
        <f t="shared" si="37"/>
        <v>0</v>
      </c>
    </row>
    <row r="215" spans="1:19">
      <c r="A215" s="926"/>
      <c r="B215" s="132"/>
      <c r="C215" s="51">
        <f t="shared" si="28"/>
        <v>1</v>
      </c>
      <c r="D215" s="924"/>
      <c r="E215" s="51">
        <f t="shared" si="29"/>
        <v>1</v>
      </c>
      <c r="F215" s="924"/>
      <c r="G215" s="51">
        <f t="shared" si="30"/>
        <v>1</v>
      </c>
      <c r="H215" s="924"/>
      <c r="I215" s="51">
        <f t="shared" si="31"/>
        <v>1</v>
      </c>
      <c r="J215" s="924"/>
      <c r="K215" s="51">
        <f t="shared" si="32"/>
        <v>1</v>
      </c>
      <c r="L215" s="924"/>
      <c r="M215" s="51">
        <f t="shared" si="33"/>
        <v>1</v>
      </c>
      <c r="N215" s="924"/>
      <c r="O215" s="51">
        <f t="shared" si="34"/>
        <v>1</v>
      </c>
      <c r="P215" s="924"/>
      <c r="Q215" s="51">
        <f t="shared" si="35"/>
        <v>1</v>
      </c>
      <c r="R215" s="467">
        <f t="shared" si="36"/>
        <v>0</v>
      </c>
      <c r="S215" s="765">
        <f t="shared" si="37"/>
        <v>0</v>
      </c>
    </row>
    <row r="216" spans="1:19">
      <c r="A216" s="926"/>
      <c r="B216" s="132"/>
      <c r="C216" s="51">
        <f t="shared" si="28"/>
        <v>1</v>
      </c>
      <c r="D216" s="924"/>
      <c r="E216" s="51">
        <f t="shared" si="29"/>
        <v>1</v>
      </c>
      <c r="F216" s="924"/>
      <c r="G216" s="51">
        <f t="shared" si="30"/>
        <v>1</v>
      </c>
      <c r="H216" s="924"/>
      <c r="I216" s="51">
        <f t="shared" si="31"/>
        <v>1</v>
      </c>
      <c r="J216" s="924"/>
      <c r="K216" s="51">
        <f t="shared" si="32"/>
        <v>1</v>
      </c>
      <c r="L216" s="924"/>
      <c r="M216" s="51">
        <f t="shared" si="33"/>
        <v>1</v>
      </c>
      <c r="N216" s="924"/>
      <c r="O216" s="51">
        <f t="shared" si="34"/>
        <v>1</v>
      </c>
      <c r="P216" s="924"/>
      <c r="Q216" s="51">
        <f t="shared" si="35"/>
        <v>1</v>
      </c>
      <c r="R216" s="467">
        <f t="shared" si="36"/>
        <v>0</v>
      </c>
      <c r="S216" s="765">
        <f t="shared" si="37"/>
        <v>0</v>
      </c>
    </row>
    <row r="217" spans="1:19">
      <c r="A217" s="926"/>
      <c r="B217" s="132"/>
      <c r="C217" s="51">
        <f t="shared" si="28"/>
        <v>1</v>
      </c>
      <c r="D217" s="924"/>
      <c r="E217" s="51">
        <f t="shared" si="29"/>
        <v>1</v>
      </c>
      <c r="F217" s="924"/>
      <c r="G217" s="51">
        <f t="shared" si="30"/>
        <v>1</v>
      </c>
      <c r="H217" s="924"/>
      <c r="I217" s="51">
        <f t="shared" si="31"/>
        <v>1</v>
      </c>
      <c r="J217" s="924"/>
      <c r="K217" s="51">
        <f t="shared" si="32"/>
        <v>1</v>
      </c>
      <c r="L217" s="924"/>
      <c r="M217" s="51">
        <f t="shared" si="33"/>
        <v>1</v>
      </c>
      <c r="N217" s="924"/>
      <c r="O217" s="51">
        <f t="shared" si="34"/>
        <v>1</v>
      </c>
      <c r="P217" s="924"/>
      <c r="Q217" s="51">
        <f t="shared" si="35"/>
        <v>1</v>
      </c>
      <c r="R217" s="467">
        <f t="shared" si="36"/>
        <v>0</v>
      </c>
      <c r="S217" s="765">
        <f t="shared" si="37"/>
        <v>0</v>
      </c>
    </row>
    <row r="218" spans="1:19">
      <c r="A218" s="926"/>
      <c r="B218" s="132"/>
      <c r="C218" s="51">
        <f t="shared" ref="C218:C281" si="38">IF(B218="",1,(LOOKUP(B218,$3:$3,$4:$4)-LOOKUP($B$24,$3:$3,$4:$4)+100)/100)</f>
        <v>1</v>
      </c>
      <c r="D218" s="924"/>
      <c r="E218" s="51">
        <f t="shared" ref="E218:E281" si="39">(SUMIF($5:$5,D218,$6:$6)-SUMIF($5:$5,$D$24,$6:$6)+100)/100</f>
        <v>1</v>
      </c>
      <c r="F218" s="924"/>
      <c r="G218" s="51">
        <f t="shared" ref="G218:G281" si="40">(SUMIF($7:$7,F218,$8:$8)-SUMIF($7:$7,$F$24,$8:$8)+100)/100</f>
        <v>1</v>
      </c>
      <c r="H218" s="924"/>
      <c r="I218" s="51">
        <f t="shared" ref="I218:I281" si="41">(SUMIF($9:$9,H218,$10:$10)-SUMIF($9:$9,$H$24,$10:$10)+100)/100</f>
        <v>1</v>
      </c>
      <c r="J218" s="924"/>
      <c r="K218" s="51">
        <f t="shared" ref="K218:K281" si="42">(SUMIF($11:$11,J218,$12:$12)-SUMIF($11:$11,$J$24,$12:$12)+100)/100</f>
        <v>1</v>
      </c>
      <c r="L218" s="924"/>
      <c r="M218" s="51">
        <f t="shared" ref="M218:M281" si="43">(SUMIF($13:$13,L218,$14:$14)-SUMIF($13:$13,$L$24,$14:$14)+100)/100</f>
        <v>1</v>
      </c>
      <c r="N218" s="924"/>
      <c r="O218" s="51">
        <f t="shared" ref="O218:O281" si="44">(SUMIF($15:$15,N218,$16:$16)-SUMIF($15:$15,$N$24,$16:$16)+100)/100</f>
        <v>1</v>
      </c>
      <c r="P218" s="924"/>
      <c r="Q218" s="51">
        <f t="shared" ref="Q218:Q281" si="45">(SUMIF($17:$17,P218,$18:$18)-SUMIF($17:$17,$P$24,$18:$18)+100)/100</f>
        <v>1</v>
      </c>
      <c r="R218" s="467">
        <f t="shared" ref="R218:R281" si="46">IF(B218="",0,ROUND($R$24*C218*E218*G218*I218*K218*M218*O218*Q218,0))</f>
        <v>0</v>
      </c>
      <c r="S218" s="765">
        <f t="shared" si="37"/>
        <v>0</v>
      </c>
    </row>
    <row r="219" spans="1:19">
      <c r="A219" s="926"/>
      <c r="B219" s="132"/>
      <c r="C219" s="51">
        <f t="shared" si="38"/>
        <v>1</v>
      </c>
      <c r="D219" s="924"/>
      <c r="E219" s="51">
        <f t="shared" si="39"/>
        <v>1</v>
      </c>
      <c r="F219" s="924"/>
      <c r="G219" s="51">
        <f t="shared" si="40"/>
        <v>1</v>
      </c>
      <c r="H219" s="924"/>
      <c r="I219" s="51">
        <f t="shared" si="41"/>
        <v>1</v>
      </c>
      <c r="J219" s="924"/>
      <c r="K219" s="51">
        <f t="shared" si="42"/>
        <v>1</v>
      </c>
      <c r="L219" s="924"/>
      <c r="M219" s="51">
        <f t="shared" si="43"/>
        <v>1</v>
      </c>
      <c r="N219" s="924"/>
      <c r="O219" s="51">
        <f t="shared" si="44"/>
        <v>1</v>
      </c>
      <c r="P219" s="924"/>
      <c r="Q219" s="51">
        <f t="shared" si="45"/>
        <v>1</v>
      </c>
      <c r="R219" s="467">
        <f t="shared" si="46"/>
        <v>0</v>
      </c>
      <c r="S219" s="765">
        <f t="shared" si="37"/>
        <v>0</v>
      </c>
    </row>
    <row r="220" spans="1:19">
      <c r="A220" s="926"/>
      <c r="B220" s="132"/>
      <c r="C220" s="51">
        <f t="shared" si="38"/>
        <v>1</v>
      </c>
      <c r="D220" s="924"/>
      <c r="E220" s="51">
        <f t="shared" si="39"/>
        <v>1</v>
      </c>
      <c r="F220" s="924"/>
      <c r="G220" s="51">
        <f t="shared" si="40"/>
        <v>1</v>
      </c>
      <c r="H220" s="924"/>
      <c r="I220" s="51">
        <f t="shared" si="41"/>
        <v>1</v>
      </c>
      <c r="J220" s="924"/>
      <c r="K220" s="51">
        <f t="shared" si="42"/>
        <v>1</v>
      </c>
      <c r="L220" s="924"/>
      <c r="M220" s="51">
        <f t="shared" si="43"/>
        <v>1</v>
      </c>
      <c r="N220" s="924"/>
      <c r="O220" s="51">
        <f t="shared" si="44"/>
        <v>1</v>
      </c>
      <c r="P220" s="924"/>
      <c r="Q220" s="51">
        <f t="shared" si="45"/>
        <v>1</v>
      </c>
      <c r="R220" s="467">
        <f t="shared" si="46"/>
        <v>0</v>
      </c>
      <c r="S220" s="765">
        <f t="shared" si="37"/>
        <v>0</v>
      </c>
    </row>
    <row r="221" spans="1:19">
      <c r="A221" s="926"/>
      <c r="B221" s="132"/>
      <c r="C221" s="51">
        <f t="shared" si="38"/>
        <v>1</v>
      </c>
      <c r="D221" s="924"/>
      <c r="E221" s="51">
        <f t="shared" si="39"/>
        <v>1</v>
      </c>
      <c r="F221" s="924"/>
      <c r="G221" s="51">
        <f t="shared" si="40"/>
        <v>1</v>
      </c>
      <c r="H221" s="924"/>
      <c r="I221" s="51">
        <f t="shared" si="41"/>
        <v>1</v>
      </c>
      <c r="J221" s="924"/>
      <c r="K221" s="51">
        <f t="shared" si="42"/>
        <v>1</v>
      </c>
      <c r="L221" s="924"/>
      <c r="M221" s="51">
        <f t="shared" si="43"/>
        <v>1</v>
      </c>
      <c r="N221" s="924"/>
      <c r="O221" s="51">
        <f t="shared" si="44"/>
        <v>1</v>
      </c>
      <c r="P221" s="924"/>
      <c r="Q221" s="51">
        <f t="shared" si="45"/>
        <v>1</v>
      </c>
      <c r="R221" s="467">
        <f t="shared" si="46"/>
        <v>0</v>
      </c>
      <c r="S221" s="765">
        <f t="shared" si="37"/>
        <v>0</v>
      </c>
    </row>
    <row r="222" spans="1:19">
      <c r="A222" s="926"/>
      <c r="B222" s="132"/>
      <c r="C222" s="51">
        <f t="shared" si="38"/>
        <v>1</v>
      </c>
      <c r="D222" s="924"/>
      <c r="E222" s="51">
        <f t="shared" si="39"/>
        <v>1</v>
      </c>
      <c r="F222" s="924"/>
      <c r="G222" s="51">
        <f t="shared" si="40"/>
        <v>1</v>
      </c>
      <c r="H222" s="924"/>
      <c r="I222" s="51">
        <f t="shared" si="41"/>
        <v>1</v>
      </c>
      <c r="J222" s="924"/>
      <c r="K222" s="51">
        <f t="shared" si="42"/>
        <v>1</v>
      </c>
      <c r="L222" s="924"/>
      <c r="M222" s="51">
        <f t="shared" si="43"/>
        <v>1</v>
      </c>
      <c r="N222" s="924"/>
      <c r="O222" s="51">
        <f t="shared" si="44"/>
        <v>1</v>
      </c>
      <c r="P222" s="924"/>
      <c r="Q222" s="51">
        <f t="shared" si="45"/>
        <v>1</v>
      </c>
      <c r="R222" s="467">
        <f t="shared" si="46"/>
        <v>0</v>
      </c>
      <c r="S222" s="765">
        <f t="shared" si="37"/>
        <v>0</v>
      </c>
    </row>
    <row r="223" spans="1:19">
      <c r="A223" s="926"/>
      <c r="B223" s="132"/>
      <c r="C223" s="51">
        <f t="shared" si="38"/>
        <v>1</v>
      </c>
      <c r="D223" s="924"/>
      <c r="E223" s="51">
        <f t="shared" si="39"/>
        <v>1</v>
      </c>
      <c r="F223" s="924"/>
      <c r="G223" s="51">
        <f t="shared" si="40"/>
        <v>1</v>
      </c>
      <c r="H223" s="924"/>
      <c r="I223" s="51">
        <f t="shared" si="41"/>
        <v>1</v>
      </c>
      <c r="J223" s="924"/>
      <c r="K223" s="51">
        <f t="shared" si="42"/>
        <v>1</v>
      </c>
      <c r="L223" s="924"/>
      <c r="M223" s="51">
        <f t="shared" si="43"/>
        <v>1</v>
      </c>
      <c r="N223" s="924"/>
      <c r="O223" s="51">
        <f t="shared" si="44"/>
        <v>1</v>
      </c>
      <c r="P223" s="924"/>
      <c r="Q223" s="51">
        <f t="shared" si="45"/>
        <v>1</v>
      </c>
      <c r="R223" s="467">
        <f t="shared" si="46"/>
        <v>0</v>
      </c>
      <c r="S223" s="765">
        <f t="shared" ref="S223:S286" si="47">ROUND(R223*B223/10000,0)</f>
        <v>0</v>
      </c>
    </row>
    <row r="224" spans="1:19">
      <c r="A224" s="926"/>
      <c r="B224" s="132"/>
      <c r="C224" s="51">
        <f t="shared" si="38"/>
        <v>1</v>
      </c>
      <c r="D224" s="924"/>
      <c r="E224" s="51">
        <f t="shared" si="39"/>
        <v>1</v>
      </c>
      <c r="F224" s="924"/>
      <c r="G224" s="51">
        <f t="shared" si="40"/>
        <v>1</v>
      </c>
      <c r="H224" s="924"/>
      <c r="I224" s="51">
        <f t="shared" si="41"/>
        <v>1</v>
      </c>
      <c r="J224" s="924"/>
      <c r="K224" s="51">
        <f t="shared" si="42"/>
        <v>1</v>
      </c>
      <c r="L224" s="924"/>
      <c r="M224" s="51">
        <f t="shared" si="43"/>
        <v>1</v>
      </c>
      <c r="N224" s="924"/>
      <c r="O224" s="51">
        <f t="shared" si="44"/>
        <v>1</v>
      </c>
      <c r="P224" s="924"/>
      <c r="Q224" s="51">
        <f t="shared" si="45"/>
        <v>1</v>
      </c>
      <c r="R224" s="467">
        <f t="shared" si="46"/>
        <v>0</v>
      </c>
      <c r="S224" s="765">
        <f t="shared" si="47"/>
        <v>0</v>
      </c>
    </row>
    <row r="225" spans="1:19">
      <c r="A225" s="926"/>
      <c r="B225" s="132"/>
      <c r="C225" s="51">
        <f t="shared" si="38"/>
        <v>1</v>
      </c>
      <c r="D225" s="924"/>
      <c r="E225" s="51">
        <f t="shared" si="39"/>
        <v>1</v>
      </c>
      <c r="F225" s="924"/>
      <c r="G225" s="51">
        <f t="shared" si="40"/>
        <v>1</v>
      </c>
      <c r="H225" s="924"/>
      <c r="I225" s="51">
        <f t="shared" si="41"/>
        <v>1</v>
      </c>
      <c r="J225" s="924"/>
      <c r="K225" s="51">
        <f t="shared" si="42"/>
        <v>1</v>
      </c>
      <c r="L225" s="924"/>
      <c r="M225" s="51">
        <f t="shared" si="43"/>
        <v>1</v>
      </c>
      <c r="N225" s="924"/>
      <c r="O225" s="51">
        <f t="shared" si="44"/>
        <v>1</v>
      </c>
      <c r="P225" s="924"/>
      <c r="Q225" s="51">
        <f t="shared" si="45"/>
        <v>1</v>
      </c>
      <c r="R225" s="467">
        <f t="shared" si="46"/>
        <v>0</v>
      </c>
      <c r="S225" s="765">
        <f t="shared" si="47"/>
        <v>0</v>
      </c>
    </row>
    <row r="226" spans="1:19">
      <c r="A226" s="926"/>
      <c r="B226" s="132"/>
      <c r="C226" s="51">
        <f t="shared" si="38"/>
        <v>1</v>
      </c>
      <c r="D226" s="924"/>
      <c r="E226" s="51">
        <f t="shared" si="39"/>
        <v>1</v>
      </c>
      <c r="F226" s="924"/>
      <c r="G226" s="51">
        <f t="shared" si="40"/>
        <v>1</v>
      </c>
      <c r="H226" s="924"/>
      <c r="I226" s="51">
        <f t="shared" si="41"/>
        <v>1</v>
      </c>
      <c r="J226" s="924"/>
      <c r="K226" s="51">
        <f t="shared" si="42"/>
        <v>1</v>
      </c>
      <c r="L226" s="924"/>
      <c r="M226" s="51">
        <f t="shared" si="43"/>
        <v>1</v>
      </c>
      <c r="N226" s="924"/>
      <c r="O226" s="51">
        <f t="shared" si="44"/>
        <v>1</v>
      </c>
      <c r="P226" s="924"/>
      <c r="Q226" s="51">
        <f t="shared" si="45"/>
        <v>1</v>
      </c>
      <c r="R226" s="467">
        <f t="shared" si="46"/>
        <v>0</v>
      </c>
      <c r="S226" s="765">
        <f t="shared" si="47"/>
        <v>0</v>
      </c>
    </row>
    <row r="227" spans="1:19">
      <c r="A227" s="926"/>
      <c r="B227" s="132"/>
      <c r="C227" s="51">
        <f t="shared" si="38"/>
        <v>1</v>
      </c>
      <c r="D227" s="924"/>
      <c r="E227" s="51">
        <f t="shared" si="39"/>
        <v>1</v>
      </c>
      <c r="F227" s="924"/>
      <c r="G227" s="51">
        <f t="shared" si="40"/>
        <v>1</v>
      </c>
      <c r="H227" s="924"/>
      <c r="I227" s="51">
        <f t="shared" si="41"/>
        <v>1</v>
      </c>
      <c r="J227" s="924"/>
      <c r="K227" s="51">
        <f t="shared" si="42"/>
        <v>1</v>
      </c>
      <c r="L227" s="924"/>
      <c r="M227" s="51">
        <f t="shared" si="43"/>
        <v>1</v>
      </c>
      <c r="N227" s="924"/>
      <c r="O227" s="51">
        <f t="shared" si="44"/>
        <v>1</v>
      </c>
      <c r="P227" s="924"/>
      <c r="Q227" s="51">
        <f t="shared" si="45"/>
        <v>1</v>
      </c>
      <c r="R227" s="467">
        <f t="shared" si="46"/>
        <v>0</v>
      </c>
      <c r="S227" s="765">
        <f t="shared" si="47"/>
        <v>0</v>
      </c>
    </row>
    <row r="228" spans="1:19">
      <c r="A228" s="926"/>
      <c r="B228" s="132"/>
      <c r="C228" s="51">
        <f t="shared" si="38"/>
        <v>1</v>
      </c>
      <c r="D228" s="924"/>
      <c r="E228" s="51">
        <f t="shared" si="39"/>
        <v>1</v>
      </c>
      <c r="F228" s="924"/>
      <c r="G228" s="51">
        <f t="shared" si="40"/>
        <v>1</v>
      </c>
      <c r="H228" s="924"/>
      <c r="I228" s="51">
        <f t="shared" si="41"/>
        <v>1</v>
      </c>
      <c r="J228" s="924"/>
      <c r="K228" s="51">
        <f t="shared" si="42"/>
        <v>1</v>
      </c>
      <c r="L228" s="924"/>
      <c r="M228" s="51">
        <f t="shared" si="43"/>
        <v>1</v>
      </c>
      <c r="N228" s="924"/>
      <c r="O228" s="51">
        <f t="shared" si="44"/>
        <v>1</v>
      </c>
      <c r="P228" s="924"/>
      <c r="Q228" s="51">
        <f t="shared" si="45"/>
        <v>1</v>
      </c>
      <c r="R228" s="467">
        <f t="shared" si="46"/>
        <v>0</v>
      </c>
      <c r="S228" s="765">
        <f t="shared" si="47"/>
        <v>0</v>
      </c>
    </row>
    <row r="229" spans="1:19">
      <c r="A229" s="926"/>
      <c r="B229" s="132"/>
      <c r="C229" s="51">
        <f t="shared" si="38"/>
        <v>1</v>
      </c>
      <c r="D229" s="924"/>
      <c r="E229" s="51">
        <f t="shared" si="39"/>
        <v>1</v>
      </c>
      <c r="F229" s="924"/>
      <c r="G229" s="51">
        <f t="shared" si="40"/>
        <v>1</v>
      </c>
      <c r="H229" s="924"/>
      <c r="I229" s="51">
        <f t="shared" si="41"/>
        <v>1</v>
      </c>
      <c r="J229" s="924"/>
      <c r="K229" s="51">
        <f t="shared" si="42"/>
        <v>1</v>
      </c>
      <c r="L229" s="924"/>
      <c r="M229" s="51">
        <f t="shared" si="43"/>
        <v>1</v>
      </c>
      <c r="N229" s="924"/>
      <c r="O229" s="51">
        <f t="shared" si="44"/>
        <v>1</v>
      </c>
      <c r="P229" s="924"/>
      <c r="Q229" s="51">
        <f t="shared" si="45"/>
        <v>1</v>
      </c>
      <c r="R229" s="467">
        <f t="shared" si="46"/>
        <v>0</v>
      </c>
      <c r="S229" s="765">
        <f t="shared" si="47"/>
        <v>0</v>
      </c>
    </row>
    <row r="230" spans="1:19">
      <c r="A230" s="926"/>
      <c r="B230" s="132"/>
      <c r="C230" s="51">
        <f t="shared" si="38"/>
        <v>1</v>
      </c>
      <c r="D230" s="924"/>
      <c r="E230" s="51">
        <f t="shared" si="39"/>
        <v>1</v>
      </c>
      <c r="F230" s="924"/>
      <c r="G230" s="51">
        <f t="shared" si="40"/>
        <v>1</v>
      </c>
      <c r="H230" s="924"/>
      <c r="I230" s="51">
        <f t="shared" si="41"/>
        <v>1</v>
      </c>
      <c r="J230" s="924"/>
      <c r="K230" s="51">
        <f t="shared" si="42"/>
        <v>1</v>
      </c>
      <c r="L230" s="924"/>
      <c r="M230" s="51">
        <f t="shared" si="43"/>
        <v>1</v>
      </c>
      <c r="N230" s="924"/>
      <c r="O230" s="51">
        <f t="shared" si="44"/>
        <v>1</v>
      </c>
      <c r="P230" s="924"/>
      <c r="Q230" s="51">
        <f t="shared" si="45"/>
        <v>1</v>
      </c>
      <c r="R230" s="467">
        <f t="shared" si="46"/>
        <v>0</v>
      </c>
      <c r="S230" s="765">
        <f t="shared" si="47"/>
        <v>0</v>
      </c>
    </row>
    <row r="231" spans="1:19">
      <c r="A231" s="926"/>
      <c r="B231" s="132"/>
      <c r="C231" s="51">
        <f t="shared" si="38"/>
        <v>1</v>
      </c>
      <c r="D231" s="924"/>
      <c r="E231" s="51">
        <f t="shared" si="39"/>
        <v>1</v>
      </c>
      <c r="F231" s="924"/>
      <c r="G231" s="51">
        <f t="shared" si="40"/>
        <v>1</v>
      </c>
      <c r="H231" s="924"/>
      <c r="I231" s="51">
        <f t="shared" si="41"/>
        <v>1</v>
      </c>
      <c r="J231" s="924"/>
      <c r="K231" s="51">
        <f t="shared" si="42"/>
        <v>1</v>
      </c>
      <c r="L231" s="924"/>
      <c r="M231" s="51">
        <f t="shared" si="43"/>
        <v>1</v>
      </c>
      <c r="N231" s="924"/>
      <c r="O231" s="51">
        <f t="shared" si="44"/>
        <v>1</v>
      </c>
      <c r="P231" s="924"/>
      <c r="Q231" s="51">
        <f t="shared" si="45"/>
        <v>1</v>
      </c>
      <c r="R231" s="467">
        <f t="shared" si="46"/>
        <v>0</v>
      </c>
      <c r="S231" s="765">
        <f t="shared" si="47"/>
        <v>0</v>
      </c>
    </row>
    <row r="232" spans="1:19">
      <c r="A232" s="926"/>
      <c r="B232" s="132"/>
      <c r="C232" s="51">
        <f t="shared" si="38"/>
        <v>1</v>
      </c>
      <c r="D232" s="924"/>
      <c r="E232" s="51">
        <f t="shared" si="39"/>
        <v>1</v>
      </c>
      <c r="F232" s="924"/>
      <c r="G232" s="51">
        <f t="shared" si="40"/>
        <v>1</v>
      </c>
      <c r="H232" s="924"/>
      <c r="I232" s="51">
        <f t="shared" si="41"/>
        <v>1</v>
      </c>
      <c r="J232" s="924"/>
      <c r="K232" s="51">
        <f t="shared" si="42"/>
        <v>1</v>
      </c>
      <c r="L232" s="924"/>
      <c r="M232" s="51">
        <f t="shared" si="43"/>
        <v>1</v>
      </c>
      <c r="N232" s="924"/>
      <c r="O232" s="51">
        <f t="shared" si="44"/>
        <v>1</v>
      </c>
      <c r="P232" s="924"/>
      <c r="Q232" s="51">
        <f t="shared" si="45"/>
        <v>1</v>
      </c>
      <c r="R232" s="467">
        <f t="shared" si="46"/>
        <v>0</v>
      </c>
      <c r="S232" s="765">
        <f t="shared" si="47"/>
        <v>0</v>
      </c>
    </row>
    <row r="233" spans="1:19">
      <c r="A233" s="926"/>
      <c r="B233" s="132"/>
      <c r="C233" s="51">
        <f t="shared" si="38"/>
        <v>1</v>
      </c>
      <c r="D233" s="924"/>
      <c r="E233" s="51">
        <f t="shared" si="39"/>
        <v>1</v>
      </c>
      <c r="F233" s="924"/>
      <c r="G233" s="51">
        <f t="shared" si="40"/>
        <v>1</v>
      </c>
      <c r="H233" s="924"/>
      <c r="I233" s="51">
        <f t="shared" si="41"/>
        <v>1</v>
      </c>
      <c r="J233" s="924"/>
      <c r="K233" s="51">
        <f t="shared" si="42"/>
        <v>1</v>
      </c>
      <c r="L233" s="924"/>
      <c r="M233" s="51">
        <f t="shared" si="43"/>
        <v>1</v>
      </c>
      <c r="N233" s="924"/>
      <c r="O233" s="51">
        <f t="shared" si="44"/>
        <v>1</v>
      </c>
      <c r="P233" s="924"/>
      <c r="Q233" s="51">
        <f t="shared" si="45"/>
        <v>1</v>
      </c>
      <c r="R233" s="467">
        <f t="shared" si="46"/>
        <v>0</v>
      </c>
      <c r="S233" s="765">
        <f t="shared" si="47"/>
        <v>0</v>
      </c>
    </row>
    <row r="234" spans="1:19">
      <c r="A234" s="926"/>
      <c r="B234" s="132"/>
      <c r="C234" s="51">
        <f t="shared" si="38"/>
        <v>1</v>
      </c>
      <c r="D234" s="924"/>
      <c r="E234" s="51">
        <f t="shared" si="39"/>
        <v>1</v>
      </c>
      <c r="F234" s="924"/>
      <c r="G234" s="51">
        <f t="shared" si="40"/>
        <v>1</v>
      </c>
      <c r="H234" s="924"/>
      <c r="I234" s="51">
        <f t="shared" si="41"/>
        <v>1</v>
      </c>
      <c r="J234" s="924"/>
      <c r="K234" s="51">
        <f t="shared" si="42"/>
        <v>1</v>
      </c>
      <c r="L234" s="924"/>
      <c r="M234" s="51">
        <f t="shared" si="43"/>
        <v>1</v>
      </c>
      <c r="N234" s="924"/>
      <c r="O234" s="51">
        <f t="shared" si="44"/>
        <v>1</v>
      </c>
      <c r="P234" s="924"/>
      <c r="Q234" s="51">
        <f t="shared" si="45"/>
        <v>1</v>
      </c>
      <c r="R234" s="467">
        <f t="shared" si="46"/>
        <v>0</v>
      </c>
      <c r="S234" s="765">
        <f t="shared" si="47"/>
        <v>0</v>
      </c>
    </row>
    <row r="235" spans="1:19">
      <c r="A235" s="926"/>
      <c r="B235" s="132"/>
      <c r="C235" s="51">
        <f t="shared" si="38"/>
        <v>1</v>
      </c>
      <c r="D235" s="924"/>
      <c r="E235" s="51">
        <f t="shared" si="39"/>
        <v>1</v>
      </c>
      <c r="F235" s="924"/>
      <c r="G235" s="51">
        <f t="shared" si="40"/>
        <v>1</v>
      </c>
      <c r="H235" s="924"/>
      <c r="I235" s="51">
        <f t="shared" si="41"/>
        <v>1</v>
      </c>
      <c r="J235" s="924"/>
      <c r="K235" s="51">
        <f t="shared" si="42"/>
        <v>1</v>
      </c>
      <c r="L235" s="924"/>
      <c r="M235" s="51">
        <f t="shared" si="43"/>
        <v>1</v>
      </c>
      <c r="N235" s="924"/>
      <c r="O235" s="51">
        <f t="shared" si="44"/>
        <v>1</v>
      </c>
      <c r="P235" s="924"/>
      <c r="Q235" s="51">
        <f t="shared" si="45"/>
        <v>1</v>
      </c>
      <c r="R235" s="467">
        <f t="shared" si="46"/>
        <v>0</v>
      </c>
      <c r="S235" s="765">
        <f t="shared" si="47"/>
        <v>0</v>
      </c>
    </row>
    <row r="236" spans="1:19">
      <c r="A236" s="926"/>
      <c r="B236" s="132"/>
      <c r="C236" s="51">
        <f t="shared" si="38"/>
        <v>1</v>
      </c>
      <c r="D236" s="924"/>
      <c r="E236" s="51">
        <f t="shared" si="39"/>
        <v>1</v>
      </c>
      <c r="F236" s="924"/>
      <c r="G236" s="51">
        <f t="shared" si="40"/>
        <v>1</v>
      </c>
      <c r="H236" s="924"/>
      <c r="I236" s="51">
        <f t="shared" si="41"/>
        <v>1</v>
      </c>
      <c r="J236" s="924"/>
      <c r="K236" s="51">
        <f t="shared" si="42"/>
        <v>1</v>
      </c>
      <c r="L236" s="924"/>
      <c r="M236" s="51">
        <f t="shared" si="43"/>
        <v>1</v>
      </c>
      <c r="N236" s="924"/>
      <c r="O236" s="51">
        <f t="shared" si="44"/>
        <v>1</v>
      </c>
      <c r="P236" s="924"/>
      <c r="Q236" s="51">
        <f t="shared" si="45"/>
        <v>1</v>
      </c>
      <c r="R236" s="467">
        <f t="shared" si="46"/>
        <v>0</v>
      </c>
      <c r="S236" s="765">
        <f t="shared" si="47"/>
        <v>0</v>
      </c>
    </row>
    <row r="237" spans="1:19">
      <c r="A237" s="926"/>
      <c r="B237" s="132"/>
      <c r="C237" s="51">
        <f t="shared" si="38"/>
        <v>1</v>
      </c>
      <c r="D237" s="924"/>
      <c r="E237" s="51">
        <f t="shared" si="39"/>
        <v>1</v>
      </c>
      <c r="F237" s="924"/>
      <c r="G237" s="51">
        <f t="shared" si="40"/>
        <v>1</v>
      </c>
      <c r="H237" s="924"/>
      <c r="I237" s="51">
        <f t="shared" si="41"/>
        <v>1</v>
      </c>
      <c r="J237" s="924"/>
      <c r="K237" s="51">
        <f t="shared" si="42"/>
        <v>1</v>
      </c>
      <c r="L237" s="924"/>
      <c r="M237" s="51">
        <f t="shared" si="43"/>
        <v>1</v>
      </c>
      <c r="N237" s="924"/>
      <c r="O237" s="51">
        <f t="shared" si="44"/>
        <v>1</v>
      </c>
      <c r="P237" s="924"/>
      <c r="Q237" s="51">
        <f t="shared" si="45"/>
        <v>1</v>
      </c>
      <c r="R237" s="467">
        <f t="shared" si="46"/>
        <v>0</v>
      </c>
      <c r="S237" s="765">
        <f t="shared" si="47"/>
        <v>0</v>
      </c>
    </row>
    <row r="238" spans="1:19">
      <c r="A238" s="926"/>
      <c r="B238" s="132"/>
      <c r="C238" s="51">
        <f t="shared" si="38"/>
        <v>1</v>
      </c>
      <c r="D238" s="924"/>
      <c r="E238" s="51">
        <f t="shared" si="39"/>
        <v>1</v>
      </c>
      <c r="F238" s="924"/>
      <c r="G238" s="51">
        <f t="shared" si="40"/>
        <v>1</v>
      </c>
      <c r="H238" s="924"/>
      <c r="I238" s="51">
        <f t="shared" si="41"/>
        <v>1</v>
      </c>
      <c r="J238" s="924"/>
      <c r="K238" s="51">
        <f t="shared" si="42"/>
        <v>1</v>
      </c>
      <c r="L238" s="924"/>
      <c r="M238" s="51">
        <f t="shared" si="43"/>
        <v>1</v>
      </c>
      <c r="N238" s="924"/>
      <c r="O238" s="51">
        <f t="shared" si="44"/>
        <v>1</v>
      </c>
      <c r="P238" s="924"/>
      <c r="Q238" s="51">
        <f t="shared" si="45"/>
        <v>1</v>
      </c>
      <c r="R238" s="467">
        <f t="shared" si="46"/>
        <v>0</v>
      </c>
      <c r="S238" s="765">
        <f t="shared" si="47"/>
        <v>0</v>
      </c>
    </row>
    <row r="239" spans="1:19">
      <c r="A239" s="926"/>
      <c r="B239" s="132"/>
      <c r="C239" s="51">
        <f t="shared" si="38"/>
        <v>1</v>
      </c>
      <c r="D239" s="924"/>
      <c r="E239" s="51">
        <f t="shared" si="39"/>
        <v>1</v>
      </c>
      <c r="F239" s="924"/>
      <c r="G239" s="51">
        <f t="shared" si="40"/>
        <v>1</v>
      </c>
      <c r="H239" s="924"/>
      <c r="I239" s="51">
        <f t="shared" si="41"/>
        <v>1</v>
      </c>
      <c r="J239" s="924"/>
      <c r="K239" s="51">
        <f t="shared" si="42"/>
        <v>1</v>
      </c>
      <c r="L239" s="924"/>
      <c r="M239" s="51">
        <f t="shared" si="43"/>
        <v>1</v>
      </c>
      <c r="N239" s="924"/>
      <c r="O239" s="51">
        <f t="shared" si="44"/>
        <v>1</v>
      </c>
      <c r="P239" s="924"/>
      <c r="Q239" s="51">
        <f t="shared" si="45"/>
        <v>1</v>
      </c>
      <c r="R239" s="467">
        <f t="shared" si="46"/>
        <v>0</v>
      </c>
      <c r="S239" s="765">
        <f t="shared" si="47"/>
        <v>0</v>
      </c>
    </row>
    <row r="240" spans="1:19">
      <c r="A240" s="926"/>
      <c r="B240" s="132"/>
      <c r="C240" s="51">
        <f t="shared" si="38"/>
        <v>1</v>
      </c>
      <c r="D240" s="924"/>
      <c r="E240" s="51">
        <f t="shared" si="39"/>
        <v>1</v>
      </c>
      <c r="F240" s="924"/>
      <c r="G240" s="51">
        <f t="shared" si="40"/>
        <v>1</v>
      </c>
      <c r="H240" s="924"/>
      <c r="I240" s="51">
        <f t="shared" si="41"/>
        <v>1</v>
      </c>
      <c r="J240" s="924"/>
      <c r="K240" s="51">
        <f t="shared" si="42"/>
        <v>1</v>
      </c>
      <c r="L240" s="924"/>
      <c r="M240" s="51">
        <f t="shared" si="43"/>
        <v>1</v>
      </c>
      <c r="N240" s="924"/>
      <c r="O240" s="51">
        <f t="shared" si="44"/>
        <v>1</v>
      </c>
      <c r="P240" s="924"/>
      <c r="Q240" s="51">
        <f t="shared" si="45"/>
        <v>1</v>
      </c>
      <c r="R240" s="467">
        <f t="shared" si="46"/>
        <v>0</v>
      </c>
      <c r="S240" s="765">
        <f t="shared" si="47"/>
        <v>0</v>
      </c>
    </row>
    <row r="241" spans="1:19">
      <c r="A241" s="926"/>
      <c r="B241" s="132"/>
      <c r="C241" s="51">
        <f t="shared" si="38"/>
        <v>1</v>
      </c>
      <c r="D241" s="924"/>
      <c r="E241" s="51">
        <f t="shared" si="39"/>
        <v>1</v>
      </c>
      <c r="F241" s="924"/>
      <c r="G241" s="51">
        <f t="shared" si="40"/>
        <v>1</v>
      </c>
      <c r="H241" s="924"/>
      <c r="I241" s="51">
        <f t="shared" si="41"/>
        <v>1</v>
      </c>
      <c r="J241" s="924"/>
      <c r="K241" s="51">
        <f t="shared" si="42"/>
        <v>1</v>
      </c>
      <c r="L241" s="924"/>
      <c r="M241" s="51">
        <f t="shared" si="43"/>
        <v>1</v>
      </c>
      <c r="N241" s="924"/>
      <c r="O241" s="51">
        <f t="shared" si="44"/>
        <v>1</v>
      </c>
      <c r="P241" s="924"/>
      <c r="Q241" s="51">
        <f t="shared" si="45"/>
        <v>1</v>
      </c>
      <c r="R241" s="467">
        <f t="shared" si="46"/>
        <v>0</v>
      </c>
      <c r="S241" s="765">
        <f t="shared" si="47"/>
        <v>0</v>
      </c>
    </row>
    <row r="242" spans="1:19">
      <c r="A242" s="926"/>
      <c r="B242" s="132"/>
      <c r="C242" s="51">
        <f t="shared" si="38"/>
        <v>1</v>
      </c>
      <c r="D242" s="924"/>
      <c r="E242" s="51">
        <f t="shared" si="39"/>
        <v>1</v>
      </c>
      <c r="F242" s="924"/>
      <c r="G242" s="51">
        <f t="shared" si="40"/>
        <v>1</v>
      </c>
      <c r="H242" s="924"/>
      <c r="I242" s="51">
        <f t="shared" si="41"/>
        <v>1</v>
      </c>
      <c r="J242" s="924"/>
      <c r="K242" s="51">
        <f t="shared" si="42"/>
        <v>1</v>
      </c>
      <c r="L242" s="924"/>
      <c r="M242" s="51">
        <f t="shared" si="43"/>
        <v>1</v>
      </c>
      <c r="N242" s="924"/>
      <c r="O242" s="51">
        <f t="shared" si="44"/>
        <v>1</v>
      </c>
      <c r="P242" s="924"/>
      <c r="Q242" s="51">
        <f t="shared" si="45"/>
        <v>1</v>
      </c>
      <c r="R242" s="467">
        <f t="shared" si="46"/>
        <v>0</v>
      </c>
      <c r="S242" s="765">
        <f t="shared" si="47"/>
        <v>0</v>
      </c>
    </row>
    <row r="243" spans="1:19">
      <c r="A243" s="926"/>
      <c r="B243" s="132"/>
      <c r="C243" s="51">
        <f t="shared" si="38"/>
        <v>1</v>
      </c>
      <c r="D243" s="924"/>
      <c r="E243" s="51">
        <f t="shared" si="39"/>
        <v>1</v>
      </c>
      <c r="F243" s="924"/>
      <c r="G243" s="51">
        <f t="shared" si="40"/>
        <v>1</v>
      </c>
      <c r="H243" s="924"/>
      <c r="I243" s="51">
        <f t="shared" si="41"/>
        <v>1</v>
      </c>
      <c r="J243" s="924"/>
      <c r="K243" s="51">
        <f t="shared" si="42"/>
        <v>1</v>
      </c>
      <c r="L243" s="924"/>
      <c r="M243" s="51">
        <f t="shared" si="43"/>
        <v>1</v>
      </c>
      <c r="N243" s="924"/>
      <c r="O243" s="51">
        <f t="shared" si="44"/>
        <v>1</v>
      </c>
      <c r="P243" s="924"/>
      <c r="Q243" s="51">
        <f t="shared" si="45"/>
        <v>1</v>
      </c>
      <c r="R243" s="467">
        <f t="shared" si="46"/>
        <v>0</v>
      </c>
      <c r="S243" s="765">
        <f t="shared" si="47"/>
        <v>0</v>
      </c>
    </row>
    <row r="244" spans="1:19">
      <c r="A244" s="926"/>
      <c r="B244" s="132"/>
      <c r="C244" s="51">
        <f t="shared" si="38"/>
        <v>1</v>
      </c>
      <c r="D244" s="924"/>
      <c r="E244" s="51">
        <f t="shared" si="39"/>
        <v>1</v>
      </c>
      <c r="F244" s="924"/>
      <c r="G244" s="51">
        <f t="shared" si="40"/>
        <v>1</v>
      </c>
      <c r="H244" s="924"/>
      <c r="I244" s="51">
        <f t="shared" si="41"/>
        <v>1</v>
      </c>
      <c r="J244" s="924"/>
      <c r="K244" s="51">
        <f t="shared" si="42"/>
        <v>1</v>
      </c>
      <c r="L244" s="924"/>
      <c r="M244" s="51">
        <f t="shared" si="43"/>
        <v>1</v>
      </c>
      <c r="N244" s="924"/>
      <c r="O244" s="51">
        <f t="shared" si="44"/>
        <v>1</v>
      </c>
      <c r="P244" s="924"/>
      <c r="Q244" s="51">
        <f t="shared" si="45"/>
        <v>1</v>
      </c>
      <c r="R244" s="467">
        <f t="shared" si="46"/>
        <v>0</v>
      </c>
      <c r="S244" s="765">
        <f t="shared" si="47"/>
        <v>0</v>
      </c>
    </row>
    <row r="245" spans="1:19">
      <c r="A245" s="926"/>
      <c r="B245" s="132"/>
      <c r="C245" s="51">
        <f t="shared" si="38"/>
        <v>1</v>
      </c>
      <c r="D245" s="924"/>
      <c r="E245" s="51">
        <f t="shared" si="39"/>
        <v>1</v>
      </c>
      <c r="F245" s="924"/>
      <c r="G245" s="51">
        <f t="shared" si="40"/>
        <v>1</v>
      </c>
      <c r="H245" s="924"/>
      <c r="I245" s="51">
        <f t="shared" si="41"/>
        <v>1</v>
      </c>
      <c r="J245" s="924"/>
      <c r="K245" s="51">
        <f t="shared" si="42"/>
        <v>1</v>
      </c>
      <c r="L245" s="924"/>
      <c r="M245" s="51">
        <f t="shared" si="43"/>
        <v>1</v>
      </c>
      <c r="N245" s="924"/>
      <c r="O245" s="51">
        <f t="shared" si="44"/>
        <v>1</v>
      </c>
      <c r="P245" s="924"/>
      <c r="Q245" s="51">
        <f t="shared" si="45"/>
        <v>1</v>
      </c>
      <c r="R245" s="467">
        <f t="shared" si="46"/>
        <v>0</v>
      </c>
      <c r="S245" s="765">
        <f t="shared" si="47"/>
        <v>0</v>
      </c>
    </row>
    <row r="246" spans="1:19">
      <c r="A246" s="926"/>
      <c r="B246" s="132"/>
      <c r="C246" s="51">
        <f t="shared" si="38"/>
        <v>1</v>
      </c>
      <c r="D246" s="924"/>
      <c r="E246" s="51">
        <f t="shared" si="39"/>
        <v>1</v>
      </c>
      <c r="F246" s="924"/>
      <c r="G246" s="51">
        <f t="shared" si="40"/>
        <v>1</v>
      </c>
      <c r="H246" s="924"/>
      <c r="I246" s="51">
        <f t="shared" si="41"/>
        <v>1</v>
      </c>
      <c r="J246" s="924"/>
      <c r="K246" s="51">
        <f t="shared" si="42"/>
        <v>1</v>
      </c>
      <c r="L246" s="924"/>
      <c r="M246" s="51">
        <f t="shared" si="43"/>
        <v>1</v>
      </c>
      <c r="N246" s="924"/>
      <c r="O246" s="51">
        <f t="shared" si="44"/>
        <v>1</v>
      </c>
      <c r="P246" s="924"/>
      <c r="Q246" s="51">
        <f t="shared" si="45"/>
        <v>1</v>
      </c>
      <c r="R246" s="467">
        <f t="shared" si="46"/>
        <v>0</v>
      </c>
      <c r="S246" s="765">
        <f t="shared" si="47"/>
        <v>0</v>
      </c>
    </row>
    <row r="247" spans="1:19">
      <c r="A247" s="926"/>
      <c r="B247" s="132"/>
      <c r="C247" s="51">
        <f t="shared" si="38"/>
        <v>1</v>
      </c>
      <c r="D247" s="924"/>
      <c r="E247" s="51">
        <f t="shared" si="39"/>
        <v>1</v>
      </c>
      <c r="F247" s="924"/>
      <c r="G247" s="51">
        <f t="shared" si="40"/>
        <v>1</v>
      </c>
      <c r="H247" s="924"/>
      <c r="I247" s="51">
        <f t="shared" si="41"/>
        <v>1</v>
      </c>
      <c r="J247" s="924"/>
      <c r="K247" s="51">
        <f t="shared" si="42"/>
        <v>1</v>
      </c>
      <c r="L247" s="924"/>
      <c r="M247" s="51">
        <f t="shared" si="43"/>
        <v>1</v>
      </c>
      <c r="N247" s="924"/>
      <c r="O247" s="51">
        <f t="shared" si="44"/>
        <v>1</v>
      </c>
      <c r="P247" s="924"/>
      <c r="Q247" s="51">
        <f t="shared" si="45"/>
        <v>1</v>
      </c>
      <c r="R247" s="467">
        <f t="shared" si="46"/>
        <v>0</v>
      </c>
      <c r="S247" s="765">
        <f t="shared" si="47"/>
        <v>0</v>
      </c>
    </row>
    <row r="248" spans="1:19">
      <c r="A248" s="926"/>
      <c r="B248" s="132"/>
      <c r="C248" s="51">
        <f t="shared" si="38"/>
        <v>1</v>
      </c>
      <c r="D248" s="924"/>
      <c r="E248" s="51">
        <f t="shared" si="39"/>
        <v>1</v>
      </c>
      <c r="F248" s="924"/>
      <c r="G248" s="51">
        <f t="shared" si="40"/>
        <v>1</v>
      </c>
      <c r="H248" s="924"/>
      <c r="I248" s="51">
        <f t="shared" si="41"/>
        <v>1</v>
      </c>
      <c r="J248" s="924"/>
      <c r="K248" s="51">
        <f t="shared" si="42"/>
        <v>1</v>
      </c>
      <c r="L248" s="924"/>
      <c r="M248" s="51">
        <f t="shared" si="43"/>
        <v>1</v>
      </c>
      <c r="N248" s="924"/>
      <c r="O248" s="51">
        <f t="shared" si="44"/>
        <v>1</v>
      </c>
      <c r="P248" s="924"/>
      <c r="Q248" s="51">
        <f t="shared" si="45"/>
        <v>1</v>
      </c>
      <c r="R248" s="467">
        <f t="shared" si="46"/>
        <v>0</v>
      </c>
      <c r="S248" s="765">
        <f t="shared" si="47"/>
        <v>0</v>
      </c>
    </row>
    <row r="249" spans="1:19">
      <c r="A249" s="926"/>
      <c r="B249" s="132"/>
      <c r="C249" s="51">
        <f t="shared" si="38"/>
        <v>1</v>
      </c>
      <c r="D249" s="924"/>
      <c r="E249" s="51">
        <f t="shared" si="39"/>
        <v>1</v>
      </c>
      <c r="F249" s="924"/>
      <c r="G249" s="51">
        <f t="shared" si="40"/>
        <v>1</v>
      </c>
      <c r="H249" s="924"/>
      <c r="I249" s="51">
        <f t="shared" si="41"/>
        <v>1</v>
      </c>
      <c r="J249" s="924"/>
      <c r="K249" s="51">
        <f t="shared" si="42"/>
        <v>1</v>
      </c>
      <c r="L249" s="924"/>
      <c r="M249" s="51">
        <f t="shared" si="43"/>
        <v>1</v>
      </c>
      <c r="N249" s="924"/>
      <c r="O249" s="51">
        <f t="shared" si="44"/>
        <v>1</v>
      </c>
      <c r="P249" s="924"/>
      <c r="Q249" s="51">
        <f t="shared" si="45"/>
        <v>1</v>
      </c>
      <c r="R249" s="467">
        <f t="shared" si="46"/>
        <v>0</v>
      </c>
      <c r="S249" s="765">
        <f t="shared" si="47"/>
        <v>0</v>
      </c>
    </row>
    <row r="250" spans="1:19">
      <c r="A250" s="926"/>
      <c r="B250" s="132"/>
      <c r="C250" s="51">
        <f t="shared" si="38"/>
        <v>1</v>
      </c>
      <c r="D250" s="924"/>
      <c r="E250" s="51">
        <f t="shared" si="39"/>
        <v>1</v>
      </c>
      <c r="F250" s="924"/>
      <c r="G250" s="51">
        <f t="shared" si="40"/>
        <v>1</v>
      </c>
      <c r="H250" s="924"/>
      <c r="I250" s="51">
        <f t="shared" si="41"/>
        <v>1</v>
      </c>
      <c r="J250" s="924"/>
      <c r="K250" s="51">
        <f t="shared" si="42"/>
        <v>1</v>
      </c>
      <c r="L250" s="924"/>
      <c r="M250" s="51">
        <f t="shared" si="43"/>
        <v>1</v>
      </c>
      <c r="N250" s="924"/>
      <c r="O250" s="51">
        <f t="shared" si="44"/>
        <v>1</v>
      </c>
      <c r="P250" s="924"/>
      <c r="Q250" s="51">
        <f t="shared" si="45"/>
        <v>1</v>
      </c>
      <c r="R250" s="467">
        <f t="shared" si="46"/>
        <v>0</v>
      </c>
      <c r="S250" s="765">
        <f t="shared" si="47"/>
        <v>0</v>
      </c>
    </row>
    <row r="251" spans="1:19">
      <c r="A251" s="926"/>
      <c r="B251" s="132"/>
      <c r="C251" s="51">
        <f t="shared" si="38"/>
        <v>1</v>
      </c>
      <c r="D251" s="924"/>
      <c r="E251" s="51">
        <f t="shared" si="39"/>
        <v>1</v>
      </c>
      <c r="F251" s="924"/>
      <c r="G251" s="51">
        <f t="shared" si="40"/>
        <v>1</v>
      </c>
      <c r="H251" s="924"/>
      <c r="I251" s="51">
        <f t="shared" si="41"/>
        <v>1</v>
      </c>
      <c r="J251" s="924"/>
      <c r="K251" s="51">
        <f t="shared" si="42"/>
        <v>1</v>
      </c>
      <c r="L251" s="924"/>
      <c r="M251" s="51">
        <f t="shared" si="43"/>
        <v>1</v>
      </c>
      <c r="N251" s="924"/>
      <c r="O251" s="51">
        <f t="shared" si="44"/>
        <v>1</v>
      </c>
      <c r="P251" s="924"/>
      <c r="Q251" s="51">
        <f t="shared" si="45"/>
        <v>1</v>
      </c>
      <c r="R251" s="467">
        <f t="shared" si="46"/>
        <v>0</v>
      </c>
      <c r="S251" s="765">
        <f t="shared" si="47"/>
        <v>0</v>
      </c>
    </row>
    <row r="252" spans="1:19">
      <c r="A252" s="926"/>
      <c r="B252" s="132"/>
      <c r="C252" s="51">
        <f t="shared" si="38"/>
        <v>1</v>
      </c>
      <c r="D252" s="924"/>
      <c r="E252" s="51">
        <f t="shared" si="39"/>
        <v>1</v>
      </c>
      <c r="F252" s="924"/>
      <c r="G252" s="51">
        <f t="shared" si="40"/>
        <v>1</v>
      </c>
      <c r="H252" s="924"/>
      <c r="I252" s="51">
        <f t="shared" si="41"/>
        <v>1</v>
      </c>
      <c r="J252" s="924"/>
      <c r="K252" s="51">
        <f t="shared" si="42"/>
        <v>1</v>
      </c>
      <c r="L252" s="924"/>
      <c r="M252" s="51">
        <f t="shared" si="43"/>
        <v>1</v>
      </c>
      <c r="N252" s="924"/>
      <c r="O252" s="51">
        <f t="shared" si="44"/>
        <v>1</v>
      </c>
      <c r="P252" s="924"/>
      <c r="Q252" s="51">
        <f t="shared" si="45"/>
        <v>1</v>
      </c>
      <c r="R252" s="467">
        <f t="shared" si="46"/>
        <v>0</v>
      </c>
      <c r="S252" s="765">
        <f t="shared" si="47"/>
        <v>0</v>
      </c>
    </row>
    <row r="253" spans="1:19">
      <c r="A253" s="926"/>
      <c r="B253" s="132"/>
      <c r="C253" s="51">
        <f t="shared" si="38"/>
        <v>1</v>
      </c>
      <c r="D253" s="924"/>
      <c r="E253" s="51">
        <f t="shared" si="39"/>
        <v>1</v>
      </c>
      <c r="F253" s="924"/>
      <c r="G253" s="51">
        <f t="shared" si="40"/>
        <v>1</v>
      </c>
      <c r="H253" s="924"/>
      <c r="I253" s="51">
        <f t="shared" si="41"/>
        <v>1</v>
      </c>
      <c r="J253" s="924"/>
      <c r="K253" s="51">
        <f t="shared" si="42"/>
        <v>1</v>
      </c>
      <c r="L253" s="924"/>
      <c r="M253" s="51">
        <f t="shared" si="43"/>
        <v>1</v>
      </c>
      <c r="N253" s="924"/>
      <c r="O253" s="51">
        <f t="shared" si="44"/>
        <v>1</v>
      </c>
      <c r="P253" s="924"/>
      <c r="Q253" s="51">
        <f t="shared" si="45"/>
        <v>1</v>
      </c>
      <c r="R253" s="467">
        <f t="shared" si="46"/>
        <v>0</v>
      </c>
      <c r="S253" s="765">
        <f t="shared" si="47"/>
        <v>0</v>
      </c>
    </row>
    <row r="254" spans="1:19">
      <c r="A254" s="926"/>
      <c r="B254" s="132"/>
      <c r="C254" s="51">
        <f t="shared" si="38"/>
        <v>1</v>
      </c>
      <c r="D254" s="924"/>
      <c r="E254" s="51">
        <f t="shared" si="39"/>
        <v>1</v>
      </c>
      <c r="F254" s="924"/>
      <c r="G254" s="51">
        <f t="shared" si="40"/>
        <v>1</v>
      </c>
      <c r="H254" s="924"/>
      <c r="I254" s="51">
        <f t="shared" si="41"/>
        <v>1</v>
      </c>
      <c r="J254" s="924"/>
      <c r="K254" s="51">
        <f t="shared" si="42"/>
        <v>1</v>
      </c>
      <c r="L254" s="924"/>
      <c r="M254" s="51">
        <f t="shared" si="43"/>
        <v>1</v>
      </c>
      <c r="N254" s="924"/>
      <c r="O254" s="51">
        <f t="shared" si="44"/>
        <v>1</v>
      </c>
      <c r="P254" s="924"/>
      <c r="Q254" s="51">
        <f t="shared" si="45"/>
        <v>1</v>
      </c>
      <c r="R254" s="467">
        <f t="shared" si="46"/>
        <v>0</v>
      </c>
      <c r="S254" s="765">
        <f t="shared" si="47"/>
        <v>0</v>
      </c>
    </row>
    <row r="255" spans="1:19">
      <c r="A255" s="926"/>
      <c r="B255" s="132"/>
      <c r="C255" s="51">
        <f t="shared" si="38"/>
        <v>1</v>
      </c>
      <c r="D255" s="924"/>
      <c r="E255" s="51">
        <f t="shared" si="39"/>
        <v>1</v>
      </c>
      <c r="F255" s="924"/>
      <c r="G255" s="51">
        <f t="shared" si="40"/>
        <v>1</v>
      </c>
      <c r="H255" s="924"/>
      <c r="I255" s="51">
        <f t="shared" si="41"/>
        <v>1</v>
      </c>
      <c r="J255" s="924"/>
      <c r="K255" s="51">
        <f t="shared" si="42"/>
        <v>1</v>
      </c>
      <c r="L255" s="924"/>
      <c r="M255" s="51">
        <f t="shared" si="43"/>
        <v>1</v>
      </c>
      <c r="N255" s="924"/>
      <c r="O255" s="51">
        <f t="shared" si="44"/>
        <v>1</v>
      </c>
      <c r="P255" s="924"/>
      <c r="Q255" s="51">
        <f t="shared" si="45"/>
        <v>1</v>
      </c>
      <c r="R255" s="467">
        <f t="shared" si="46"/>
        <v>0</v>
      </c>
      <c r="S255" s="765">
        <f t="shared" si="47"/>
        <v>0</v>
      </c>
    </row>
    <row r="256" spans="1:19">
      <c r="A256" s="926"/>
      <c r="B256" s="132"/>
      <c r="C256" s="51">
        <f t="shared" si="38"/>
        <v>1</v>
      </c>
      <c r="D256" s="924"/>
      <c r="E256" s="51">
        <f t="shared" si="39"/>
        <v>1</v>
      </c>
      <c r="F256" s="924"/>
      <c r="G256" s="51">
        <f t="shared" si="40"/>
        <v>1</v>
      </c>
      <c r="H256" s="924"/>
      <c r="I256" s="51">
        <f t="shared" si="41"/>
        <v>1</v>
      </c>
      <c r="J256" s="924"/>
      <c r="K256" s="51">
        <f t="shared" si="42"/>
        <v>1</v>
      </c>
      <c r="L256" s="924"/>
      <c r="M256" s="51">
        <f t="shared" si="43"/>
        <v>1</v>
      </c>
      <c r="N256" s="924"/>
      <c r="O256" s="51">
        <f t="shared" si="44"/>
        <v>1</v>
      </c>
      <c r="P256" s="924"/>
      <c r="Q256" s="51">
        <f t="shared" si="45"/>
        <v>1</v>
      </c>
      <c r="R256" s="467">
        <f t="shared" si="46"/>
        <v>0</v>
      </c>
      <c r="S256" s="765">
        <f t="shared" si="47"/>
        <v>0</v>
      </c>
    </row>
    <row r="257" spans="1:19">
      <c r="A257" s="926"/>
      <c r="B257" s="132"/>
      <c r="C257" s="51">
        <f t="shared" si="38"/>
        <v>1</v>
      </c>
      <c r="D257" s="924"/>
      <c r="E257" s="51">
        <f t="shared" si="39"/>
        <v>1</v>
      </c>
      <c r="F257" s="924"/>
      <c r="G257" s="51">
        <f t="shared" si="40"/>
        <v>1</v>
      </c>
      <c r="H257" s="924"/>
      <c r="I257" s="51">
        <f t="shared" si="41"/>
        <v>1</v>
      </c>
      <c r="J257" s="924"/>
      <c r="K257" s="51">
        <f t="shared" si="42"/>
        <v>1</v>
      </c>
      <c r="L257" s="924"/>
      <c r="M257" s="51">
        <f t="shared" si="43"/>
        <v>1</v>
      </c>
      <c r="N257" s="924"/>
      <c r="O257" s="51">
        <f t="shared" si="44"/>
        <v>1</v>
      </c>
      <c r="P257" s="924"/>
      <c r="Q257" s="51">
        <f t="shared" si="45"/>
        <v>1</v>
      </c>
      <c r="R257" s="467">
        <f t="shared" si="46"/>
        <v>0</v>
      </c>
      <c r="S257" s="765">
        <f t="shared" si="47"/>
        <v>0</v>
      </c>
    </row>
    <row r="258" spans="1:19">
      <c r="A258" s="926"/>
      <c r="B258" s="132"/>
      <c r="C258" s="51">
        <f t="shared" si="38"/>
        <v>1</v>
      </c>
      <c r="D258" s="924"/>
      <c r="E258" s="51">
        <f t="shared" si="39"/>
        <v>1</v>
      </c>
      <c r="F258" s="924"/>
      <c r="G258" s="51">
        <f t="shared" si="40"/>
        <v>1</v>
      </c>
      <c r="H258" s="924"/>
      <c r="I258" s="51">
        <f t="shared" si="41"/>
        <v>1</v>
      </c>
      <c r="J258" s="924"/>
      <c r="K258" s="51">
        <f t="shared" si="42"/>
        <v>1</v>
      </c>
      <c r="L258" s="924"/>
      <c r="M258" s="51">
        <f t="shared" si="43"/>
        <v>1</v>
      </c>
      <c r="N258" s="924"/>
      <c r="O258" s="51">
        <f t="shared" si="44"/>
        <v>1</v>
      </c>
      <c r="P258" s="924"/>
      <c r="Q258" s="51">
        <f t="shared" si="45"/>
        <v>1</v>
      </c>
      <c r="R258" s="467">
        <f t="shared" si="46"/>
        <v>0</v>
      </c>
      <c r="S258" s="765">
        <f t="shared" si="47"/>
        <v>0</v>
      </c>
    </row>
    <row r="259" spans="1:19">
      <c r="A259" s="926"/>
      <c r="B259" s="132"/>
      <c r="C259" s="51">
        <f t="shared" si="38"/>
        <v>1</v>
      </c>
      <c r="D259" s="924"/>
      <c r="E259" s="51">
        <f t="shared" si="39"/>
        <v>1</v>
      </c>
      <c r="F259" s="924"/>
      <c r="G259" s="51">
        <f t="shared" si="40"/>
        <v>1</v>
      </c>
      <c r="H259" s="924"/>
      <c r="I259" s="51">
        <f t="shared" si="41"/>
        <v>1</v>
      </c>
      <c r="J259" s="924"/>
      <c r="K259" s="51">
        <f t="shared" si="42"/>
        <v>1</v>
      </c>
      <c r="L259" s="924"/>
      <c r="M259" s="51">
        <f t="shared" si="43"/>
        <v>1</v>
      </c>
      <c r="N259" s="924"/>
      <c r="O259" s="51">
        <f t="shared" si="44"/>
        <v>1</v>
      </c>
      <c r="P259" s="924"/>
      <c r="Q259" s="51">
        <f t="shared" si="45"/>
        <v>1</v>
      </c>
      <c r="R259" s="467">
        <f t="shared" si="46"/>
        <v>0</v>
      </c>
      <c r="S259" s="765">
        <f t="shared" si="47"/>
        <v>0</v>
      </c>
    </row>
    <row r="260" spans="1:19">
      <c r="A260" s="926"/>
      <c r="B260" s="132"/>
      <c r="C260" s="51">
        <f t="shared" si="38"/>
        <v>1</v>
      </c>
      <c r="D260" s="924"/>
      <c r="E260" s="51">
        <f t="shared" si="39"/>
        <v>1</v>
      </c>
      <c r="F260" s="924"/>
      <c r="G260" s="51">
        <f t="shared" si="40"/>
        <v>1</v>
      </c>
      <c r="H260" s="924"/>
      <c r="I260" s="51">
        <f t="shared" si="41"/>
        <v>1</v>
      </c>
      <c r="J260" s="924"/>
      <c r="K260" s="51">
        <f t="shared" si="42"/>
        <v>1</v>
      </c>
      <c r="L260" s="924"/>
      <c r="M260" s="51">
        <f t="shared" si="43"/>
        <v>1</v>
      </c>
      <c r="N260" s="924"/>
      <c r="O260" s="51">
        <f t="shared" si="44"/>
        <v>1</v>
      </c>
      <c r="P260" s="924"/>
      <c r="Q260" s="51">
        <f t="shared" si="45"/>
        <v>1</v>
      </c>
      <c r="R260" s="467">
        <f t="shared" si="46"/>
        <v>0</v>
      </c>
      <c r="S260" s="765">
        <f t="shared" si="47"/>
        <v>0</v>
      </c>
    </row>
    <row r="261" spans="1:19">
      <c r="A261" s="926"/>
      <c r="B261" s="132"/>
      <c r="C261" s="51">
        <f t="shared" si="38"/>
        <v>1</v>
      </c>
      <c r="D261" s="924"/>
      <c r="E261" s="51">
        <f t="shared" si="39"/>
        <v>1</v>
      </c>
      <c r="F261" s="924"/>
      <c r="G261" s="51">
        <f t="shared" si="40"/>
        <v>1</v>
      </c>
      <c r="H261" s="924"/>
      <c r="I261" s="51">
        <f t="shared" si="41"/>
        <v>1</v>
      </c>
      <c r="J261" s="924"/>
      <c r="K261" s="51">
        <f t="shared" si="42"/>
        <v>1</v>
      </c>
      <c r="L261" s="924"/>
      <c r="M261" s="51">
        <f t="shared" si="43"/>
        <v>1</v>
      </c>
      <c r="N261" s="924"/>
      <c r="O261" s="51">
        <f t="shared" si="44"/>
        <v>1</v>
      </c>
      <c r="P261" s="924"/>
      <c r="Q261" s="51">
        <f t="shared" si="45"/>
        <v>1</v>
      </c>
      <c r="R261" s="467">
        <f t="shared" si="46"/>
        <v>0</v>
      </c>
      <c r="S261" s="765">
        <f t="shared" si="47"/>
        <v>0</v>
      </c>
    </row>
    <row r="262" spans="1:19">
      <c r="A262" s="926"/>
      <c r="B262" s="132"/>
      <c r="C262" s="51">
        <f t="shared" si="38"/>
        <v>1</v>
      </c>
      <c r="D262" s="924"/>
      <c r="E262" s="51">
        <f t="shared" si="39"/>
        <v>1</v>
      </c>
      <c r="F262" s="924"/>
      <c r="G262" s="51">
        <f t="shared" si="40"/>
        <v>1</v>
      </c>
      <c r="H262" s="924"/>
      <c r="I262" s="51">
        <f t="shared" si="41"/>
        <v>1</v>
      </c>
      <c r="J262" s="924"/>
      <c r="K262" s="51">
        <f t="shared" si="42"/>
        <v>1</v>
      </c>
      <c r="L262" s="924"/>
      <c r="M262" s="51">
        <f t="shared" si="43"/>
        <v>1</v>
      </c>
      <c r="N262" s="924"/>
      <c r="O262" s="51">
        <f t="shared" si="44"/>
        <v>1</v>
      </c>
      <c r="P262" s="924"/>
      <c r="Q262" s="51">
        <f t="shared" si="45"/>
        <v>1</v>
      </c>
      <c r="R262" s="467">
        <f t="shared" si="46"/>
        <v>0</v>
      </c>
      <c r="S262" s="765">
        <f t="shared" si="47"/>
        <v>0</v>
      </c>
    </row>
    <row r="263" spans="1:19">
      <c r="A263" s="926"/>
      <c r="B263" s="132"/>
      <c r="C263" s="51">
        <f t="shared" si="38"/>
        <v>1</v>
      </c>
      <c r="D263" s="924"/>
      <c r="E263" s="51">
        <f t="shared" si="39"/>
        <v>1</v>
      </c>
      <c r="F263" s="924"/>
      <c r="G263" s="51">
        <f t="shared" si="40"/>
        <v>1</v>
      </c>
      <c r="H263" s="924"/>
      <c r="I263" s="51">
        <f t="shared" si="41"/>
        <v>1</v>
      </c>
      <c r="J263" s="924"/>
      <c r="K263" s="51">
        <f t="shared" si="42"/>
        <v>1</v>
      </c>
      <c r="L263" s="924"/>
      <c r="M263" s="51">
        <f t="shared" si="43"/>
        <v>1</v>
      </c>
      <c r="N263" s="924"/>
      <c r="O263" s="51">
        <f t="shared" si="44"/>
        <v>1</v>
      </c>
      <c r="P263" s="924"/>
      <c r="Q263" s="51">
        <f t="shared" si="45"/>
        <v>1</v>
      </c>
      <c r="R263" s="467">
        <f t="shared" si="46"/>
        <v>0</v>
      </c>
      <c r="S263" s="765">
        <f t="shared" si="47"/>
        <v>0</v>
      </c>
    </row>
    <row r="264" spans="1:19">
      <c r="A264" s="926"/>
      <c r="B264" s="132"/>
      <c r="C264" s="51">
        <f t="shared" si="38"/>
        <v>1</v>
      </c>
      <c r="D264" s="924"/>
      <c r="E264" s="51">
        <f t="shared" si="39"/>
        <v>1</v>
      </c>
      <c r="F264" s="924"/>
      <c r="G264" s="51">
        <f t="shared" si="40"/>
        <v>1</v>
      </c>
      <c r="H264" s="924"/>
      <c r="I264" s="51">
        <f t="shared" si="41"/>
        <v>1</v>
      </c>
      <c r="J264" s="924"/>
      <c r="K264" s="51">
        <f t="shared" si="42"/>
        <v>1</v>
      </c>
      <c r="L264" s="924"/>
      <c r="M264" s="51">
        <f t="shared" si="43"/>
        <v>1</v>
      </c>
      <c r="N264" s="924"/>
      <c r="O264" s="51">
        <f t="shared" si="44"/>
        <v>1</v>
      </c>
      <c r="P264" s="924"/>
      <c r="Q264" s="51">
        <f t="shared" si="45"/>
        <v>1</v>
      </c>
      <c r="R264" s="467">
        <f t="shared" si="46"/>
        <v>0</v>
      </c>
      <c r="S264" s="765">
        <f t="shared" si="47"/>
        <v>0</v>
      </c>
    </row>
    <row r="265" spans="1:19">
      <c r="A265" s="926"/>
      <c r="B265" s="132"/>
      <c r="C265" s="51">
        <f t="shared" si="38"/>
        <v>1</v>
      </c>
      <c r="D265" s="924"/>
      <c r="E265" s="51">
        <f t="shared" si="39"/>
        <v>1</v>
      </c>
      <c r="F265" s="924"/>
      <c r="G265" s="51">
        <f t="shared" si="40"/>
        <v>1</v>
      </c>
      <c r="H265" s="924"/>
      <c r="I265" s="51">
        <f t="shared" si="41"/>
        <v>1</v>
      </c>
      <c r="J265" s="924"/>
      <c r="K265" s="51">
        <f t="shared" si="42"/>
        <v>1</v>
      </c>
      <c r="L265" s="924"/>
      <c r="M265" s="51">
        <f t="shared" si="43"/>
        <v>1</v>
      </c>
      <c r="N265" s="924"/>
      <c r="O265" s="51">
        <f t="shared" si="44"/>
        <v>1</v>
      </c>
      <c r="P265" s="924"/>
      <c r="Q265" s="51">
        <f t="shared" si="45"/>
        <v>1</v>
      </c>
      <c r="R265" s="467">
        <f t="shared" si="46"/>
        <v>0</v>
      </c>
      <c r="S265" s="765">
        <f t="shared" si="47"/>
        <v>0</v>
      </c>
    </row>
    <row r="266" spans="1:19">
      <c r="A266" s="926"/>
      <c r="B266" s="132"/>
      <c r="C266" s="51">
        <f t="shared" si="38"/>
        <v>1</v>
      </c>
      <c r="D266" s="924"/>
      <c r="E266" s="51">
        <f t="shared" si="39"/>
        <v>1</v>
      </c>
      <c r="F266" s="924"/>
      <c r="G266" s="51">
        <f t="shared" si="40"/>
        <v>1</v>
      </c>
      <c r="H266" s="924"/>
      <c r="I266" s="51">
        <f t="shared" si="41"/>
        <v>1</v>
      </c>
      <c r="J266" s="924"/>
      <c r="K266" s="51">
        <f t="shared" si="42"/>
        <v>1</v>
      </c>
      <c r="L266" s="924"/>
      <c r="M266" s="51">
        <f t="shared" si="43"/>
        <v>1</v>
      </c>
      <c r="N266" s="924"/>
      <c r="O266" s="51">
        <f t="shared" si="44"/>
        <v>1</v>
      </c>
      <c r="P266" s="924"/>
      <c r="Q266" s="51">
        <f t="shared" si="45"/>
        <v>1</v>
      </c>
      <c r="R266" s="467">
        <f t="shared" si="46"/>
        <v>0</v>
      </c>
      <c r="S266" s="765">
        <f t="shared" si="47"/>
        <v>0</v>
      </c>
    </row>
    <row r="267" spans="1:19">
      <c r="A267" s="926"/>
      <c r="B267" s="132"/>
      <c r="C267" s="51">
        <f t="shared" si="38"/>
        <v>1</v>
      </c>
      <c r="D267" s="924"/>
      <c r="E267" s="51">
        <f t="shared" si="39"/>
        <v>1</v>
      </c>
      <c r="F267" s="924"/>
      <c r="G267" s="51">
        <f t="shared" si="40"/>
        <v>1</v>
      </c>
      <c r="H267" s="924"/>
      <c r="I267" s="51">
        <f t="shared" si="41"/>
        <v>1</v>
      </c>
      <c r="J267" s="924"/>
      <c r="K267" s="51">
        <f t="shared" si="42"/>
        <v>1</v>
      </c>
      <c r="L267" s="924"/>
      <c r="M267" s="51">
        <f t="shared" si="43"/>
        <v>1</v>
      </c>
      <c r="N267" s="924"/>
      <c r="O267" s="51">
        <f t="shared" si="44"/>
        <v>1</v>
      </c>
      <c r="P267" s="924"/>
      <c r="Q267" s="51">
        <f t="shared" si="45"/>
        <v>1</v>
      </c>
      <c r="R267" s="467">
        <f t="shared" si="46"/>
        <v>0</v>
      </c>
      <c r="S267" s="765">
        <f t="shared" si="47"/>
        <v>0</v>
      </c>
    </row>
    <row r="268" spans="1:19">
      <c r="A268" s="926"/>
      <c r="B268" s="132"/>
      <c r="C268" s="51">
        <f t="shared" si="38"/>
        <v>1</v>
      </c>
      <c r="D268" s="924"/>
      <c r="E268" s="51">
        <f t="shared" si="39"/>
        <v>1</v>
      </c>
      <c r="F268" s="924"/>
      <c r="G268" s="51">
        <f t="shared" si="40"/>
        <v>1</v>
      </c>
      <c r="H268" s="924"/>
      <c r="I268" s="51">
        <f t="shared" si="41"/>
        <v>1</v>
      </c>
      <c r="J268" s="924"/>
      <c r="K268" s="51">
        <f t="shared" si="42"/>
        <v>1</v>
      </c>
      <c r="L268" s="924"/>
      <c r="M268" s="51">
        <f t="shared" si="43"/>
        <v>1</v>
      </c>
      <c r="N268" s="924"/>
      <c r="O268" s="51">
        <f t="shared" si="44"/>
        <v>1</v>
      </c>
      <c r="P268" s="924"/>
      <c r="Q268" s="51">
        <f t="shared" si="45"/>
        <v>1</v>
      </c>
      <c r="R268" s="467">
        <f t="shared" si="46"/>
        <v>0</v>
      </c>
      <c r="S268" s="765">
        <f t="shared" si="47"/>
        <v>0</v>
      </c>
    </row>
    <row r="269" spans="1:19">
      <c r="A269" s="926"/>
      <c r="B269" s="132"/>
      <c r="C269" s="51">
        <f t="shared" si="38"/>
        <v>1</v>
      </c>
      <c r="D269" s="924"/>
      <c r="E269" s="51">
        <f t="shared" si="39"/>
        <v>1</v>
      </c>
      <c r="F269" s="924"/>
      <c r="G269" s="51">
        <f t="shared" si="40"/>
        <v>1</v>
      </c>
      <c r="H269" s="924"/>
      <c r="I269" s="51">
        <f t="shared" si="41"/>
        <v>1</v>
      </c>
      <c r="J269" s="924"/>
      <c r="K269" s="51">
        <f t="shared" si="42"/>
        <v>1</v>
      </c>
      <c r="L269" s="924"/>
      <c r="M269" s="51">
        <f t="shared" si="43"/>
        <v>1</v>
      </c>
      <c r="N269" s="924"/>
      <c r="O269" s="51">
        <f t="shared" si="44"/>
        <v>1</v>
      </c>
      <c r="P269" s="924"/>
      <c r="Q269" s="51">
        <f t="shared" si="45"/>
        <v>1</v>
      </c>
      <c r="R269" s="467">
        <f t="shared" si="46"/>
        <v>0</v>
      </c>
      <c r="S269" s="765">
        <f t="shared" si="47"/>
        <v>0</v>
      </c>
    </row>
    <row r="270" spans="1:19">
      <c r="A270" s="926"/>
      <c r="B270" s="132"/>
      <c r="C270" s="51">
        <f t="shared" si="38"/>
        <v>1</v>
      </c>
      <c r="D270" s="924"/>
      <c r="E270" s="51">
        <f t="shared" si="39"/>
        <v>1</v>
      </c>
      <c r="F270" s="924"/>
      <c r="G270" s="51">
        <f t="shared" si="40"/>
        <v>1</v>
      </c>
      <c r="H270" s="924"/>
      <c r="I270" s="51">
        <f t="shared" si="41"/>
        <v>1</v>
      </c>
      <c r="J270" s="924"/>
      <c r="K270" s="51">
        <f t="shared" si="42"/>
        <v>1</v>
      </c>
      <c r="L270" s="924"/>
      <c r="M270" s="51">
        <f t="shared" si="43"/>
        <v>1</v>
      </c>
      <c r="N270" s="924"/>
      <c r="O270" s="51">
        <f t="shared" si="44"/>
        <v>1</v>
      </c>
      <c r="P270" s="924"/>
      <c r="Q270" s="51">
        <f t="shared" si="45"/>
        <v>1</v>
      </c>
      <c r="R270" s="467">
        <f t="shared" si="46"/>
        <v>0</v>
      </c>
      <c r="S270" s="765">
        <f t="shared" si="47"/>
        <v>0</v>
      </c>
    </row>
    <row r="271" spans="1:19">
      <c r="A271" s="926"/>
      <c r="B271" s="132"/>
      <c r="C271" s="51">
        <f t="shared" si="38"/>
        <v>1</v>
      </c>
      <c r="D271" s="924"/>
      <c r="E271" s="51">
        <f t="shared" si="39"/>
        <v>1</v>
      </c>
      <c r="F271" s="924"/>
      <c r="G271" s="51">
        <f t="shared" si="40"/>
        <v>1</v>
      </c>
      <c r="H271" s="924"/>
      <c r="I271" s="51">
        <f t="shared" si="41"/>
        <v>1</v>
      </c>
      <c r="J271" s="924"/>
      <c r="K271" s="51">
        <f t="shared" si="42"/>
        <v>1</v>
      </c>
      <c r="L271" s="924"/>
      <c r="M271" s="51">
        <f t="shared" si="43"/>
        <v>1</v>
      </c>
      <c r="N271" s="924"/>
      <c r="O271" s="51">
        <f t="shared" si="44"/>
        <v>1</v>
      </c>
      <c r="P271" s="924"/>
      <c r="Q271" s="51">
        <f t="shared" si="45"/>
        <v>1</v>
      </c>
      <c r="R271" s="467">
        <f t="shared" si="46"/>
        <v>0</v>
      </c>
      <c r="S271" s="765">
        <f t="shared" si="47"/>
        <v>0</v>
      </c>
    </row>
    <row r="272" spans="1:19">
      <c r="A272" s="926"/>
      <c r="B272" s="132"/>
      <c r="C272" s="51">
        <f t="shared" si="38"/>
        <v>1</v>
      </c>
      <c r="D272" s="924"/>
      <c r="E272" s="51">
        <f t="shared" si="39"/>
        <v>1</v>
      </c>
      <c r="F272" s="924"/>
      <c r="G272" s="51">
        <f t="shared" si="40"/>
        <v>1</v>
      </c>
      <c r="H272" s="924"/>
      <c r="I272" s="51">
        <f t="shared" si="41"/>
        <v>1</v>
      </c>
      <c r="J272" s="924"/>
      <c r="K272" s="51">
        <f t="shared" si="42"/>
        <v>1</v>
      </c>
      <c r="L272" s="924"/>
      <c r="M272" s="51">
        <f t="shared" si="43"/>
        <v>1</v>
      </c>
      <c r="N272" s="924"/>
      <c r="O272" s="51">
        <f t="shared" si="44"/>
        <v>1</v>
      </c>
      <c r="P272" s="924"/>
      <c r="Q272" s="51">
        <f t="shared" si="45"/>
        <v>1</v>
      </c>
      <c r="R272" s="467">
        <f t="shared" si="46"/>
        <v>0</v>
      </c>
      <c r="S272" s="765">
        <f t="shared" si="47"/>
        <v>0</v>
      </c>
    </row>
    <row r="273" spans="1:19">
      <c r="A273" s="926"/>
      <c r="B273" s="132"/>
      <c r="C273" s="51">
        <f t="shared" si="38"/>
        <v>1</v>
      </c>
      <c r="D273" s="924"/>
      <c r="E273" s="51">
        <f t="shared" si="39"/>
        <v>1</v>
      </c>
      <c r="F273" s="924"/>
      <c r="G273" s="51">
        <f t="shared" si="40"/>
        <v>1</v>
      </c>
      <c r="H273" s="924"/>
      <c r="I273" s="51">
        <f t="shared" si="41"/>
        <v>1</v>
      </c>
      <c r="J273" s="924"/>
      <c r="K273" s="51">
        <f t="shared" si="42"/>
        <v>1</v>
      </c>
      <c r="L273" s="924"/>
      <c r="M273" s="51">
        <f t="shared" si="43"/>
        <v>1</v>
      </c>
      <c r="N273" s="924"/>
      <c r="O273" s="51">
        <f t="shared" si="44"/>
        <v>1</v>
      </c>
      <c r="P273" s="924"/>
      <c r="Q273" s="51">
        <f t="shared" si="45"/>
        <v>1</v>
      </c>
      <c r="R273" s="467">
        <f t="shared" si="46"/>
        <v>0</v>
      </c>
      <c r="S273" s="765">
        <f t="shared" si="47"/>
        <v>0</v>
      </c>
    </row>
    <row r="274" spans="1:19">
      <c r="A274" s="926"/>
      <c r="B274" s="132"/>
      <c r="C274" s="51">
        <f t="shared" si="38"/>
        <v>1</v>
      </c>
      <c r="D274" s="924"/>
      <c r="E274" s="51">
        <f t="shared" si="39"/>
        <v>1</v>
      </c>
      <c r="F274" s="924"/>
      <c r="G274" s="51">
        <f t="shared" si="40"/>
        <v>1</v>
      </c>
      <c r="H274" s="924"/>
      <c r="I274" s="51">
        <f t="shared" si="41"/>
        <v>1</v>
      </c>
      <c r="J274" s="924"/>
      <c r="K274" s="51">
        <f t="shared" si="42"/>
        <v>1</v>
      </c>
      <c r="L274" s="924"/>
      <c r="M274" s="51">
        <f t="shared" si="43"/>
        <v>1</v>
      </c>
      <c r="N274" s="924"/>
      <c r="O274" s="51">
        <f t="shared" si="44"/>
        <v>1</v>
      </c>
      <c r="P274" s="924"/>
      <c r="Q274" s="51">
        <f t="shared" si="45"/>
        <v>1</v>
      </c>
      <c r="R274" s="467">
        <f t="shared" si="46"/>
        <v>0</v>
      </c>
      <c r="S274" s="765">
        <f t="shared" si="47"/>
        <v>0</v>
      </c>
    </row>
    <row r="275" spans="1:19">
      <c r="A275" s="926"/>
      <c r="B275" s="132"/>
      <c r="C275" s="51">
        <f t="shared" si="38"/>
        <v>1</v>
      </c>
      <c r="D275" s="924"/>
      <c r="E275" s="51">
        <f t="shared" si="39"/>
        <v>1</v>
      </c>
      <c r="F275" s="924"/>
      <c r="G275" s="51">
        <f t="shared" si="40"/>
        <v>1</v>
      </c>
      <c r="H275" s="924"/>
      <c r="I275" s="51">
        <f t="shared" si="41"/>
        <v>1</v>
      </c>
      <c r="J275" s="924"/>
      <c r="K275" s="51">
        <f t="shared" si="42"/>
        <v>1</v>
      </c>
      <c r="L275" s="924"/>
      <c r="M275" s="51">
        <f t="shared" si="43"/>
        <v>1</v>
      </c>
      <c r="N275" s="924"/>
      <c r="O275" s="51">
        <f t="shared" si="44"/>
        <v>1</v>
      </c>
      <c r="P275" s="924"/>
      <c r="Q275" s="51">
        <f t="shared" si="45"/>
        <v>1</v>
      </c>
      <c r="R275" s="467">
        <f t="shared" si="46"/>
        <v>0</v>
      </c>
      <c r="S275" s="765">
        <f t="shared" si="47"/>
        <v>0</v>
      </c>
    </row>
    <row r="276" spans="1:19">
      <c r="A276" s="926"/>
      <c r="B276" s="132"/>
      <c r="C276" s="51">
        <f t="shared" si="38"/>
        <v>1</v>
      </c>
      <c r="D276" s="924"/>
      <c r="E276" s="51">
        <f t="shared" si="39"/>
        <v>1</v>
      </c>
      <c r="F276" s="924"/>
      <c r="G276" s="51">
        <f t="shared" si="40"/>
        <v>1</v>
      </c>
      <c r="H276" s="924"/>
      <c r="I276" s="51">
        <f t="shared" si="41"/>
        <v>1</v>
      </c>
      <c r="J276" s="924"/>
      <c r="K276" s="51">
        <f t="shared" si="42"/>
        <v>1</v>
      </c>
      <c r="L276" s="924"/>
      <c r="M276" s="51">
        <f t="shared" si="43"/>
        <v>1</v>
      </c>
      <c r="N276" s="924"/>
      <c r="O276" s="51">
        <f t="shared" si="44"/>
        <v>1</v>
      </c>
      <c r="P276" s="924"/>
      <c r="Q276" s="51">
        <f t="shared" si="45"/>
        <v>1</v>
      </c>
      <c r="R276" s="467">
        <f t="shared" si="46"/>
        <v>0</v>
      </c>
      <c r="S276" s="765">
        <f t="shared" si="47"/>
        <v>0</v>
      </c>
    </row>
    <row r="277" spans="1:19">
      <c r="A277" s="926"/>
      <c r="B277" s="132"/>
      <c r="C277" s="51">
        <f t="shared" si="38"/>
        <v>1</v>
      </c>
      <c r="D277" s="924"/>
      <c r="E277" s="51">
        <f t="shared" si="39"/>
        <v>1</v>
      </c>
      <c r="F277" s="924"/>
      <c r="G277" s="51">
        <f t="shared" si="40"/>
        <v>1</v>
      </c>
      <c r="H277" s="924"/>
      <c r="I277" s="51">
        <f t="shared" si="41"/>
        <v>1</v>
      </c>
      <c r="J277" s="924"/>
      <c r="K277" s="51">
        <f t="shared" si="42"/>
        <v>1</v>
      </c>
      <c r="L277" s="924"/>
      <c r="M277" s="51">
        <f t="shared" si="43"/>
        <v>1</v>
      </c>
      <c r="N277" s="924"/>
      <c r="O277" s="51">
        <f t="shared" si="44"/>
        <v>1</v>
      </c>
      <c r="P277" s="924"/>
      <c r="Q277" s="51">
        <f t="shared" si="45"/>
        <v>1</v>
      </c>
      <c r="R277" s="467">
        <f t="shared" si="46"/>
        <v>0</v>
      </c>
      <c r="S277" s="765">
        <f t="shared" si="47"/>
        <v>0</v>
      </c>
    </row>
    <row r="278" spans="1:19">
      <c r="A278" s="926"/>
      <c r="B278" s="132"/>
      <c r="C278" s="51">
        <f t="shared" si="38"/>
        <v>1</v>
      </c>
      <c r="D278" s="924"/>
      <c r="E278" s="51">
        <f t="shared" si="39"/>
        <v>1</v>
      </c>
      <c r="F278" s="924"/>
      <c r="G278" s="51">
        <f t="shared" si="40"/>
        <v>1</v>
      </c>
      <c r="H278" s="924"/>
      <c r="I278" s="51">
        <f t="shared" si="41"/>
        <v>1</v>
      </c>
      <c r="J278" s="924"/>
      <c r="K278" s="51">
        <f t="shared" si="42"/>
        <v>1</v>
      </c>
      <c r="L278" s="924"/>
      <c r="M278" s="51">
        <f t="shared" si="43"/>
        <v>1</v>
      </c>
      <c r="N278" s="924"/>
      <c r="O278" s="51">
        <f t="shared" si="44"/>
        <v>1</v>
      </c>
      <c r="P278" s="924"/>
      <c r="Q278" s="51">
        <f t="shared" si="45"/>
        <v>1</v>
      </c>
      <c r="R278" s="467">
        <f t="shared" si="46"/>
        <v>0</v>
      </c>
      <c r="S278" s="765">
        <f t="shared" si="47"/>
        <v>0</v>
      </c>
    </row>
    <row r="279" spans="1:19">
      <c r="A279" s="926"/>
      <c r="B279" s="132"/>
      <c r="C279" s="51">
        <f t="shared" si="38"/>
        <v>1</v>
      </c>
      <c r="D279" s="924"/>
      <c r="E279" s="51">
        <f t="shared" si="39"/>
        <v>1</v>
      </c>
      <c r="F279" s="924"/>
      <c r="G279" s="51">
        <f t="shared" si="40"/>
        <v>1</v>
      </c>
      <c r="H279" s="924"/>
      <c r="I279" s="51">
        <f t="shared" si="41"/>
        <v>1</v>
      </c>
      <c r="J279" s="924"/>
      <c r="K279" s="51">
        <f t="shared" si="42"/>
        <v>1</v>
      </c>
      <c r="L279" s="924"/>
      <c r="M279" s="51">
        <f t="shared" si="43"/>
        <v>1</v>
      </c>
      <c r="N279" s="924"/>
      <c r="O279" s="51">
        <f t="shared" si="44"/>
        <v>1</v>
      </c>
      <c r="P279" s="924"/>
      <c r="Q279" s="51">
        <f t="shared" si="45"/>
        <v>1</v>
      </c>
      <c r="R279" s="467">
        <f t="shared" si="46"/>
        <v>0</v>
      </c>
      <c r="S279" s="765">
        <f t="shared" si="47"/>
        <v>0</v>
      </c>
    </row>
    <row r="280" spans="1:19">
      <c r="A280" s="926"/>
      <c r="B280" s="132"/>
      <c r="C280" s="51">
        <f t="shared" si="38"/>
        <v>1</v>
      </c>
      <c r="D280" s="924"/>
      <c r="E280" s="51">
        <f t="shared" si="39"/>
        <v>1</v>
      </c>
      <c r="F280" s="924"/>
      <c r="G280" s="51">
        <f t="shared" si="40"/>
        <v>1</v>
      </c>
      <c r="H280" s="924"/>
      <c r="I280" s="51">
        <f t="shared" si="41"/>
        <v>1</v>
      </c>
      <c r="J280" s="924"/>
      <c r="K280" s="51">
        <f t="shared" si="42"/>
        <v>1</v>
      </c>
      <c r="L280" s="924"/>
      <c r="M280" s="51">
        <f t="shared" si="43"/>
        <v>1</v>
      </c>
      <c r="N280" s="924"/>
      <c r="O280" s="51">
        <f t="shared" si="44"/>
        <v>1</v>
      </c>
      <c r="P280" s="924"/>
      <c r="Q280" s="51">
        <f t="shared" si="45"/>
        <v>1</v>
      </c>
      <c r="R280" s="467">
        <f t="shared" si="46"/>
        <v>0</v>
      </c>
      <c r="S280" s="765">
        <f t="shared" si="47"/>
        <v>0</v>
      </c>
    </row>
    <row r="281" spans="1:19">
      <c r="A281" s="926"/>
      <c r="B281" s="132"/>
      <c r="C281" s="51">
        <f t="shared" si="38"/>
        <v>1</v>
      </c>
      <c r="D281" s="924"/>
      <c r="E281" s="51">
        <f t="shared" si="39"/>
        <v>1</v>
      </c>
      <c r="F281" s="924"/>
      <c r="G281" s="51">
        <f t="shared" si="40"/>
        <v>1</v>
      </c>
      <c r="H281" s="924"/>
      <c r="I281" s="51">
        <f t="shared" si="41"/>
        <v>1</v>
      </c>
      <c r="J281" s="924"/>
      <c r="K281" s="51">
        <f t="shared" si="42"/>
        <v>1</v>
      </c>
      <c r="L281" s="924"/>
      <c r="M281" s="51">
        <f t="shared" si="43"/>
        <v>1</v>
      </c>
      <c r="N281" s="924"/>
      <c r="O281" s="51">
        <f t="shared" si="44"/>
        <v>1</v>
      </c>
      <c r="P281" s="924"/>
      <c r="Q281" s="51">
        <f t="shared" si="45"/>
        <v>1</v>
      </c>
      <c r="R281" s="467">
        <f t="shared" si="46"/>
        <v>0</v>
      </c>
      <c r="S281" s="765">
        <f t="shared" si="47"/>
        <v>0</v>
      </c>
    </row>
    <row r="282" spans="1:19">
      <c r="A282" s="926"/>
      <c r="B282" s="132"/>
      <c r="C282" s="51">
        <f t="shared" ref="C282:C345" si="48">IF(B282="",1,(LOOKUP(B282,$3:$3,$4:$4)-LOOKUP($B$24,$3:$3,$4:$4)+100)/100)</f>
        <v>1</v>
      </c>
      <c r="D282" s="924"/>
      <c r="E282" s="51">
        <f t="shared" ref="E282:E345" si="49">(SUMIF($5:$5,D282,$6:$6)-SUMIF($5:$5,$D$24,$6:$6)+100)/100</f>
        <v>1</v>
      </c>
      <c r="F282" s="924"/>
      <c r="G282" s="51">
        <f t="shared" ref="G282:G345" si="50">(SUMIF($7:$7,F282,$8:$8)-SUMIF($7:$7,$F$24,$8:$8)+100)/100</f>
        <v>1</v>
      </c>
      <c r="H282" s="924"/>
      <c r="I282" s="51">
        <f t="shared" ref="I282:I345" si="51">(SUMIF($9:$9,H282,$10:$10)-SUMIF($9:$9,$H$24,$10:$10)+100)/100</f>
        <v>1</v>
      </c>
      <c r="J282" s="924"/>
      <c r="K282" s="51">
        <f t="shared" ref="K282:K345" si="52">(SUMIF($11:$11,J282,$12:$12)-SUMIF($11:$11,$J$24,$12:$12)+100)/100</f>
        <v>1</v>
      </c>
      <c r="L282" s="924"/>
      <c r="M282" s="51">
        <f t="shared" ref="M282:M345" si="53">(SUMIF($13:$13,L282,$14:$14)-SUMIF($13:$13,$L$24,$14:$14)+100)/100</f>
        <v>1</v>
      </c>
      <c r="N282" s="924"/>
      <c r="O282" s="51">
        <f t="shared" ref="O282:O345" si="54">(SUMIF($15:$15,N282,$16:$16)-SUMIF($15:$15,$N$24,$16:$16)+100)/100</f>
        <v>1</v>
      </c>
      <c r="P282" s="924"/>
      <c r="Q282" s="51">
        <f t="shared" ref="Q282:Q345" si="55">(SUMIF($17:$17,P282,$18:$18)-SUMIF($17:$17,$P$24,$18:$18)+100)/100</f>
        <v>1</v>
      </c>
      <c r="R282" s="467">
        <f t="shared" ref="R282:R345" si="56">IF(B282="",0,ROUND($R$24*C282*E282*G282*I282*K282*M282*O282*Q282,0))</f>
        <v>0</v>
      </c>
      <c r="S282" s="765">
        <f t="shared" si="47"/>
        <v>0</v>
      </c>
    </row>
    <row r="283" spans="1:19">
      <c r="A283" s="926"/>
      <c r="B283" s="132"/>
      <c r="C283" s="51">
        <f t="shared" si="48"/>
        <v>1</v>
      </c>
      <c r="D283" s="924"/>
      <c r="E283" s="51">
        <f t="shared" si="49"/>
        <v>1</v>
      </c>
      <c r="F283" s="924"/>
      <c r="G283" s="51">
        <f t="shared" si="50"/>
        <v>1</v>
      </c>
      <c r="H283" s="924"/>
      <c r="I283" s="51">
        <f t="shared" si="51"/>
        <v>1</v>
      </c>
      <c r="J283" s="924"/>
      <c r="K283" s="51">
        <f t="shared" si="52"/>
        <v>1</v>
      </c>
      <c r="L283" s="924"/>
      <c r="M283" s="51">
        <f t="shared" si="53"/>
        <v>1</v>
      </c>
      <c r="N283" s="924"/>
      <c r="O283" s="51">
        <f t="shared" si="54"/>
        <v>1</v>
      </c>
      <c r="P283" s="924"/>
      <c r="Q283" s="51">
        <f t="shared" si="55"/>
        <v>1</v>
      </c>
      <c r="R283" s="467">
        <f t="shared" si="56"/>
        <v>0</v>
      </c>
      <c r="S283" s="765">
        <f t="shared" si="47"/>
        <v>0</v>
      </c>
    </row>
    <row r="284" spans="1:19">
      <c r="A284" s="926"/>
      <c r="B284" s="132"/>
      <c r="C284" s="51">
        <f t="shared" si="48"/>
        <v>1</v>
      </c>
      <c r="D284" s="924"/>
      <c r="E284" s="51">
        <f t="shared" si="49"/>
        <v>1</v>
      </c>
      <c r="F284" s="924"/>
      <c r="G284" s="51">
        <f t="shared" si="50"/>
        <v>1</v>
      </c>
      <c r="H284" s="924"/>
      <c r="I284" s="51">
        <f t="shared" si="51"/>
        <v>1</v>
      </c>
      <c r="J284" s="924"/>
      <c r="K284" s="51">
        <f t="shared" si="52"/>
        <v>1</v>
      </c>
      <c r="L284" s="924"/>
      <c r="M284" s="51">
        <f t="shared" si="53"/>
        <v>1</v>
      </c>
      <c r="N284" s="924"/>
      <c r="O284" s="51">
        <f t="shared" si="54"/>
        <v>1</v>
      </c>
      <c r="P284" s="924"/>
      <c r="Q284" s="51">
        <f t="shared" si="55"/>
        <v>1</v>
      </c>
      <c r="R284" s="467">
        <f t="shared" si="56"/>
        <v>0</v>
      </c>
      <c r="S284" s="765">
        <f t="shared" si="47"/>
        <v>0</v>
      </c>
    </row>
    <row r="285" spans="1:19">
      <c r="A285" s="926"/>
      <c r="B285" s="132"/>
      <c r="C285" s="51">
        <f t="shared" si="48"/>
        <v>1</v>
      </c>
      <c r="D285" s="924"/>
      <c r="E285" s="51">
        <f t="shared" si="49"/>
        <v>1</v>
      </c>
      <c r="F285" s="924"/>
      <c r="G285" s="51">
        <f t="shared" si="50"/>
        <v>1</v>
      </c>
      <c r="H285" s="924"/>
      <c r="I285" s="51">
        <f t="shared" si="51"/>
        <v>1</v>
      </c>
      <c r="J285" s="924"/>
      <c r="K285" s="51">
        <f t="shared" si="52"/>
        <v>1</v>
      </c>
      <c r="L285" s="924"/>
      <c r="M285" s="51">
        <f t="shared" si="53"/>
        <v>1</v>
      </c>
      <c r="N285" s="924"/>
      <c r="O285" s="51">
        <f t="shared" si="54"/>
        <v>1</v>
      </c>
      <c r="P285" s="924"/>
      <c r="Q285" s="51">
        <f t="shared" si="55"/>
        <v>1</v>
      </c>
      <c r="R285" s="467">
        <f t="shared" si="56"/>
        <v>0</v>
      </c>
      <c r="S285" s="765">
        <f t="shared" si="47"/>
        <v>0</v>
      </c>
    </row>
    <row r="286" spans="1:19">
      <c r="A286" s="926"/>
      <c r="B286" s="132"/>
      <c r="C286" s="51">
        <f t="shared" si="48"/>
        <v>1</v>
      </c>
      <c r="D286" s="924"/>
      <c r="E286" s="51">
        <f t="shared" si="49"/>
        <v>1</v>
      </c>
      <c r="F286" s="924"/>
      <c r="G286" s="51">
        <f t="shared" si="50"/>
        <v>1</v>
      </c>
      <c r="H286" s="924"/>
      <c r="I286" s="51">
        <f t="shared" si="51"/>
        <v>1</v>
      </c>
      <c r="J286" s="924"/>
      <c r="K286" s="51">
        <f t="shared" si="52"/>
        <v>1</v>
      </c>
      <c r="L286" s="924"/>
      <c r="M286" s="51">
        <f t="shared" si="53"/>
        <v>1</v>
      </c>
      <c r="N286" s="924"/>
      <c r="O286" s="51">
        <f t="shared" si="54"/>
        <v>1</v>
      </c>
      <c r="P286" s="924"/>
      <c r="Q286" s="51">
        <f t="shared" si="55"/>
        <v>1</v>
      </c>
      <c r="R286" s="467">
        <f t="shared" si="56"/>
        <v>0</v>
      </c>
      <c r="S286" s="765">
        <f t="shared" si="47"/>
        <v>0</v>
      </c>
    </row>
    <row r="287" spans="1:19">
      <c r="A287" s="926"/>
      <c r="B287" s="132"/>
      <c r="C287" s="51">
        <f t="shared" si="48"/>
        <v>1</v>
      </c>
      <c r="D287" s="924"/>
      <c r="E287" s="51">
        <f t="shared" si="49"/>
        <v>1</v>
      </c>
      <c r="F287" s="924"/>
      <c r="G287" s="51">
        <f t="shared" si="50"/>
        <v>1</v>
      </c>
      <c r="H287" s="924"/>
      <c r="I287" s="51">
        <f t="shared" si="51"/>
        <v>1</v>
      </c>
      <c r="J287" s="924"/>
      <c r="K287" s="51">
        <f t="shared" si="52"/>
        <v>1</v>
      </c>
      <c r="L287" s="924"/>
      <c r="M287" s="51">
        <f t="shared" si="53"/>
        <v>1</v>
      </c>
      <c r="N287" s="924"/>
      <c r="O287" s="51">
        <f t="shared" si="54"/>
        <v>1</v>
      </c>
      <c r="P287" s="924"/>
      <c r="Q287" s="51">
        <f t="shared" si="55"/>
        <v>1</v>
      </c>
      <c r="R287" s="467">
        <f t="shared" si="56"/>
        <v>0</v>
      </c>
      <c r="S287" s="765">
        <f t="shared" ref="S287:S320" si="57">ROUND(R287*B287/10000,0)</f>
        <v>0</v>
      </c>
    </row>
    <row r="288" spans="1:19">
      <c r="A288" s="926"/>
      <c r="B288" s="132"/>
      <c r="C288" s="51">
        <f t="shared" si="48"/>
        <v>1</v>
      </c>
      <c r="D288" s="924"/>
      <c r="E288" s="51">
        <f t="shared" si="49"/>
        <v>1</v>
      </c>
      <c r="F288" s="924"/>
      <c r="G288" s="51">
        <f t="shared" si="50"/>
        <v>1</v>
      </c>
      <c r="H288" s="924"/>
      <c r="I288" s="51">
        <f t="shared" si="51"/>
        <v>1</v>
      </c>
      <c r="J288" s="924"/>
      <c r="K288" s="51">
        <f t="shared" si="52"/>
        <v>1</v>
      </c>
      <c r="L288" s="924"/>
      <c r="M288" s="51">
        <f t="shared" si="53"/>
        <v>1</v>
      </c>
      <c r="N288" s="924"/>
      <c r="O288" s="51">
        <f t="shared" si="54"/>
        <v>1</v>
      </c>
      <c r="P288" s="924"/>
      <c r="Q288" s="51">
        <f t="shared" si="55"/>
        <v>1</v>
      </c>
      <c r="R288" s="467">
        <f t="shared" si="56"/>
        <v>0</v>
      </c>
      <c r="S288" s="765">
        <f t="shared" si="57"/>
        <v>0</v>
      </c>
    </row>
    <row r="289" spans="1:19">
      <c r="A289" s="926"/>
      <c r="B289" s="132"/>
      <c r="C289" s="51">
        <f t="shared" si="48"/>
        <v>1</v>
      </c>
      <c r="D289" s="924"/>
      <c r="E289" s="51">
        <f t="shared" si="49"/>
        <v>1</v>
      </c>
      <c r="F289" s="924"/>
      <c r="G289" s="51">
        <f t="shared" si="50"/>
        <v>1</v>
      </c>
      <c r="H289" s="924"/>
      <c r="I289" s="51">
        <f t="shared" si="51"/>
        <v>1</v>
      </c>
      <c r="J289" s="924"/>
      <c r="K289" s="51">
        <f t="shared" si="52"/>
        <v>1</v>
      </c>
      <c r="L289" s="924"/>
      <c r="M289" s="51">
        <f t="shared" si="53"/>
        <v>1</v>
      </c>
      <c r="N289" s="924"/>
      <c r="O289" s="51">
        <f t="shared" si="54"/>
        <v>1</v>
      </c>
      <c r="P289" s="924"/>
      <c r="Q289" s="51">
        <f t="shared" si="55"/>
        <v>1</v>
      </c>
      <c r="R289" s="467">
        <f t="shared" si="56"/>
        <v>0</v>
      </c>
      <c r="S289" s="765">
        <f t="shared" si="57"/>
        <v>0</v>
      </c>
    </row>
    <row r="290" spans="1:19">
      <c r="A290" s="926"/>
      <c r="B290" s="132"/>
      <c r="C290" s="51">
        <f t="shared" si="48"/>
        <v>1</v>
      </c>
      <c r="D290" s="924"/>
      <c r="E290" s="51">
        <f t="shared" si="49"/>
        <v>1</v>
      </c>
      <c r="F290" s="924"/>
      <c r="G290" s="51">
        <f t="shared" si="50"/>
        <v>1</v>
      </c>
      <c r="H290" s="924"/>
      <c r="I290" s="51">
        <f t="shared" si="51"/>
        <v>1</v>
      </c>
      <c r="J290" s="924"/>
      <c r="K290" s="51">
        <f t="shared" si="52"/>
        <v>1</v>
      </c>
      <c r="L290" s="924"/>
      <c r="M290" s="51">
        <f t="shared" si="53"/>
        <v>1</v>
      </c>
      <c r="N290" s="924"/>
      <c r="O290" s="51">
        <f t="shared" si="54"/>
        <v>1</v>
      </c>
      <c r="P290" s="924"/>
      <c r="Q290" s="51">
        <f t="shared" si="55"/>
        <v>1</v>
      </c>
      <c r="R290" s="467">
        <f t="shared" si="56"/>
        <v>0</v>
      </c>
      <c r="S290" s="765">
        <f t="shared" si="57"/>
        <v>0</v>
      </c>
    </row>
    <row r="291" spans="1:19">
      <c r="A291" s="926"/>
      <c r="B291" s="132"/>
      <c r="C291" s="51">
        <f t="shared" si="48"/>
        <v>1</v>
      </c>
      <c r="D291" s="924"/>
      <c r="E291" s="51">
        <f t="shared" si="49"/>
        <v>1</v>
      </c>
      <c r="F291" s="924"/>
      <c r="G291" s="51">
        <f t="shared" si="50"/>
        <v>1</v>
      </c>
      <c r="H291" s="924"/>
      <c r="I291" s="51">
        <f t="shared" si="51"/>
        <v>1</v>
      </c>
      <c r="J291" s="924"/>
      <c r="K291" s="51">
        <f t="shared" si="52"/>
        <v>1</v>
      </c>
      <c r="L291" s="924"/>
      <c r="M291" s="51">
        <f t="shared" si="53"/>
        <v>1</v>
      </c>
      <c r="N291" s="924"/>
      <c r="O291" s="51">
        <f t="shared" si="54"/>
        <v>1</v>
      </c>
      <c r="P291" s="924"/>
      <c r="Q291" s="51">
        <f t="shared" si="55"/>
        <v>1</v>
      </c>
      <c r="R291" s="467">
        <f t="shared" si="56"/>
        <v>0</v>
      </c>
      <c r="S291" s="765">
        <f t="shared" si="57"/>
        <v>0</v>
      </c>
    </row>
    <row r="292" spans="1:19">
      <c r="A292" s="926"/>
      <c r="B292" s="132"/>
      <c r="C292" s="51">
        <f t="shared" si="48"/>
        <v>1</v>
      </c>
      <c r="D292" s="924"/>
      <c r="E292" s="51">
        <f t="shared" si="49"/>
        <v>1</v>
      </c>
      <c r="F292" s="924"/>
      <c r="G292" s="51">
        <f t="shared" si="50"/>
        <v>1</v>
      </c>
      <c r="H292" s="924"/>
      <c r="I292" s="51">
        <f t="shared" si="51"/>
        <v>1</v>
      </c>
      <c r="J292" s="924"/>
      <c r="K292" s="51">
        <f t="shared" si="52"/>
        <v>1</v>
      </c>
      <c r="L292" s="924"/>
      <c r="M292" s="51">
        <f t="shared" si="53"/>
        <v>1</v>
      </c>
      <c r="N292" s="924"/>
      <c r="O292" s="51">
        <f t="shared" si="54"/>
        <v>1</v>
      </c>
      <c r="P292" s="924"/>
      <c r="Q292" s="51">
        <f t="shared" si="55"/>
        <v>1</v>
      </c>
      <c r="R292" s="467">
        <f t="shared" si="56"/>
        <v>0</v>
      </c>
      <c r="S292" s="765">
        <f t="shared" si="57"/>
        <v>0</v>
      </c>
    </row>
    <row r="293" spans="1:19">
      <c r="A293" s="926"/>
      <c r="B293" s="132"/>
      <c r="C293" s="51">
        <f t="shared" si="48"/>
        <v>1</v>
      </c>
      <c r="D293" s="924"/>
      <c r="E293" s="51">
        <f t="shared" si="49"/>
        <v>1</v>
      </c>
      <c r="F293" s="924"/>
      <c r="G293" s="51">
        <f t="shared" si="50"/>
        <v>1</v>
      </c>
      <c r="H293" s="924"/>
      <c r="I293" s="51">
        <f t="shared" si="51"/>
        <v>1</v>
      </c>
      <c r="J293" s="924"/>
      <c r="K293" s="51">
        <f t="shared" si="52"/>
        <v>1</v>
      </c>
      <c r="L293" s="924"/>
      <c r="M293" s="51">
        <f t="shared" si="53"/>
        <v>1</v>
      </c>
      <c r="N293" s="924"/>
      <c r="O293" s="51">
        <f t="shared" si="54"/>
        <v>1</v>
      </c>
      <c r="P293" s="924"/>
      <c r="Q293" s="51">
        <f t="shared" si="55"/>
        <v>1</v>
      </c>
      <c r="R293" s="467">
        <f t="shared" si="56"/>
        <v>0</v>
      </c>
      <c r="S293" s="765">
        <f t="shared" si="57"/>
        <v>0</v>
      </c>
    </row>
    <row r="294" spans="1:19">
      <c r="A294" s="926"/>
      <c r="B294" s="132"/>
      <c r="C294" s="51">
        <f t="shared" si="48"/>
        <v>1</v>
      </c>
      <c r="D294" s="924"/>
      <c r="E294" s="51">
        <f t="shared" si="49"/>
        <v>1</v>
      </c>
      <c r="F294" s="924"/>
      <c r="G294" s="51">
        <f t="shared" si="50"/>
        <v>1</v>
      </c>
      <c r="H294" s="924"/>
      <c r="I294" s="51">
        <f t="shared" si="51"/>
        <v>1</v>
      </c>
      <c r="J294" s="924"/>
      <c r="K294" s="51">
        <f t="shared" si="52"/>
        <v>1</v>
      </c>
      <c r="L294" s="924"/>
      <c r="M294" s="51">
        <f t="shared" si="53"/>
        <v>1</v>
      </c>
      <c r="N294" s="924"/>
      <c r="O294" s="51">
        <f t="shared" si="54"/>
        <v>1</v>
      </c>
      <c r="P294" s="924"/>
      <c r="Q294" s="51">
        <f t="shared" si="55"/>
        <v>1</v>
      </c>
      <c r="R294" s="467">
        <f t="shared" si="56"/>
        <v>0</v>
      </c>
      <c r="S294" s="765">
        <f t="shared" si="57"/>
        <v>0</v>
      </c>
    </row>
    <row r="295" spans="1:19">
      <c r="A295" s="926"/>
      <c r="B295" s="132"/>
      <c r="C295" s="51">
        <f t="shared" si="48"/>
        <v>1</v>
      </c>
      <c r="D295" s="924"/>
      <c r="E295" s="51">
        <f t="shared" si="49"/>
        <v>1</v>
      </c>
      <c r="F295" s="924"/>
      <c r="G295" s="51">
        <f t="shared" si="50"/>
        <v>1</v>
      </c>
      <c r="H295" s="924"/>
      <c r="I295" s="51">
        <f t="shared" si="51"/>
        <v>1</v>
      </c>
      <c r="J295" s="924"/>
      <c r="K295" s="51">
        <f t="shared" si="52"/>
        <v>1</v>
      </c>
      <c r="L295" s="924"/>
      <c r="M295" s="51">
        <f t="shared" si="53"/>
        <v>1</v>
      </c>
      <c r="N295" s="924"/>
      <c r="O295" s="51">
        <f t="shared" si="54"/>
        <v>1</v>
      </c>
      <c r="P295" s="924"/>
      <c r="Q295" s="51">
        <f t="shared" si="55"/>
        <v>1</v>
      </c>
      <c r="R295" s="467">
        <f t="shared" si="56"/>
        <v>0</v>
      </c>
      <c r="S295" s="765">
        <f t="shared" si="57"/>
        <v>0</v>
      </c>
    </row>
    <row r="296" spans="1:19">
      <c r="A296" s="926"/>
      <c r="B296" s="132"/>
      <c r="C296" s="51">
        <f t="shared" si="48"/>
        <v>1</v>
      </c>
      <c r="D296" s="924"/>
      <c r="E296" s="51">
        <f t="shared" si="49"/>
        <v>1</v>
      </c>
      <c r="F296" s="924"/>
      <c r="G296" s="51">
        <f t="shared" si="50"/>
        <v>1</v>
      </c>
      <c r="H296" s="924"/>
      <c r="I296" s="51">
        <f t="shared" si="51"/>
        <v>1</v>
      </c>
      <c r="J296" s="924"/>
      <c r="K296" s="51">
        <f t="shared" si="52"/>
        <v>1</v>
      </c>
      <c r="L296" s="924"/>
      <c r="M296" s="51">
        <f t="shared" si="53"/>
        <v>1</v>
      </c>
      <c r="N296" s="924"/>
      <c r="O296" s="51">
        <f t="shared" si="54"/>
        <v>1</v>
      </c>
      <c r="P296" s="924"/>
      <c r="Q296" s="51">
        <f t="shared" si="55"/>
        <v>1</v>
      </c>
      <c r="R296" s="467">
        <f t="shared" si="56"/>
        <v>0</v>
      </c>
      <c r="S296" s="765">
        <f t="shared" si="57"/>
        <v>0</v>
      </c>
    </row>
    <row r="297" spans="1:19">
      <c r="A297" s="926"/>
      <c r="B297" s="132"/>
      <c r="C297" s="51">
        <f t="shared" si="48"/>
        <v>1</v>
      </c>
      <c r="D297" s="924"/>
      <c r="E297" s="51">
        <f t="shared" si="49"/>
        <v>1</v>
      </c>
      <c r="F297" s="924"/>
      <c r="G297" s="51">
        <f t="shared" si="50"/>
        <v>1</v>
      </c>
      <c r="H297" s="924"/>
      <c r="I297" s="51">
        <f t="shared" si="51"/>
        <v>1</v>
      </c>
      <c r="J297" s="924"/>
      <c r="K297" s="51">
        <f t="shared" si="52"/>
        <v>1</v>
      </c>
      <c r="L297" s="924"/>
      <c r="M297" s="51">
        <f t="shared" si="53"/>
        <v>1</v>
      </c>
      <c r="N297" s="924"/>
      <c r="O297" s="51">
        <f t="shared" si="54"/>
        <v>1</v>
      </c>
      <c r="P297" s="924"/>
      <c r="Q297" s="51">
        <f t="shared" si="55"/>
        <v>1</v>
      </c>
      <c r="R297" s="467">
        <f t="shared" si="56"/>
        <v>0</v>
      </c>
      <c r="S297" s="765">
        <f t="shared" si="57"/>
        <v>0</v>
      </c>
    </row>
    <row r="298" spans="1:19">
      <c r="A298" s="926"/>
      <c r="B298" s="132"/>
      <c r="C298" s="51">
        <f t="shared" si="48"/>
        <v>1</v>
      </c>
      <c r="D298" s="924"/>
      <c r="E298" s="51">
        <f t="shared" si="49"/>
        <v>1</v>
      </c>
      <c r="F298" s="924"/>
      <c r="G298" s="51">
        <f t="shared" si="50"/>
        <v>1</v>
      </c>
      <c r="H298" s="924"/>
      <c r="I298" s="51">
        <f t="shared" si="51"/>
        <v>1</v>
      </c>
      <c r="J298" s="924"/>
      <c r="K298" s="51">
        <f t="shared" si="52"/>
        <v>1</v>
      </c>
      <c r="L298" s="924"/>
      <c r="M298" s="51">
        <f t="shared" si="53"/>
        <v>1</v>
      </c>
      <c r="N298" s="924"/>
      <c r="O298" s="51">
        <f t="shared" si="54"/>
        <v>1</v>
      </c>
      <c r="P298" s="924"/>
      <c r="Q298" s="51">
        <f t="shared" si="55"/>
        <v>1</v>
      </c>
      <c r="R298" s="467">
        <f t="shared" si="56"/>
        <v>0</v>
      </c>
      <c r="S298" s="765">
        <f t="shared" si="57"/>
        <v>0</v>
      </c>
    </row>
    <row r="299" spans="1:19">
      <c r="A299" s="926"/>
      <c r="B299" s="132"/>
      <c r="C299" s="51">
        <f t="shared" si="48"/>
        <v>1</v>
      </c>
      <c r="D299" s="924"/>
      <c r="E299" s="51">
        <f t="shared" si="49"/>
        <v>1</v>
      </c>
      <c r="F299" s="924"/>
      <c r="G299" s="51">
        <f t="shared" si="50"/>
        <v>1</v>
      </c>
      <c r="H299" s="924"/>
      <c r="I299" s="51">
        <f t="shared" si="51"/>
        <v>1</v>
      </c>
      <c r="J299" s="924"/>
      <c r="K299" s="51">
        <f t="shared" si="52"/>
        <v>1</v>
      </c>
      <c r="L299" s="924"/>
      <c r="M299" s="51">
        <f t="shared" si="53"/>
        <v>1</v>
      </c>
      <c r="N299" s="924"/>
      <c r="O299" s="51">
        <f t="shared" si="54"/>
        <v>1</v>
      </c>
      <c r="P299" s="924"/>
      <c r="Q299" s="51">
        <f t="shared" si="55"/>
        <v>1</v>
      </c>
      <c r="R299" s="467">
        <f t="shared" si="56"/>
        <v>0</v>
      </c>
      <c r="S299" s="765">
        <f t="shared" si="57"/>
        <v>0</v>
      </c>
    </row>
    <row r="300" spans="1:19">
      <c r="A300" s="926"/>
      <c r="B300" s="132"/>
      <c r="C300" s="51">
        <f t="shared" si="48"/>
        <v>1</v>
      </c>
      <c r="D300" s="924"/>
      <c r="E300" s="51">
        <f t="shared" si="49"/>
        <v>1</v>
      </c>
      <c r="F300" s="924"/>
      <c r="G300" s="51">
        <f t="shared" si="50"/>
        <v>1</v>
      </c>
      <c r="H300" s="924"/>
      <c r="I300" s="51">
        <f t="shared" si="51"/>
        <v>1</v>
      </c>
      <c r="J300" s="924"/>
      <c r="K300" s="51">
        <f t="shared" si="52"/>
        <v>1</v>
      </c>
      <c r="L300" s="924"/>
      <c r="M300" s="51">
        <f t="shared" si="53"/>
        <v>1</v>
      </c>
      <c r="N300" s="924"/>
      <c r="O300" s="51">
        <f t="shared" si="54"/>
        <v>1</v>
      </c>
      <c r="P300" s="924"/>
      <c r="Q300" s="51">
        <f t="shared" si="55"/>
        <v>1</v>
      </c>
      <c r="R300" s="467">
        <f t="shared" si="56"/>
        <v>0</v>
      </c>
      <c r="S300" s="765">
        <f t="shared" si="57"/>
        <v>0</v>
      </c>
    </row>
    <row r="301" spans="1:19">
      <c r="A301" s="926"/>
      <c r="B301" s="132"/>
      <c r="C301" s="51">
        <f t="shared" si="48"/>
        <v>1</v>
      </c>
      <c r="D301" s="924"/>
      <c r="E301" s="51">
        <f t="shared" si="49"/>
        <v>1</v>
      </c>
      <c r="F301" s="924"/>
      <c r="G301" s="51">
        <f t="shared" si="50"/>
        <v>1</v>
      </c>
      <c r="H301" s="924"/>
      <c r="I301" s="51">
        <f t="shared" si="51"/>
        <v>1</v>
      </c>
      <c r="J301" s="924"/>
      <c r="K301" s="51">
        <f t="shared" si="52"/>
        <v>1</v>
      </c>
      <c r="L301" s="924"/>
      <c r="M301" s="51">
        <f t="shared" si="53"/>
        <v>1</v>
      </c>
      <c r="N301" s="924"/>
      <c r="O301" s="51">
        <f t="shared" si="54"/>
        <v>1</v>
      </c>
      <c r="P301" s="924"/>
      <c r="Q301" s="51">
        <f t="shared" si="55"/>
        <v>1</v>
      </c>
      <c r="R301" s="467">
        <f t="shared" si="56"/>
        <v>0</v>
      </c>
      <c r="S301" s="765">
        <f t="shared" si="57"/>
        <v>0</v>
      </c>
    </row>
    <row r="302" spans="1:19">
      <c r="A302" s="926"/>
      <c r="B302" s="132"/>
      <c r="C302" s="51">
        <f t="shared" si="48"/>
        <v>1</v>
      </c>
      <c r="D302" s="924"/>
      <c r="E302" s="51">
        <f t="shared" si="49"/>
        <v>1</v>
      </c>
      <c r="F302" s="924"/>
      <c r="G302" s="51">
        <f t="shared" si="50"/>
        <v>1</v>
      </c>
      <c r="H302" s="924"/>
      <c r="I302" s="51">
        <f t="shared" si="51"/>
        <v>1</v>
      </c>
      <c r="J302" s="924"/>
      <c r="K302" s="51">
        <f t="shared" si="52"/>
        <v>1</v>
      </c>
      <c r="L302" s="924"/>
      <c r="M302" s="51">
        <f t="shared" si="53"/>
        <v>1</v>
      </c>
      <c r="N302" s="924"/>
      <c r="O302" s="51">
        <f t="shared" si="54"/>
        <v>1</v>
      </c>
      <c r="P302" s="924"/>
      <c r="Q302" s="51">
        <f t="shared" si="55"/>
        <v>1</v>
      </c>
      <c r="R302" s="467">
        <f t="shared" si="56"/>
        <v>0</v>
      </c>
      <c r="S302" s="765">
        <f t="shared" si="57"/>
        <v>0</v>
      </c>
    </row>
    <row r="303" spans="1:19">
      <c r="A303" s="926"/>
      <c r="B303" s="132"/>
      <c r="C303" s="51">
        <f t="shared" si="48"/>
        <v>1</v>
      </c>
      <c r="D303" s="924"/>
      <c r="E303" s="51">
        <f t="shared" si="49"/>
        <v>1</v>
      </c>
      <c r="F303" s="924"/>
      <c r="G303" s="51">
        <f t="shared" si="50"/>
        <v>1</v>
      </c>
      <c r="H303" s="924"/>
      <c r="I303" s="51">
        <f t="shared" si="51"/>
        <v>1</v>
      </c>
      <c r="J303" s="924"/>
      <c r="K303" s="51">
        <f t="shared" si="52"/>
        <v>1</v>
      </c>
      <c r="L303" s="924"/>
      <c r="M303" s="51">
        <f t="shared" si="53"/>
        <v>1</v>
      </c>
      <c r="N303" s="924"/>
      <c r="O303" s="51">
        <f t="shared" si="54"/>
        <v>1</v>
      </c>
      <c r="P303" s="924"/>
      <c r="Q303" s="51">
        <f t="shared" si="55"/>
        <v>1</v>
      </c>
      <c r="R303" s="467">
        <f t="shared" si="56"/>
        <v>0</v>
      </c>
      <c r="S303" s="765">
        <f t="shared" si="57"/>
        <v>0</v>
      </c>
    </row>
    <row r="304" spans="1:19">
      <c r="A304" s="926"/>
      <c r="B304" s="132"/>
      <c r="C304" s="51">
        <f t="shared" si="48"/>
        <v>1</v>
      </c>
      <c r="D304" s="924"/>
      <c r="E304" s="51">
        <f t="shared" si="49"/>
        <v>1</v>
      </c>
      <c r="F304" s="924"/>
      <c r="G304" s="51">
        <f t="shared" si="50"/>
        <v>1</v>
      </c>
      <c r="H304" s="924"/>
      <c r="I304" s="51">
        <f t="shared" si="51"/>
        <v>1</v>
      </c>
      <c r="J304" s="924"/>
      <c r="K304" s="51">
        <f t="shared" si="52"/>
        <v>1</v>
      </c>
      <c r="L304" s="924"/>
      <c r="M304" s="51">
        <f t="shared" si="53"/>
        <v>1</v>
      </c>
      <c r="N304" s="924"/>
      <c r="O304" s="51">
        <f t="shared" si="54"/>
        <v>1</v>
      </c>
      <c r="P304" s="924"/>
      <c r="Q304" s="51">
        <f t="shared" si="55"/>
        <v>1</v>
      </c>
      <c r="R304" s="467">
        <f t="shared" si="56"/>
        <v>0</v>
      </c>
      <c r="S304" s="765">
        <f t="shared" si="57"/>
        <v>0</v>
      </c>
    </row>
    <row r="305" spans="1:19">
      <c r="A305" s="926"/>
      <c r="B305" s="132"/>
      <c r="C305" s="51">
        <f t="shared" si="48"/>
        <v>1</v>
      </c>
      <c r="D305" s="924"/>
      <c r="E305" s="51">
        <f t="shared" si="49"/>
        <v>1</v>
      </c>
      <c r="F305" s="924"/>
      <c r="G305" s="51">
        <f t="shared" si="50"/>
        <v>1</v>
      </c>
      <c r="H305" s="924"/>
      <c r="I305" s="51">
        <f t="shared" si="51"/>
        <v>1</v>
      </c>
      <c r="J305" s="924"/>
      <c r="K305" s="51">
        <f t="shared" si="52"/>
        <v>1</v>
      </c>
      <c r="L305" s="924"/>
      <c r="M305" s="51">
        <f t="shared" si="53"/>
        <v>1</v>
      </c>
      <c r="N305" s="924"/>
      <c r="O305" s="51">
        <f t="shared" si="54"/>
        <v>1</v>
      </c>
      <c r="P305" s="924"/>
      <c r="Q305" s="51">
        <f t="shared" si="55"/>
        <v>1</v>
      </c>
      <c r="R305" s="467">
        <f t="shared" si="56"/>
        <v>0</v>
      </c>
      <c r="S305" s="765">
        <f t="shared" si="57"/>
        <v>0</v>
      </c>
    </row>
    <row r="306" spans="1:19">
      <c r="A306" s="926"/>
      <c r="B306" s="132"/>
      <c r="C306" s="51">
        <f t="shared" si="48"/>
        <v>1</v>
      </c>
      <c r="D306" s="924"/>
      <c r="E306" s="51">
        <f t="shared" si="49"/>
        <v>1</v>
      </c>
      <c r="F306" s="924"/>
      <c r="G306" s="51">
        <f t="shared" si="50"/>
        <v>1</v>
      </c>
      <c r="H306" s="924"/>
      <c r="I306" s="51">
        <f t="shared" si="51"/>
        <v>1</v>
      </c>
      <c r="J306" s="924"/>
      <c r="K306" s="51">
        <f t="shared" si="52"/>
        <v>1</v>
      </c>
      <c r="L306" s="924"/>
      <c r="M306" s="51">
        <f t="shared" si="53"/>
        <v>1</v>
      </c>
      <c r="N306" s="924"/>
      <c r="O306" s="51">
        <f t="shared" si="54"/>
        <v>1</v>
      </c>
      <c r="P306" s="924"/>
      <c r="Q306" s="51">
        <f t="shared" si="55"/>
        <v>1</v>
      </c>
      <c r="R306" s="467">
        <f t="shared" si="56"/>
        <v>0</v>
      </c>
      <c r="S306" s="765">
        <f t="shared" si="57"/>
        <v>0</v>
      </c>
    </row>
    <row r="307" spans="1:19">
      <c r="A307" s="926"/>
      <c r="B307" s="132"/>
      <c r="C307" s="51">
        <f t="shared" si="48"/>
        <v>1</v>
      </c>
      <c r="D307" s="924"/>
      <c r="E307" s="51">
        <f t="shared" si="49"/>
        <v>1</v>
      </c>
      <c r="F307" s="924"/>
      <c r="G307" s="51">
        <f t="shared" si="50"/>
        <v>1</v>
      </c>
      <c r="H307" s="924"/>
      <c r="I307" s="51">
        <f t="shared" si="51"/>
        <v>1</v>
      </c>
      <c r="J307" s="924"/>
      <c r="K307" s="51">
        <f t="shared" si="52"/>
        <v>1</v>
      </c>
      <c r="L307" s="924"/>
      <c r="M307" s="51">
        <f t="shared" si="53"/>
        <v>1</v>
      </c>
      <c r="N307" s="924"/>
      <c r="O307" s="51">
        <f t="shared" si="54"/>
        <v>1</v>
      </c>
      <c r="P307" s="924"/>
      <c r="Q307" s="51">
        <f t="shared" si="55"/>
        <v>1</v>
      </c>
      <c r="R307" s="467">
        <f t="shared" si="56"/>
        <v>0</v>
      </c>
      <c r="S307" s="765">
        <f t="shared" si="57"/>
        <v>0</v>
      </c>
    </row>
    <row r="308" spans="1:19">
      <c r="A308" s="926"/>
      <c r="B308" s="132"/>
      <c r="C308" s="51">
        <f t="shared" si="48"/>
        <v>1</v>
      </c>
      <c r="D308" s="924"/>
      <c r="E308" s="51">
        <f t="shared" si="49"/>
        <v>1</v>
      </c>
      <c r="F308" s="924"/>
      <c r="G308" s="51">
        <f t="shared" si="50"/>
        <v>1</v>
      </c>
      <c r="H308" s="924"/>
      <c r="I308" s="51">
        <f t="shared" si="51"/>
        <v>1</v>
      </c>
      <c r="J308" s="924"/>
      <c r="K308" s="51">
        <f t="shared" si="52"/>
        <v>1</v>
      </c>
      <c r="L308" s="924"/>
      <c r="M308" s="51">
        <f t="shared" si="53"/>
        <v>1</v>
      </c>
      <c r="N308" s="924"/>
      <c r="O308" s="51">
        <f t="shared" si="54"/>
        <v>1</v>
      </c>
      <c r="P308" s="924"/>
      <c r="Q308" s="51">
        <f t="shared" si="55"/>
        <v>1</v>
      </c>
      <c r="R308" s="467">
        <f t="shared" si="56"/>
        <v>0</v>
      </c>
      <c r="S308" s="765">
        <f t="shared" si="57"/>
        <v>0</v>
      </c>
    </row>
    <row r="309" spans="1:19">
      <c r="A309" s="926"/>
      <c r="B309" s="132"/>
      <c r="C309" s="51">
        <f t="shared" si="48"/>
        <v>1</v>
      </c>
      <c r="D309" s="924"/>
      <c r="E309" s="51">
        <f t="shared" si="49"/>
        <v>1</v>
      </c>
      <c r="F309" s="924"/>
      <c r="G309" s="51">
        <f t="shared" si="50"/>
        <v>1</v>
      </c>
      <c r="H309" s="924"/>
      <c r="I309" s="51">
        <f t="shared" si="51"/>
        <v>1</v>
      </c>
      <c r="J309" s="924"/>
      <c r="K309" s="51">
        <f t="shared" si="52"/>
        <v>1</v>
      </c>
      <c r="L309" s="924"/>
      <c r="M309" s="51">
        <f t="shared" si="53"/>
        <v>1</v>
      </c>
      <c r="N309" s="924"/>
      <c r="O309" s="51">
        <f t="shared" si="54"/>
        <v>1</v>
      </c>
      <c r="P309" s="924"/>
      <c r="Q309" s="51">
        <f t="shared" si="55"/>
        <v>1</v>
      </c>
      <c r="R309" s="467">
        <f t="shared" si="56"/>
        <v>0</v>
      </c>
      <c r="S309" s="765">
        <f t="shared" si="57"/>
        <v>0</v>
      </c>
    </row>
    <row r="310" spans="1:19">
      <c r="A310" s="926"/>
      <c r="B310" s="132"/>
      <c r="C310" s="51">
        <f t="shared" si="48"/>
        <v>1</v>
      </c>
      <c r="D310" s="924"/>
      <c r="E310" s="51">
        <f t="shared" si="49"/>
        <v>1</v>
      </c>
      <c r="F310" s="924"/>
      <c r="G310" s="51">
        <f t="shared" si="50"/>
        <v>1</v>
      </c>
      <c r="H310" s="924"/>
      <c r="I310" s="51">
        <f t="shared" si="51"/>
        <v>1</v>
      </c>
      <c r="J310" s="924"/>
      <c r="K310" s="51">
        <f t="shared" si="52"/>
        <v>1</v>
      </c>
      <c r="L310" s="924"/>
      <c r="M310" s="51">
        <f t="shared" si="53"/>
        <v>1</v>
      </c>
      <c r="N310" s="924"/>
      <c r="O310" s="51">
        <f t="shared" si="54"/>
        <v>1</v>
      </c>
      <c r="P310" s="924"/>
      <c r="Q310" s="51">
        <f t="shared" si="55"/>
        <v>1</v>
      </c>
      <c r="R310" s="467">
        <f t="shared" si="56"/>
        <v>0</v>
      </c>
      <c r="S310" s="765">
        <f t="shared" si="57"/>
        <v>0</v>
      </c>
    </row>
    <row r="311" spans="1:19">
      <c r="A311" s="926"/>
      <c r="B311" s="132"/>
      <c r="C311" s="51">
        <f t="shared" si="48"/>
        <v>1</v>
      </c>
      <c r="D311" s="924"/>
      <c r="E311" s="51">
        <f t="shared" si="49"/>
        <v>1</v>
      </c>
      <c r="F311" s="924"/>
      <c r="G311" s="51">
        <f t="shared" si="50"/>
        <v>1</v>
      </c>
      <c r="H311" s="924"/>
      <c r="I311" s="51">
        <f t="shared" si="51"/>
        <v>1</v>
      </c>
      <c r="J311" s="924"/>
      <c r="K311" s="51">
        <f t="shared" si="52"/>
        <v>1</v>
      </c>
      <c r="L311" s="924"/>
      <c r="M311" s="51">
        <f t="shared" si="53"/>
        <v>1</v>
      </c>
      <c r="N311" s="924"/>
      <c r="O311" s="51">
        <f t="shared" si="54"/>
        <v>1</v>
      </c>
      <c r="P311" s="924"/>
      <c r="Q311" s="51">
        <f t="shared" si="55"/>
        <v>1</v>
      </c>
      <c r="R311" s="467">
        <f t="shared" si="56"/>
        <v>0</v>
      </c>
      <c r="S311" s="765">
        <f t="shared" si="57"/>
        <v>0</v>
      </c>
    </row>
    <row r="312" spans="1:19">
      <c r="A312" s="926"/>
      <c r="B312" s="132"/>
      <c r="C312" s="51">
        <f t="shared" si="48"/>
        <v>1</v>
      </c>
      <c r="D312" s="924"/>
      <c r="E312" s="51">
        <f t="shared" si="49"/>
        <v>1</v>
      </c>
      <c r="F312" s="924"/>
      <c r="G312" s="51">
        <f t="shared" si="50"/>
        <v>1</v>
      </c>
      <c r="H312" s="924"/>
      <c r="I312" s="51">
        <f t="shared" si="51"/>
        <v>1</v>
      </c>
      <c r="J312" s="924"/>
      <c r="K312" s="51">
        <f t="shared" si="52"/>
        <v>1</v>
      </c>
      <c r="L312" s="924"/>
      <c r="M312" s="51">
        <f t="shared" si="53"/>
        <v>1</v>
      </c>
      <c r="N312" s="924"/>
      <c r="O312" s="51">
        <f t="shared" si="54"/>
        <v>1</v>
      </c>
      <c r="P312" s="924"/>
      <c r="Q312" s="51">
        <f t="shared" si="55"/>
        <v>1</v>
      </c>
      <c r="R312" s="467">
        <f t="shared" si="56"/>
        <v>0</v>
      </c>
      <c r="S312" s="765">
        <f t="shared" si="57"/>
        <v>0</v>
      </c>
    </row>
    <row r="313" spans="1:19">
      <c r="A313" s="926"/>
      <c r="B313" s="132"/>
      <c r="C313" s="51">
        <f t="shared" si="48"/>
        <v>1</v>
      </c>
      <c r="D313" s="924"/>
      <c r="E313" s="51">
        <f t="shared" si="49"/>
        <v>1</v>
      </c>
      <c r="F313" s="924"/>
      <c r="G313" s="51">
        <f t="shared" si="50"/>
        <v>1</v>
      </c>
      <c r="H313" s="924"/>
      <c r="I313" s="51">
        <f t="shared" si="51"/>
        <v>1</v>
      </c>
      <c r="J313" s="924"/>
      <c r="K313" s="51">
        <f t="shared" si="52"/>
        <v>1</v>
      </c>
      <c r="L313" s="924"/>
      <c r="M313" s="51">
        <f t="shared" si="53"/>
        <v>1</v>
      </c>
      <c r="N313" s="924"/>
      <c r="O313" s="51">
        <f t="shared" si="54"/>
        <v>1</v>
      </c>
      <c r="P313" s="924"/>
      <c r="Q313" s="51">
        <f t="shared" si="55"/>
        <v>1</v>
      </c>
      <c r="R313" s="467">
        <f t="shared" si="56"/>
        <v>0</v>
      </c>
      <c r="S313" s="765">
        <f t="shared" si="57"/>
        <v>0</v>
      </c>
    </row>
    <row r="314" spans="1:19">
      <c r="A314" s="926"/>
      <c r="B314" s="132"/>
      <c r="C314" s="51">
        <f t="shared" si="48"/>
        <v>1</v>
      </c>
      <c r="D314" s="924"/>
      <c r="E314" s="51">
        <f t="shared" si="49"/>
        <v>1</v>
      </c>
      <c r="F314" s="924"/>
      <c r="G314" s="51">
        <f t="shared" si="50"/>
        <v>1</v>
      </c>
      <c r="H314" s="924"/>
      <c r="I314" s="51">
        <f t="shared" si="51"/>
        <v>1</v>
      </c>
      <c r="J314" s="924"/>
      <c r="K314" s="51">
        <f t="shared" si="52"/>
        <v>1</v>
      </c>
      <c r="L314" s="924"/>
      <c r="M314" s="51">
        <f t="shared" si="53"/>
        <v>1</v>
      </c>
      <c r="N314" s="924"/>
      <c r="O314" s="51">
        <f t="shared" si="54"/>
        <v>1</v>
      </c>
      <c r="P314" s="924"/>
      <c r="Q314" s="51">
        <f t="shared" si="55"/>
        <v>1</v>
      </c>
      <c r="R314" s="467">
        <f t="shared" si="56"/>
        <v>0</v>
      </c>
      <c r="S314" s="765">
        <f t="shared" si="57"/>
        <v>0</v>
      </c>
    </row>
    <row r="315" spans="1:19">
      <c r="A315" s="926"/>
      <c r="B315" s="132"/>
      <c r="C315" s="51">
        <f t="shared" si="48"/>
        <v>1</v>
      </c>
      <c r="D315" s="924"/>
      <c r="E315" s="51">
        <f t="shared" si="49"/>
        <v>1</v>
      </c>
      <c r="F315" s="924"/>
      <c r="G315" s="51">
        <f t="shared" si="50"/>
        <v>1</v>
      </c>
      <c r="H315" s="924"/>
      <c r="I315" s="51">
        <f t="shared" si="51"/>
        <v>1</v>
      </c>
      <c r="J315" s="924"/>
      <c r="K315" s="51">
        <f t="shared" si="52"/>
        <v>1</v>
      </c>
      <c r="L315" s="924"/>
      <c r="M315" s="51">
        <f t="shared" si="53"/>
        <v>1</v>
      </c>
      <c r="N315" s="924"/>
      <c r="O315" s="51">
        <f t="shared" si="54"/>
        <v>1</v>
      </c>
      <c r="P315" s="924"/>
      <c r="Q315" s="51">
        <f t="shared" si="55"/>
        <v>1</v>
      </c>
      <c r="R315" s="467">
        <f t="shared" si="56"/>
        <v>0</v>
      </c>
      <c r="S315" s="765">
        <f t="shared" si="57"/>
        <v>0</v>
      </c>
    </row>
    <row r="316" spans="1:19">
      <c r="A316" s="926"/>
      <c r="B316" s="132"/>
      <c r="C316" s="51">
        <f t="shared" si="48"/>
        <v>1</v>
      </c>
      <c r="D316" s="924"/>
      <c r="E316" s="51">
        <f t="shared" si="49"/>
        <v>1</v>
      </c>
      <c r="F316" s="924"/>
      <c r="G316" s="51">
        <f t="shared" si="50"/>
        <v>1</v>
      </c>
      <c r="H316" s="924"/>
      <c r="I316" s="51">
        <f t="shared" si="51"/>
        <v>1</v>
      </c>
      <c r="J316" s="924"/>
      <c r="K316" s="51">
        <f t="shared" si="52"/>
        <v>1</v>
      </c>
      <c r="L316" s="924"/>
      <c r="M316" s="51">
        <f t="shared" si="53"/>
        <v>1</v>
      </c>
      <c r="N316" s="924"/>
      <c r="O316" s="51">
        <f t="shared" si="54"/>
        <v>1</v>
      </c>
      <c r="P316" s="924"/>
      <c r="Q316" s="51">
        <f t="shared" si="55"/>
        <v>1</v>
      </c>
      <c r="R316" s="467">
        <f t="shared" si="56"/>
        <v>0</v>
      </c>
      <c r="S316" s="765">
        <f t="shared" si="57"/>
        <v>0</v>
      </c>
    </row>
    <row r="317" spans="1:19">
      <c r="A317" s="926"/>
      <c r="B317" s="132"/>
      <c r="C317" s="51">
        <f t="shared" si="48"/>
        <v>1</v>
      </c>
      <c r="D317" s="924"/>
      <c r="E317" s="51">
        <f t="shared" si="49"/>
        <v>1</v>
      </c>
      <c r="F317" s="924"/>
      <c r="G317" s="51">
        <f t="shared" si="50"/>
        <v>1</v>
      </c>
      <c r="H317" s="924"/>
      <c r="I317" s="51">
        <f t="shared" si="51"/>
        <v>1</v>
      </c>
      <c r="J317" s="924"/>
      <c r="K317" s="51">
        <f t="shared" si="52"/>
        <v>1</v>
      </c>
      <c r="L317" s="924"/>
      <c r="M317" s="51">
        <f t="shared" si="53"/>
        <v>1</v>
      </c>
      <c r="N317" s="924"/>
      <c r="O317" s="51">
        <f t="shared" si="54"/>
        <v>1</v>
      </c>
      <c r="P317" s="924"/>
      <c r="Q317" s="51">
        <f t="shared" si="55"/>
        <v>1</v>
      </c>
      <c r="R317" s="467">
        <f t="shared" si="56"/>
        <v>0</v>
      </c>
      <c r="S317" s="765">
        <f t="shared" si="57"/>
        <v>0</v>
      </c>
    </row>
    <row r="318" spans="1:19">
      <c r="A318" s="926"/>
      <c r="B318" s="132"/>
      <c r="C318" s="51">
        <f t="shared" si="48"/>
        <v>1</v>
      </c>
      <c r="D318" s="924"/>
      <c r="E318" s="51">
        <f t="shared" si="49"/>
        <v>1</v>
      </c>
      <c r="F318" s="924"/>
      <c r="G318" s="51">
        <f t="shared" si="50"/>
        <v>1</v>
      </c>
      <c r="H318" s="924"/>
      <c r="I318" s="51">
        <f t="shared" si="51"/>
        <v>1</v>
      </c>
      <c r="J318" s="924"/>
      <c r="K318" s="51">
        <f t="shared" si="52"/>
        <v>1</v>
      </c>
      <c r="L318" s="924"/>
      <c r="M318" s="51">
        <f t="shared" si="53"/>
        <v>1</v>
      </c>
      <c r="N318" s="924"/>
      <c r="O318" s="51">
        <f t="shared" si="54"/>
        <v>1</v>
      </c>
      <c r="P318" s="924"/>
      <c r="Q318" s="51">
        <f t="shared" si="55"/>
        <v>1</v>
      </c>
      <c r="R318" s="467">
        <f t="shared" si="56"/>
        <v>0</v>
      </c>
      <c r="S318" s="765">
        <f t="shared" si="57"/>
        <v>0</v>
      </c>
    </row>
    <row r="319" spans="1:19">
      <c r="A319" s="926"/>
      <c r="B319" s="132"/>
      <c r="C319" s="51">
        <f t="shared" si="48"/>
        <v>1</v>
      </c>
      <c r="D319" s="924"/>
      <c r="E319" s="51">
        <f t="shared" si="49"/>
        <v>1</v>
      </c>
      <c r="F319" s="924"/>
      <c r="G319" s="51">
        <f t="shared" si="50"/>
        <v>1</v>
      </c>
      <c r="H319" s="924"/>
      <c r="I319" s="51">
        <f t="shared" si="51"/>
        <v>1</v>
      </c>
      <c r="J319" s="924"/>
      <c r="K319" s="51">
        <f t="shared" si="52"/>
        <v>1</v>
      </c>
      <c r="L319" s="924"/>
      <c r="M319" s="51">
        <f t="shared" si="53"/>
        <v>1</v>
      </c>
      <c r="N319" s="924"/>
      <c r="O319" s="51">
        <f t="shared" si="54"/>
        <v>1</v>
      </c>
      <c r="P319" s="924"/>
      <c r="Q319" s="51">
        <f t="shared" si="55"/>
        <v>1</v>
      </c>
      <c r="R319" s="467">
        <f t="shared" si="56"/>
        <v>0</v>
      </c>
      <c r="S319" s="765">
        <f t="shared" si="57"/>
        <v>0</v>
      </c>
    </row>
    <row r="320" spans="1:19">
      <c r="A320" s="926"/>
      <c r="B320" s="132"/>
      <c r="C320" s="51">
        <f t="shared" si="48"/>
        <v>1</v>
      </c>
      <c r="D320" s="924"/>
      <c r="E320" s="51">
        <f t="shared" si="49"/>
        <v>1</v>
      </c>
      <c r="F320" s="924"/>
      <c r="G320" s="51">
        <f t="shared" si="50"/>
        <v>1</v>
      </c>
      <c r="H320" s="924"/>
      <c r="I320" s="51">
        <f t="shared" si="51"/>
        <v>1</v>
      </c>
      <c r="J320" s="924"/>
      <c r="K320" s="51">
        <f t="shared" si="52"/>
        <v>1</v>
      </c>
      <c r="L320" s="924"/>
      <c r="M320" s="51">
        <f t="shared" si="53"/>
        <v>1</v>
      </c>
      <c r="N320" s="924"/>
      <c r="O320" s="51">
        <f t="shared" si="54"/>
        <v>1</v>
      </c>
      <c r="P320" s="924"/>
      <c r="Q320" s="51">
        <f t="shared" si="55"/>
        <v>1</v>
      </c>
      <c r="R320" s="467">
        <f t="shared" si="56"/>
        <v>0</v>
      </c>
      <c r="S320" s="765">
        <f t="shared" si="57"/>
        <v>0</v>
      </c>
    </row>
    <row r="321" spans="1:19">
      <c r="A321" s="926"/>
      <c r="B321" s="132"/>
      <c r="C321" s="51">
        <f t="shared" si="48"/>
        <v>1</v>
      </c>
      <c r="D321" s="924"/>
      <c r="E321" s="51">
        <f t="shared" si="49"/>
        <v>1</v>
      </c>
      <c r="F321" s="924"/>
      <c r="G321" s="51">
        <f t="shared" si="50"/>
        <v>1</v>
      </c>
      <c r="H321" s="924"/>
      <c r="I321" s="51">
        <f t="shared" si="51"/>
        <v>1</v>
      </c>
      <c r="J321" s="924"/>
      <c r="K321" s="51">
        <f t="shared" si="52"/>
        <v>1</v>
      </c>
      <c r="L321" s="924"/>
      <c r="M321" s="51">
        <f t="shared" si="53"/>
        <v>1</v>
      </c>
      <c r="N321" s="924"/>
      <c r="O321" s="51">
        <f t="shared" si="54"/>
        <v>1</v>
      </c>
      <c r="P321" s="924"/>
      <c r="Q321" s="51">
        <f t="shared" si="55"/>
        <v>1</v>
      </c>
      <c r="R321" s="467">
        <f t="shared" si="56"/>
        <v>0</v>
      </c>
      <c r="S321" s="765">
        <f t="shared" ref="S321:S384" si="58">ROUND(R321*B321/10000,0)</f>
        <v>0</v>
      </c>
    </row>
    <row r="322" spans="1:19">
      <c r="A322" s="926"/>
      <c r="B322" s="132"/>
      <c r="C322" s="51">
        <f t="shared" si="48"/>
        <v>1</v>
      </c>
      <c r="D322" s="924"/>
      <c r="E322" s="51">
        <f t="shared" si="49"/>
        <v>1</v>
      </c>
      <c r="F322" s="924"/>
      <c r="G322" s="51">
        <f t="shared" si="50"/>
        <v>1</v>
      </c>
      <c r="H322" s="924"/>
      <c r="I322" s="51">
        <f t="shared" si="51"/>
        <v>1</v>
      </c>
      <c r="J322" s="924"/>
      <c r="K322" s="51">
        <f t="shared" si="52"/>
        <v>1</v>
      </c>
      <c r="L322" s="924"/>
      <c r="M322" s="51">
        <f t="shared" si="53"/>
        <v>1</v>
      </c>
      <c r="N322" s="924"/>
      <c r="O322" s="51">
        <f t="shared" si="54"/>
        <v>1</v>
      </c>
      <c r="P322" s="924"/>
      <c r="Q322" s="51">
        <f t="shared" si="55"/>
        <v>1</v>
      </c>
      <c r="R322" s="467">
        <f t="shared" si="56"/>
        <v>0</v>
      </c>
      <c r="S322" s="765">
        <f t="shared" si="58"/>
        <v>0</v>
      </c>
    </row>
    <row r="323" spans="1:19">
      <c r="A323" s="926"/>
      <c r="B323" s="132"/>
      <c r="C323" s="51">
        <f t="shared" si="48"/>
        <v>1</v>
      </c>
      <c r="D323" s="924"/>
      <c r="E323" s="51">
        <f t="shared" si="49"/>
        <v>1</v>
      </c>
      <c r="F323" s="924"/>
      <c r="G323" s="51">
        <f t="shared" si="50"/>
        <v>1</v>
      </c>
      <c r="H323" s="924"/>
      <c r="I323" s="51">
        <f t="shared" si="51"/>
        <v>1</v>
      </c>
      <c r="J323" s="924"/>
      <c r="K323" s="51">
        <f t="shared" si="52"/>
        <v>1</v>
      </c>
      <c r="L323" s="924"/>
      <c r="M323" s="51">
        <f t="shared" si="53"/>
        <v>1</v>
      </c>
      <c r="N323" s="924"/>
      <c r="O323" s="51">
        <f t="shared" si="54"/>
        <v>1</v>
      </c>
      <c r="P323" s="924"/>
      <c r="Q323" s="51">
        <f t="shared" si="55"/>
        <v>1</v>
      </c>
      <c r="R323" s="467">
        <f t="shared" si="56"/>
        <v>0</v>
      </c>
      <c r="S323" s="765">
        <f t="shared" si="58"/>
        <v>0</v>
      </c>
    </row>
    <row r="324" spans="1:19">
      <c r="A324" s="926"/>
      <c r="B324" s="132"/>
      <c r="C324" s="51">
        <f t="shared" si="48"/>
        <v>1</v>
      </c>
      <c r="D324" s="924"/>
      <c r="E324" s="51">
        <f t="shared" si="49"/>
        <v>1</v>
      </c>
      <c r="F324" s="924"/>
      <c r="G324" s="51">
        <f t="shared" si="50"/>
        <v>1</v>
      </c>
      <c r="H324" s="924"/>
      <c r="I324" s="51">
        <f t="shared" si="51"/>
        <v>1</v>
      </c>
      <c r="J324" s="924"/>
      <c r="K324" s="51">
        <f t="shared" si="52"/>
        <v>1</v>
      </c>
      <c r="L324" s="924"/>
      <c r="M324" s="51">
        <f t="shared" si="53"/>
        <v>1</v>
      </c>
      <c r="N324" s="924"/>
      <c r="O324" s="51">
        <f t="shared" si="54"/>
        <v>1</v>
      </c>
      <c r="P324" s="924"/>
      <c r="Q324" s="51">
        <f t="shared" si="55"/>
        <v>1</v>
      </c>
      <c r="R324" s="467">
        <f t="shared" si="56"/>
        <v>0</v>
      </c>
      <c r="S324" s="765">
        <f t="shared" si="58"/>
        <v>0</v>
      </c>
    </row>
    <row r="325" spans="1:19">
      <c r="A325" s="926"/>
      <c r="B325" s="132"/>
      <c r="C325" s="51">
        <f t="shared" si="48"/>
        <v>1</v>
      </c>
      <c r="D325" s="924"/>
      <c r="E325" s="51">
        <f t="shared" si="49"/>
        <v>1</v>
      </c>
      <c r="F325" s="924"/>
      <c r="G325" s="51">
        <f t="shared" si="50"/>
        <v>1</v>
      </c>
      <c r="H325" s="924"/>
      <c r="I325" s="51">
        <f t="shared" si="51"/>
        <v>1</v>
      </c>
      <c r="J325" s="924"/>
      <c r="K325" s="51">
        <f t="shared" si="52"/>
        <v>1</v>
      </c>
      <c r="L325" s="924"/>
      <c r="M325" s="51">
        <f t="shared" si="53"/>
        <v>1</v>
      </c>
      <c r="N325" s="924"/>
      <c r="O325" s="51">
        <f t="shared" si="54"/>
        <v>1</v>
      </c>
      <c r="P325" s="924"/>
      <c r="Q325" s="51">
        <f t="shared" si="55"/>
        <v>1</v>
      </c>
      <c r="R325" s="467">
        <f t="shared" si="56"/>
        <v>0</v>
      </c>
      <c r="S325" s="765">
        <f t="shared" si="58"/>
        <v>0</v>
      </c>
    </row>
    <row r="326" spans="1:19">
      <c r="A326" s="926"/>
      <c r="B326" s="132"/>
      <c r="C326" s="51">
        <f t="shared" si="48"/>
        <v>1</v>
      </c>
      <c r="D326" s="924"/>
      <c r="E326" s="51">
        <f t="shared" si="49"/>
        <v>1</v>
      </c>
      <c r="F326" s="924"/>
      <c r="G326" s="51">
        <f t="shared" si="50"/>
        <v>1</v>
      </c>
      <c r="H326" s="924"/>
      <c r="I326" s="51">
        <f t="shared" si="51"/>
        <v>1</v>
      </c>
      <c r="J326" s="924"/>
      <c r="K326" s="51">
        <f t="shared" si="52"/>
        <v>1</v>
      </c>
      <c r="L326" s="924"/>
      <c r="M326" s="51">
        <f t="shared" si="53"/>
        <v>1</v>
      </c>
      <c r="N326" s="924"/>
      <c r="O326" s="51">
        <f t="shared" si="54"/>
        <v>1</v>
      </c>
      <c r="P326" s="924"/>
      <c r="Q326" s="51">
        <f t="shared" si="55"/>
        <v>1</v>
      </c>
      <c r="R326" s="467">
        <f t="shared" si="56"/>
        <v>0</v>
      </c>
      <c r="S326" s="765">
        <f t="shared" si="58"/>
        <v>0</v>
      </c>
    </row>
    <row r="327" spans="1:19">
      <c r="A327" s="926"/>
      <c r="B327" s="132"/>
      <c r="C327" s="51">
        <f t="shared" si="48"/>
        <v>1</v>
      </c>
      <c r="D327" s="924"/>
      <c r="E327" s="51">
        <f t="shared" si="49"/>
        <v>1</v>
      </c>
      <c r="F327" s="924"/>
      <c r="G327" s="51">
        <f t="shared" si="50"/>
        <v>1</v>
      </c>
      <c r="H327" s="924"/>
      <c r="I327" s="51">
        <f t="shared" si="51"/>
        <v>1</v>
      </c>
      <c r="J327" s="924"/>
      <c r="K327" s="51">
        <f t="shared" si="52"/>
        <v>1</v>
      </c>
      <c r="L327" s="924"/>
      <c r="M327" s="51">
        <f t="shared" si="53"/>
        <v>1</v>
      </c>
      <c r="N327" s="924"/>
      <c r="O327" s="51">
        <f t="shared" si="54"/>
        <v>1</v>
      </c>
      <c r="P327" s="924"/>
      <c r="Q327" s="51">
        <f t="shared" si="55"/>
        <v>1</v>
      </c>
      <c r="R327" s="467">
        <f t="shared" si="56"/>
        <v>0</v>
      </c>
      <c r="S327" s="765">
        <f t="shared" si="58"/>
        <v>0</v>
      </c>
    </row>
    <row r="328" spans="1:19">
      <c r="A328" s="926"/>
      <c r="B328" s="132"/>
      <c r="C328" s="51">
        <f t="shared" si="48"/>
        <v>1</v>
      </c>
      <c r="D328" s="924"/>
      <c r="E328" s="51">
        <f t="shared" si="49"/>
        <v>1</v>
      </c>
      <c r="F328" s="924"/>
      <c r="G328" s="51">
        <f t="shared" si="50"/>
        <v>1</v>
      </c>
      <c r="H328" s="924"/>
      <c r="I328" s="51">
        <f t="shared" si="51"/>
        <v>1</v>
      </c>
      <c r="J328" s="924"/>
      <c r="K328" s="51">
        <f t="shared" si="52"/>
        <v>1</v>
      </c>
      <c r="L328" s="924"/>
      <c r="M328" s="51">
        <f t="shared" si="53"/>
        <v>1</v>
      </c>
      <c r="N328" s="924"/>
      <c r="O328" s="51">
        <f t="shared" si="54"/>
        <v>1</v>
      </c>
      <c r="P328" s="924"/>
      <c r="Q328" s="51">
        <f t="shared" si="55"/>
        <v>1</v>
      </c>
      <c r="R328" s="467">
        <f t="shared" si="56"/>
        <v>0</v>
      </c>
      <c r="S328" s="765">
        <f t="shared" si="58"/>
        <v>0</v>
      </c>
    </row>
    <row r="329" spans="1:19">
      <c r="A329" s="926"/>
      <c r="B329" s="132"/>
      <c r="C329" s="51">
        <f t="shared" si="48"/>
        <v>1</v>
      </c>
      <c r="D329" s="924"/>
      <c r="E329" s="51">
        <f t="shared" si="49"/>
        <v>1</v>
      </c>
      <c r="F329" s="924"/>
      <c r="G329" s="51">
        <f t="shared" si="50"/>
        <v>1</v>
      </c>
      <c r="H329" s="924"/>
      <c r="I329" s="51">
        <f t="shared" si="51"/>
        <v>1</v>
      </c>
      <c r="J329" s="924"/>
      <c r="K329" s="51">
        <f t="shared" si="52"/>
        <v>1</v>
      </c>
      <c r="L329" s="924"/>
      <c r="M329" s="51">
        <f t="shared" si="53"/>
        <v>1</v>
      </c>
      <c r="N329" s="924"/>
      <c r="O329" s="51">
        <f t="shared" si="54"/>
        <v>1</v>
      </c>
      <c r="P329" s="924"/>
      <c r="Q329" s="51">
        <f t="shared" si="55"/>
        <v>1</v>
      </c>
      <c r="R329" s="467">
        <f t="shared" si="56"/>
        <v>0</v>
      </c>
      <c r="S329" s="765">
        <f t="shared" si="58"/>
        <v>0</v>
      </c>
    </row>
    <row r="330" spans="1:19">
      <c r="A330" s="926"/>
      <c r="B330" s="132"/>
      <c r="C330" s="51">
        <f t="shared" si="48"/>
        <v>1</v>
      </c>
      <c r="D330" s="924"/>
      <c r="E330" s="51">
        <f t="shared" si="49"/>
        <v>1</v>
      </c>
      <c r="F330" s="924"/>
      <c r="G330" s="51">
        <f t="shared" si="50"/>
        <v>1</v>
      </c>
      <c r="H330" s="924"/>
      <c r="I330" s="51">
        <f t="shared" si="51"/>
        <v>1</v>
      </c>
      <c r="J330" s="924"/>
      <c r="K330" s="51">
        <f t="shared" si="52"/>
        <v>1</v>
      </c>
      <c r="L330" s="924"/>
      <c r="M330" s="51">
        <f t="shared" si="53"/>
        <v>1</v>
      </c>
      <c r="N330" s="924"/>
      <c r="O330" s="51">
        <f t="shared" si="54"/>
        <v>1</v>
      </c>
      <c r="P330" s="924"/>
      <c r="Q330" s="51">
        <f t="shared" si="55"/>
        <v>1</v>
      </c>
      <c r="R330" s="467">
        <f t="shared" si="56"/>
        <v>0</v>
      </c>
      <c r="S330" s="765">
        <f t="shared" si="58"/>
        <v>0</v>
      </c>
    </row>
    <row r="331" spans="1:19">
      <c r="A331" s="926"/>
      <c r="B331" s="132"/>
      <c r="C331" s="51">
        <f t="shared" si="48"/>
        <v>1</v>
      </c>
      <c r="D331" s="924"/>
      <c r="E331" s="51">
        <f t="shared" si="49"/>
        <v>1</v>
      </c>
      <c r="F331" s="924"/>
      <c r="G331" s="51">
        <f t="shared" si="50"/>
        <v>1</v>
      </c>
      <c r="H331" s="924"/>
      <c r="I331" s="51">
        <f t="shared" si="51"/>
        <v>1</v>
      </c>
      <c r="J331" s="924"/>
      <c r="K331" s="51">
        <f t="shared" si="52"/>
        <v>1</v>
      </c>
      <c r="L331" s="924"/>
      <c r="M331" s="51">
        <f t="shared" si="53"/>
        <v>1</v>
      </c>
      <c r="N331" s="924"/>
      <c r="O331" s="51">
        <f t="shared" si="54"/>
        <v>1</v>
      </c>
      <c r="P331" s="924"/>
      <c r="Q331" s="51">
        <f t="shared" si="55"/>
        <v>1</v>
      </c>
      <c r="R331" s="467">
        <f t="shared" si="56"/>
        <v>0</v>
      </c>
      <c r="S331" s="765">
        <f t="shared" si="58"/>
        <v>0</v>
      </c>
    </row>
    <row r="332" spans="1:19">
      <c r="A332" s="926"/>
      <c r="B332" s="132"/>
      <c r="C332" s="51">
        <f t="shared" si="48"/>
        <v>1</v>
      </c>
      <c r="D332" s="924"/>
      <c r="E332" s="51">
        <f t="shared" si="49"/>
        <v>1</v>
      </c>
      <c r="F332" s="924"/>
      <c r="G332" s="51">
        <f t="shared" si="50"/>
        <v>1</v>
      </c>
      <c r="H332" s="924"/>
      <c r="I332" s="51">
        <f t="shared" si="51"/>
        <v>1</v>
      </c>
      <c r="J332" s="924"/>
      <c r="K332" s="51">
        <f t="shared" si="52"/>
        <v>1</v>
      </c>
      <c r="L332" s="924"/>
      <c r="M332" s="51">
        <f t="shared" si="53"/>
        <v>1</v>
      </c>
      <c r="N332" s="924"/>
      <c r="O332" s="51">
        <f t="shared" si="54"/>
        <v>1</v>
      </c>
      <c r="P332" s="924"/>
      <c r="Q332" s="51">
        <f t="shared" si="55"/>
        <v>1</v>
      </c>
      <c r="R332" s="467">
        <f t="shared" si="56"/>
        <v>0</v>
      </c>
      <c r="S332" s="765">
        <f t="shared" si="58"/>
        <v>0</v>
      </c>
    </row>
    <row r="333" spans="1:19">
      <c r="A333" s="926"/>
      <c r="B333" s="132"/>
      <c r="C333" s="51">
        <f t="shared" si="48"/>
        <v>1</v>
      </c>
      <c r="D333" s="924"/>
      <c r="E333" s="51">
        <f t="shared" si="49"/>
        <v>1</v>
      </c>
      <c r="F333" s="924"/>
      <c r="G333" s="51">
        <f t="shared" si="50"/>
        <v>1</v>
      </c>
      <c r="H333" s="924"/>
      <c r="I333" s="51">
        <f t="shared" si="51"/>
        <v>1</v>
      </c>
      <c r="J333" s="924"/>
      <c r="K333" s="51">
        <f t="shared" si="52"/>
        <v>1</v>
      </c>
      <c r="L333" s="924"/>
      <c r="M333" s="51">
        <f t="shared" si="53"/>
        <v>1</v>
      </c>
      <c r="N333" s="924"/>
      <c r="O333" s="51">
        <f t="shared" si="54"/>
        <v>1</v>
      </c>
      <c r="P333" s="924"/>
      <c r="Q333" s="51">
        <f t="shared" si="55"/>
        <v>1</v>
      </c>
      <c r="R333" s="467">
        <f t="shared" si="56"/>
        <v>0</v>
      </c>
      <c r="S333" s="765">
        <f t="shared" si="58"/>
        <v>0</v>
      </c>
    </row>
    <row r="334" spans="1:19">
      <c r="A334" s="926"/>
      <c r="B334" s="132"/>
      <c r="C334" s="51">
        <f t="shared" si="48"/>
        <v>1</v>
      </c>
      <c r="D334" s="924"/>
      <c r="E334" s="51">
        <f t="shared" si="49"/>
        <v>1</v>
      </c>
      <c r="F334" s="924"/>
      <c r="G334" s="51">
        <f t="shared" si="50"/>
        <v>1</v>
      </c>
      <c r="H334" s="924"/>
      <c r="I334" s="51">
        <f t="shared" si="51"/>
        <v>1</v>
      </c>
      <c r="J334" s="924"/>
      <c r="K334" s="51">
        <f t="shared" si="52"/>
        <v>1</v>
      </c>
      <c r="L334" s="924"/>
      <c r="M334" s="51">
        <f t="shared" si="53"/>
        <v>1</v>
      </c>
      <c r="N334" s="924"/>
      <c r="O334" s="51">
        <f t="shared" si="54"/>
        <v>1</v>
      </c>
      <c r="P334" s="924"/>
      <c r="Q334" s="51">
        <f t="shared" si="55"/>
        <v>1</v>
      </c>
      <c r="R334" s="467">
        <f t="shared" si="56"/>
        <v>0</v>
      </c>
      <c r="S334" s="765">
        <f t="shared" si="58"/>
        <v>0</v>
      </c>
    </row>
    <row r="335" spans="1:19">
      <c r="A335" s="926"/>
      <c r="B335" s="132"/>
      <c r="C335" s="51">
        <f t="shared" si="48"/>
        <v>1</v>
      </c>
      <c r="D335" s="924"/>
      <c r="E335" s="51">
        <f t="shared" si="49"/>
        <v>1</v>
      </c>
      <c r="F335" s="924"/>
      <c r="G335" s="51">
        <f t="shared" si="50"/>
        <v>1</v>
      </c>
      <c r="H335" s="924"/>
      <c r="I335" s="51">
        <f t="shared" si="51"/>
        <v>1</v>
      </c>
      <c r="J335" s="924"/>
      <c r="K335" s="51">
        <f t="shared" si="52"/>
        <v>1</v>
      </c>
      <c r="L335" s="924"/>
      <c r="M335" s="51">
        <f t="shared" si="53"/>
        <v>1</v>
      </c>
      <c r="N335" s="924"/>
      <c r="O335" s="51">
        <f t="shared" si="54"/>
        <v>1</v>
      </c>
      <c r="P335" s="924"/>
      <c r="Q335" s="51">
        <f t="shared" si="55"/>
        <v>1</v>
      </c>
      <c r="R335" s="467">
        <f t="shared" si="56"/>
        <v>0</v>
      </c>
      <c r="S335" s="765">
        <f t="shared" si="58"/>
        <v>0</v>
      </c>
    </row>
    <row r="336" spans="1:19">
      <c r="A336" s="926"/>
      <c r="B336" s="132"/>
      <c r="C336" s="51">
        <f t="shared" si="48"/>
        <v>1</v>
      </c>
      <c r="D336" s="924"/>
      <c r="E336" s="51">
        <f t="shared" si="49"/>
        <v>1</v>
      </c>
      <c r="F336" s="924"/>
      <c r="G336" s="51">
        <f t="shared" si="50"/>
        <v>1</v>
      </c>
      <c r="H336" s="924"/>
      <c r="I336" s="51">
        <f t="shared" si="51"/>
        <v>1</v>
      </c>
      <c r="J336" s="924"/>
      <c r="K336" s="51">
        <f t="shared" si="52"/>
        <v>1</v>
      </c>
      <c r="L336" s="924"/>
      <c r="M336" s="51">
        <f t="shared" si="53"/>
        <v>1</v>
      </c>
      <c r="N336" s="924"/>
      <c r="O336" s="51">
        <f t="shared" si="54"/>
        <v>1</v>
      </c>
      <c r="P336" s="924"/>
      <c r="Q336" s="51">
        <f t="shared" si="55"/>
        <v>1</v>
      </c>
      <c r="R336" s="467">
        <f t="shared" si="56"/>
        <v>0</v>
      </c>
      <c r="S336" s="765">
        <f t="shared" si="58"/>
        <v>0</v>
      </c>
    </row>
    <row r="337" spans="1:19">
      <c r="A337" s="926"/>
      <c r="B337" s="132"/>
      <c r="C337" s="51">
        <f t="shared" si="48"/>
        <v>1</v>
      </c>
      <c r="D337" s="924"/>
      <c r="E337" s="51">
        <f t="shared" si="49"/>
        <v>1</v>
      </c>
      <c r="F337" s="924"/>
      <c r="G337" s="51">
        <f t="shared" si="50"/>
        <v>1</v>
      </c>
      <c r="H337" s="924"/>
      <c r="I337" s="51">
        <f t="shared" si="51"/>
        <v>1</v>
      </c>
      <c r="J337" s="924"/>
      <c r="K337" s="51">
        <f t="shared" si="52"/>
        <v>1</v>
      </c>
      <c r="L337" s="924"/>
      <c r="M337" s="51">
        <f t="shared" si="53"/>
        <v>1</v>
      </c>
      <c r="N337" s="924"/>
      <c r="O337" s="51">
        <f t="shared" si="54"/>
        <v>1</v>
      </c>
      <c r="P337" s="924"/>
      <c r="Q337" s="51">
        <f t="shared" si="55"/>
        <v>1</v>
      </c>
      <c r="R337" s="467">
        <f t="shared" si="56"/>
        <v>0</v>
      </c>
      <c r="S337" s="765">
        <f t="shared" si="58"/>
        <v>0</v>
      </c>
    </row>
    <row r="338" spans="1:19">
      <c r="A338" s="926"/>
      <c r="B338" s="132"/>
      <c r="C338" s="51">
        <f t="shared" si="48"/>
        <v>1</v>
      </c>
      <c r="D338" s="924"/>
      <c r="E338" s="51">
        <f t="shared" si="49"/>
        <v>1</v>
      </c>
      <c r="F338" s="924"/>
      <c r="G338" s="51">
        <f t="shared" si="50"/>
        <v>1</v>
      </c>
      <c r="H338" s="924"/>
      <c r="I338" s="51">
        <f t="shared" si="51"/>
        <v>1</v>
      </c>
      <c r="J338" s="924"/>
      <c r="K338" s="51">
        <f t="shared" si="52"/>
        <v>1</v>
      </c>
      <c r="L338" s="924"/>
      <c r="M338" s="51">
        <f t="shared" si="53"/>
        <v>1</v>
      </c>
      <c r="N338" s="924"/>
      <c r="O338" s="51">
        <f t="shared" si="54"/>
        <v>1</v>
      </c>
      <c r="P338" s="924"/>
      <c r="Q338" s="51">
        <f t="shared" si="55"/>
        <v>1</v>
      </c>
      <c r="R338" s="467">
        <f t="shared" si="56"/>
        <v>0</v>
      </c>
      <c r="S338" s="765">
        <f t="shared" si="58"/>
        <v>0</v>
      </c>
    </row>
    <row r="339" spans="1:19">
      <c r="A339" s="926"/>
      <c r="B339" s="132"/>
      <c r="C339" s="51">
        <f t="shared" si="48"/>
        <v>1</v>
      </c>
      <c r="D339" s="924"/>
      <c r="E339" s="51">
        <f t="shared" si="49"/>
        <v>1</v>
      </c>
      <c r="F339" s="924"/>
      <c r="G339" s="51">
        <f t="shared" si="50"/>
        <v>1</v>
      </c>
      <c r="H339" s="924"/>
      <c r="I339" s="51">
        <f t="shared" si="51"/>
        <v>1</v>
      </c>
      <c r="J339" s="924"/>
      <c r="K339" s="51">
        <f t="shared" si="52"/>
        <v>1</v>
      </c>
      <c r="L339" s="924"/>
      <c r="M339" s="51">
        <f t="shared" si="53"/>
        <v>1</v>
      </c>
      <c r="N339" s="924"/>
      <c r="O339" s="51">
        <f t="shared" si="54"/>
        <v>1</v>
      </c>
      <c r="P339" s="924"/>
      <c r="Q339" s="51">
        <f t="shared" si="55"/>
        <v>1</v>
      </c>
      <c r="R339" s="467">
        <f t="shared" si="56"/>
        <v>0</v>
      </c>
      <c r="S339" s="765">
        <f t="shared" si="58"/>
        <v>0</v>
      </c>
    </row>
    <row r="340" spans="1:19">
      <c r="A340" s="926"/>
      <c r="B340" s="132"/>
      <c r="C340" s="51">
        <f t="shared" si="48"/>
        <v>1</v>
      </c>
      <c r="D340" s="924"/>
      <c r="E340" s="51">
        <f t="shared" si="49"/>
        <v>1</v>
      </c>
      <c r="F340" s="924"/>
      <c r="G340" s="51">
        <f t="shared" si="50"/>
        <v>1</v>
      </c>
      <c r="H340" s="924"/>
      <c r="I340" s="51">
        <f t="shared" si="51"/>
        <v>1</v>
      </c>
      <c r="J340" s="924"/>
      <c r="K340" s="51">
        <f t="shared" si="52"/>
        <v>1</v>
      </c>
      <c r="L340" s="924"/>
      <c r="M340" s="51">
        <f t="shared" si="53"/>
        <v>1</v>
      </c>
      <c r="N340" s="924"/>
      <c r="O340" s="51">
        <f t="shared" si="54"/>
        <v>1</v>
      </c>
      <c r="P340" s="924"/>
      <c r="Q340" s="51">
        <f t="shared" si="55"/>
        <v>1</v>
      </c>
      <c r="R340" s="467">
        <f t="shared" si="56"/>
        <v>0</v>
      </c>
      <c r="S340" s="765">
        <f t="shared" si="58"/>
        <v>0</v>
      </c>
    </row>
    <row r="341" spans="1:19">
      <c r="A341" s="926"/>
      <c r="B341" s="132"/>
      <c r="C341" s="51">
        <f t="shared" si="48"/>
        <v>1</v>
      </c>
      <c r="D341" s="924"/>
      <c r="E341" s="51">
        <f t="shared" si="49"/>
        <v>1</v>
      </c>
      <c r="F341" s="924"/>
      <c r="G341" s="51">
        <f t="shared" si="50"/>
        <v>1</v>
      </c>
      <c r="H341" s="924"/>
      <c r="I341" s="51">
        <f t="shared" si="51"/>
        <v>1</v>
      </c>
      <c r="J341" s="924"/>
      <c r="K341" s="51">
        <f t="shared" si="52"/>
        <v>1</v>
      </c>
      <c r="L341" s="924"/>
      <c r="M341" s="51">
        <f t="shared" si="53"/>
        <v>1</v>
      </c>
      <c r="N341" s="924"/>
      <c r="O341" s="51">
        <f t="shared" si="54"/>
        <v>1</v>
      </c>
      <c r="P341" s="924"/>
      <c r="Q341" s="51">
        <f t="shared" si="55"/>
        <v>1</v>
      </c>
      <c r="R341" s="467">
        <f t="shared" si="56"/>
        <v>0</v>
      </c>
      <c r="S341" s="765">
        <f t="shared" si="58"/>
        <v>0</v>
      </c>
    </row>
    <row r="342" spans="1:19">
      <c r="A342" s="926"/>
      <c r="B342" s="132"/>
      <c r="C342" s="51">
        <f t="shared" si="48"/>
        <v>1</v>
      </c>
      <c r="D342" s="924"/>
      <c r="E342" s="51">
        <f t="shared" si="49"/>
        <v>1</v>
      </c>
      <c r="F342" s="924"/>
      <c r="G342" s="51">
        <f t="shared" si="50"/>
        <v>1</v>
      </c>
      <c r="H342" s="924"/>
      <c r="I342" s="51">
        <f t="shared" si="51"/>
        <v>1</v>
      </c>
      <c r="J342" s="924"/>
      <c r="K342" s="51">
        <f t="shared" si="52"/>
        <v>1</v>
      </c>
      <c r="L342" s="924"/>
      <c r="M342" s="51">
        <f t="shared" si="53"/>
        <v>1</v>
      </c>
      <c r="N342" s="924"/>
      <c r="O342" s="51">
        <f t="shared" si="54"/>
        <v>1</v>
      </c>
      <c r="P342" s="924"/>
      <c r="Q342" s="51">
        <f t="shared" si="55"/>
        <v>1</v>
      </c>
      <c r="R342" s="467">
        <f t="shared" si="56"/>
        <v>0</v>
      </c>
      <c r="S342" s="765">
        <f t="shared" si="58"/>
        <v>0</v>
      </c>
    </row>
    <row r="343" spans="1:19">
      <c r="A343" s="926"/>
      <c r="B343" s="132"/>
      <c r="C343" s="51">
        <f t="shared" si="48"/>
        <v>1</v>
      </c>
      <c r="D343" s="924"/>
      <c r="E343" s="51">
        <f t="shared" si="49"/>
        <v>1</v>
      </c>
      <c r="F343" s="924"/>
      <c r="G343" s="51">
        <f t="shared" si="50"/>
        <v>1</v>
      </c>
      <c r="H343" s="924"/>
      <c r="I343" s="51">
        <f t="shared" si="51"/>
        <v>1</v>
      </c>
      <c r="J343" s="924"/>
      <c r="K343" s="51">
        <f t="shared" si="52"/>
        <v>1</v>
      </c>
      <c r="L343" s="924"/>
      <c r="M343" s="51">
        <f t="shared" si="53"/>
        <v>1</v>
      </c>
      <c r="N343" s="924"/>
      <c r="O343" s="51">
        <f t="shared" si="54"/>
        <v>1</v>
      </c>
      <c r="P343" s="924"/>
      <c r="Q343" s="51">
        <f t="shared" si="55"/>
        <v>1</v>
      </c>
      <c r="R343" s="467">
        <f t="shared" si="56"/>
        <v>0</v>
      </c>
      <c r="S343" s="765">
        <f t="shared" si="58"/>
        <v>0</v>
      </c>
    </row>
    <row r="344" spans="1:19">
      <c r="A344" s="926"/>
      <c r="B344" s="132"/>
      <c r="C344" s="51">
        <f t="shared" si="48"/>
        <v>1</v>
      </c>
      <c r="D344" s="924"/>
      <c r="E344" s="51">
        <f t="shared" si="49"/>
        <v>1</v>
      </c>
      <c r="F344" s="924"/>
      <c r="G344" s="51">
        <f t="shared" si="50"/>
        <v>1</v>
      </c>
      <c r="H344" s="924"/>
      <c r="I344" s="51">
        <f t="shared" si="51"/>
        <v>1</v>
      </c>
      <c r="J344" s="924"/>
      <c r="K344" s="51">
        <f t="shared" si="52"/>
        <v>1</v>
      </c>
      <c r="L344" s="924"/>
      <c r="M344" s="51">
        <f t="shared" si="53"/>
        <v>1</v>
      </c>
      <c r="N344" s="924"/>
      <c r="O344" s="51">
        <f t="shared" si="54"/>
        <v>1</v>
      </c>
      <c r="P344" s="924"/>
      <c r="Q344" s="51">
        <f t="shared" si="55"/>
        <v>1</v>
      </c>
      <c r="R344" s="467">
        <f t="shared" si="56"/>
        <v>0</v>
      </c>
      <c r="S344" s="765">
        <f t="shared" si="58"/>
        <v>0</v>
      </c>
    </row>
    <row r="345" spans="1:19">
      <c r="A345" s="926"/>
      <c r="B345" s="132"/>
      <c r="C345" s="51">
        <f t="shared" si="48"/>
        <v>1</v>
      </c>
      <c r="D345" s="924"/>
      <c r="E345" s="51">
        <f t="shared" si="49"/>
        <v>1</v>
      </c>
      <c r="F345" s="924"/>
      <c r="G345" s="51">
        <f t="shared" si="50"/>
        <v>1</v>
      </c>
      <c r="H345" s="924"/>
      <c r="I345" s="51">
        <f t="shared" si="51"/>
        <v>1</v>
      </c>
      <c r="J345" s="924"/>
      <c r="K345" s="51">
        <f t="shared" si="52"/>
        <v>1</v>
      </c>
      <c r="L345" s="924"/>
      <c r="M345" s="51">
        <f t="shared" si="53"/>
        <v>1</v>
      </c>
      <c r="N345" s="924"/>
      <c r="O345" s="51">
        <f t="shared" si="54"/>
        <v>1</v>
      </c>
      <c r="P345" s="924"/>
      <c r="Q345" s="51">
        <f t="shared" si="55"/>
        <v>1</v>
      </c>
      <c r="R345" s="467">
        <f t="shared" si="56"/>
        <v>0</v>
      </c>
      <c r="S345" s="765">
        <f t="shared" si="58"/>
        <v>0</v>
      </c>
    </row>
    <row r="346" spans="1:19">
      <c r="A346" s="926"/>
      <c r="B346" s="132"/>
      <c r="C346" s="51">
        <f t="shared" ref="C346:C409" si="59">IF(B346="",1,(LOOKUP(B346,$3:$3,$4:$4)-LOOKUP($B$24,$3:$3,$4:$4)+100)/100)</f>
        <v>1</v>
      </c>
      <c r="D346" s="924"/>
      <c r="E346" s="51">
        <f t="shared" ref="E346:E409" si="60">(SUMIF($5:$5,D346,$6:$6)-SUMIF($5:$5,$D$24,$6:$6)+100)/100</f>
        <v>1</v>
      </c>
      <c r="F346" s="924"/>
      <c r="G346" s="51">
        <f t="shared" ref="G346:G409" si="61">(SUMIF($7:$7,F346,$8:$8)-SUMIF($7:$7,$F$24,$8:$8)+100)/100</f>
        <v>1</v>
      </c>
      <c r="H346" s="924"/>
      <c r="I346" s="51">
        <f t="shared" ref="I346:I409" si="62">(SUMIF($9:$9,H346,$10:$10)-SUMIF($9:$9,$H$24,$10:$10)+100)/100</f>
        <v>1</v>
      </c>
      <c r="J346" s="924"/>
      <c r="K346" s="51">
        <f t="shared" ref="K346:K409" si="63">(SUMIF($11:$11,J346,$12:$12)-SUMIF($11:$11,$J$24,$12:$12)+100)/100</f>
        <v>1</v>
      </c>
      <c r="L346" s="924"/>
      <c r="M346" s="51">
        <f t="shared" ref="M346:M409" si="64">(SUMIF($13:$13,L346,$14:$14)-SUMIF($13:$13,$L$24,$14:$14)+100)/100</f>
        <v>1</v>
      </c>
      <c r="N346" s="924"/>
      <c r="O346" s="51">
        <f t="shared" ref="O346:O409" si="65">(SUMIF($15:$15,N346,$16:$16)-SUMIF($15:$15,$N$24,$16:$16)+100)/100</f>
        <v>1</v>
      </c>
      <c r="P346" s="924"/>
      <c r="Q346" s="51">
        <f t="shared" ref="Q346:Q409" si="66">(SUMIF($17:$17,P346,$18:$18)-SUMIF($17:$17,$P$24,$18:$18)+100)/100</f>
        <v>1</v>
      </c>
      <c r="R346" s="467">
        <f t="shared" ref="R346:R409" si="67">IF(B346="",0,ROUND($R$24*C346*E346*G346*I346*K346*M346*O346*Q346,0))</f>
        <v>0</v>
      </c>
      <c r="S346" s="765">
        <f t="shared" si="58"/>
        <v>0</v>
      </c>
    </row>
    <row r="347" spans="1:19">
      <c r="A347" s="926"/>
      <c r="B347" s="132"/>
      <c r="C347" s="51">
        <f t="shared" si="59"/>
        <v>1</v>
      </c>
      <c r="D347" s="924"/>
      <c r="E347" s="51">
        <f t="shared" si="60"/>
        <v>1</v>
      </c>
      <c r="F347" s="924"/>
      <c r="G347" s="51">
        <f t="shared" si="61"/>
        <v>1</v>
      </c>
      <c r="H347" s="924"/>
      <c r="I347" s="51">
        <f t="shared" si="62"/>
        <v>1</v>
      </c>
      <c r="J347" s="924"/>
      <c r="K347" s="51">
        <f t="shared" si="63"/>
        <v>1</v>
      </c>
      <c r="L347" s="924"/>
      <c r="M347" s="51">
        <f t="shared" si="64"/>
        <v>1</v>
      </c>
      <c r="N347" s="924"/>
      <c r="O347" s="51">
        <f t="shared" si="65"/>
        <v>1</v>
      </c>
      <c r="P347" s="924"/>
      <c r="Q347" s="51">
        <f t="shared" si="66"/>
        <v>1</v>
      </c>
      <c r="R347" s="467">
        <f t="shared" si="67"/>
        <v>0</v>
      </c>
      <c r="S347" s="765">
        <f t="shared" si="58"/>
        <v>0</v>
      </c>
    </row>
    <row r="348" spans="1:19">
      <c r="A348" s="926"/>
      <c r="B348" s="132"/>
      <c r="C348" s="51">
        <f t="shared" si="59"/>
        <v>1</v>
      </c>
      <c r="D348" s="924"/>
      <c r="E348" s="51">
        <f t="shared" si="60"/>
        <v>1</v>
      </c>
      <c r="F348" s="924"/>
      <c r="G348" s="51">
        <f t="shared" si="61"/>
        <v>1</v>
      </c>
      <c r="H348" s="924"/>
      <c r="I348" s="51">
        <f t="shared" si="62"/>
        <v>1</v>
      </c>
      <c r="J348" s="924"/>
      <c r="K348" s="51">
        <f t="shared" si="63"/>
        <v>1</v>
      </c>
      <c r="L348" s="924"/>
      <c r="M348" s="51">
        <f t="shared" si="64"/>
        <v>1</v>
      </c>
      <c r="N348" s="924"/>
      <c r="O348" s="51">
        <f t="shared" si="65"/>
        <v>1</v>
      </c>
      <c r="P348" s="924"/>
      <c r="Q348" s="51">
        <f t="shared" si="66"/>
        <v>1</v>
      </c>
      <c r="R348" s="467">
        <f t="shared" si="67"/>
        <v>0</v>
      </c>
      <c r="S348" s="765">
        <f t="shared" si="58"/>
        <v>0</v>
      </c>
    </row>
    <row r="349" spans="1:19">
      <c r="A349" s="926"/>
      <c r="B349" s="132"/>
      <c r="C349" s="51">
        <f t="shared" si="59"/>
        <v>1</v>
      </c>
      <c r="D349" s="924"/>
      <c r="E349" s="51">
        <f t="shared" si="60"/>
        <v>1</v>
      </c>
      <c r="F349" s="924"/>
      <c r="G349" s="51">
        <f t="shared" si="61"/>
        <v>1</v>
      </c>
      <c r="H349" s="924"/>
      <c r="I349" s="51">
        <f t="shared" si="62"/>
        <v>1</v>
      </c>
      <c r="J349" s="924"/>
      <c r="K349" s="51">
        <f t="shared" si="63"/>
        <v>1</v>
      </c>
      <c r="L349" s="924"/>
      <c r="M349" s="51">
        <f t="shared" si="64"/>
        <v>1</v>
      </c>
      <c r="N349" s="924"/>
      <c r="O349" s="51">
        <f t="shared" si="65"/>
        <v>1</v>
      </c>
      <c r="P349" s="924"/>
      <c r="Q349" s="51">
        <f t="shared" si="66"/>
        <v>1</v>
      </c>
      <c r="R349" s="467">
        <f t="shared" si="67"/>
        <v>0</v>
      </c>
      <c r="S349" s="765">
        <f t="shared" si="58"/>
        <v>0</v>
      </c>
    </row>
    <row r="350" spans="1:19">
      <c r="A350" s="926"/>
      <c r="B350" s="132"/>
      <c r="C350" s="51">
        <f t="shared" si="59"/>
        <v>1</v>
      </c>
      <c r="D350" s="924"/>
      <c r="E350" s="51">
        <f t="shared" si="60"/>
        <v>1</v>
      </c>
      <c r="F350" s="924"/>
      <c r="G350" s="51">
        <f t="shared" si="61"/>
        <v>1</v>
      </c>
      <c r="H350" s="924"/>
      <c r="I350" s="51">
        <f t="shared" si="62"/>
        <v>1</v>
      </c>
      <c r="J350" s="924"/>
      <c r="K350" s="51">
        <f t="shared" si="63"/>
        <v>1</v>
      </c>
      <c r="L350" s="924"/>
      <c r="M350" s="51">
        <f t="shared" si="64"/>
        <v>1</v>
      </c>
      <c r="N350" s="924"/>
      <c r="O350" s="51">
        <f t="shared" si="65"/>
        <v>1</v>
      </c>
      <c r="P350" s="924"/>
      <c r="Q350" s="51">
        <f t="shared" si="66"/>
        <v>1</v>
      </c>
      <c r="R350" s="467">
        <f t="shared" si="67"/>
        <v>0</v>
      </c>
      <c r="S350" s="765">
        <f t="shared" si="58"/>
        <v>0</v>
      </c>
    </row>
    <row r="351" spans="1:19">
      <c r="A351" s="926"/>
      <c r="B351" s="132"/>
      <c r="C351" s="51">
        <f t="shared" si="59"/>
        <v>1</v>
      </c>
      <c r="D351" s="924"/>
      <c r="E351" s="51">
        <f t="shared" si="60"/>
        <v>1</v>
      </c>
      <c r="F351" s="924"/>
      <c r="G351" s="51">
        <f t="shared" si="61"/>
        <v>1</v>
      </c>
      <c r="H351" s="924"/>
      <c r="I351" s="51">
        <f t="shared" si="62"/>
        <v>1</v>
      </c>
      <c r="J351" s="924"/>
      <c r="K351" s="51">
        <f t="shared" si="63"/>
        <v>1</v>
      </c>
      <c r="L351" s="924"/>
      <c r="M351" s="51">
        <f t="shared" si="64"/>
        <v>1</v>
      </c>
      <c r="N351" s="924"/>
      <c r="O351" s="51">
        <f t="shared" si="65"/>
        <v>1</v>
      </c>
      <c r="P351" s="924"/>
      <c r="Q351" s="51">
        <f t="shared" si="66"/>
        <v>1</v>
      </c>
      <c r="R351" s="467">
        <f t="shared" si="67"/>
        <v>0</v>
      </c>
      <c r="S351" s="765">
        <f t="shared" si="58"/>
        <v>0</v>
      </c>
    </row>
    <row r="352" spans="1:19">
      <c r="A352" s="926"/>
      <c r="B352" s="132"/>
      <c r="C352" s="51">
        <f t="shared" si="59"/>
        <v>1</v>
      </c>
      <c r="D352" s="924"/>
      <c r="E352" s="51">
        <f t="shared" si="60"/>
        <v>1</v>
      </c>
      <c r="F352" s="924"/>
      <c r="G352" s="51">
        <f t="shared" si="61"/>
        <v>1</v>
      </c>
      <c r="H352" s="924"/>
      <c r="I352" s="51">
        <f t="shared" si="62"/>
        <v>1</v>
      </c>
      <c r="J352" s="924"/>
      <c r="K352" s="51">
        <f t="shared" si="63"/>
        <v>1</v>
      </c>
      <c r="L352" s="924"/>
      <c r="M352" s="51">
        <f t="shared" si="64"/>
        <v>1</v>
      </c>
      <c r="N352" s="924"/>
      <c r="O352" s="51">
        <f t="shared" si="65"/>
        <v>1</v>
      </c>
      <c r="P352" s="924"/>
      <c r="Q352" s="51">
        <f t="shared" si="66"/>
        <v>1</v>
      </c>
      <c r="R352" s="467">
        <f t="shared" si="67"/>
        <v>0</v>
      </c>
      <c r="S352" s="765">
        <f t="shared" si="58"/>
        <v>0</v>
      </c>
    </row>
    <row r="353" spans="1:19">
      <c r="A353" s="926"/>
      <c r="B353" s="132"/>
      <c r="C353" s="51">
        <f t="shared" si="59"/>
        <v>1</v>
      </c>
      <c r="D353" s="924"/>
      <c r="E353" s="51">
        <f t="shared" si="60"/>
        <v>1</v>
      </c>
      <c r="F353" s="924"/>
      <c r="G353" s="51">
        <f t="shared" si="61"/>
        <v>1</v>
      </c>
      <c r="H353" s="924"/>
      <c r="I353" s="51">
        <f t="shared" si="62"/>
        <v>1</v>
      </c>
      <c r="J353" s="924"/>
      <c r="K353" s="51">
        <f t="shared" si="63"/>
        <v>1</v>
      </c>
      <c r="L353" s="924"/>
      <c r="M353" s="51">
        <f t="shared" si="64"/>
        <v>1</v>
      </c>
      <c r="N353" s="924"/>
      <c r="O353" s="51">
        <f t="shared" si="65"/>
        <v>1</v>
      </c>
      <c r="P353" s="924"/>
      <c r="Q353" s="51">
        <f t="shared" si="66"/>
        <v>1</v>
      </c>
      <c r="R353" s="467">
        <f t="shared" si="67"/>
        <v>0</v>
      </c>
      <c r="S353" s="765">
        <f t="shared" si="58"/>
        <v>0</v>
      </c>
    </row>
    <row r="354" spans="1:19">
      <c r="A354" s="926"/>
      <c r="B354" s="132"/>
      <c r="C354" s="51">
        <f t="shared" si="59"/>
        <v>1</v>
      </c>
      <c r="D354" s="924"/>
      <c r="E354" s="51">
        <f t="shared" si="60"/>
        <v>1</v>
      </c>
      <c r="F354" s="924"/>
      <c r="G354" s="51">
        <f t="shared" si="61"/>
        <v>1</v>
      </c>
      <c r="H354" s="924"/>
      <c r="I354" s="51">
        <f t="shared" si="62"/>
        <v>1</v>
      </c>
      <c r="J354" s="924"/>
      <c r="K354" s="51">
        <f t="shared" si="63"/>
        <v>1</v>
      </c>
      <c r="L354" s="924"/>
      <c r="M354" s="51">
        <f t="shared" si="64"/>
        <v>1</v>
      </c>
      <c r="N354" s="924"/>
      <c r="O354" s="51">
        <f t="shared" si="65"/>
        <v>1</v>
      </c>
      <c r="P354" s="924"/>
      <c r="Q354" s="51">
        <f t="shared" si="66"/>
        <v>1</v>
      </c>
      <c r="R354" s="467">
        <f t="shared" si="67"/>
        <v>0</v>
      </c>
      <c r="S354" s="765">
        <f t="shared" si="58"/>
        <v>0</v>
      </c>
    </row>
    <row r="355" spans="1:19">
      <c r="A355" s="926"/>
      <c r="B355" s="132"/>
      <c r="C355" s="51">
        <f t="shared" si="59"/>
        <v>1</v>
      </c>
      <c r="D355" s="924"/>
      <c r="E355" s="51">
        <f t="shared" si="60"/>
        <v>1</v>
      </c>
      <c r="F355" s="924"/>
      <c r="G355" s="51">
        <f t="shared" si="61"/>
        <v>1</v>
      </c>
      <c r="H355" s="924"/>
      <c r="I355" s="51">
        <f t="shared" si="62"/>
        <v>1</v>
      </c>
      <c r="J355" s="924"/>
      <c r="K355" s="51">
        <f t="shared" si="63"/>
        <v>1</v>
      </c>
      <c r="L355" s="924"/>
      <c r="M355" s="51">
        <f t="shared" si="64"/>
        <v>1</v>
      </c>
      <c r="N355" s="924"/>
      <c r="O355" s="51">
        <f t="shared" si="65"/>
        <v>1</v>
      </c>
      <c r="P355" s="924"/>
      <c r="Q355" s="51">
        <f t="shared" si="66"/>
        <v>1</v>
      </c>
      <c r="R355" s="467">
        <f t="shared" si="67"/>
        <v>0</v>
      </c>
      <c r="S355" s="765">
        <f t="shared" si="58"/>
        <v>0</v>
      </c>
    </row>
    <row r="356" spans="1:19">
      <c r="A356" s="926"/>
      <c r="B356" s="132"/>
      <c r="C356" s="51">
        <f t="shared" si="59"/>
        <v>1</v>
      </c>
      <c r="D356" s="924"/>
      <c r="E356" s="51">
        <f t="shared" si="60"/>
        <v>1</v>
      </c>
      <c r="F356" s="924"/>
      <c r="G356" s="51">
        <f t="shared" si="61"/>
        <v>1</v>
      </c>
      <c r="H356" s="924"/>
      <c r="I356" s="51">
        <f t="shared" si="62"/>
        <v>1</v>
      </c>
      <c r="J356" s="924"/>
      <c r="K356" s="51">
        <f t="shared" si="63"/>
        <v>1</v>
      </c>
      <c r="L356" s="924"/>
      <c r="M356" s="51">
        <f t="shared" si="64"/>
        <v>1</v>
      </c>
      <c r="N356" s="924"/>
      <c r="O356" s="51">
        <f t="shared" si="65"/>
        <v>1</v>
      </c>
      <c r="P356" s="924"/>
      <c r="Q356" s="51">
        <f t="shared" si="66"/>
        <v>1</v>
      </c>
      <c r="R356" s="467">
        <f t="shared" si="67"/>
        <v>0</v>
      </c>
      <c r="S356" s="765">
        <f t="shared" si="58"/>
        <v>0</v>
      </c>
    </row>
    <row r="357" spans="1:19">
      <c r="A357" s="926"/>
      <c r="B357" s="132"/>
      <c r="C357" s="51">
        <f t="shared" si="59"/>
        <v>1</v>
      </c>
      <c r="D357" s="924"/>
      <c r="E357" s="51">
        <f t="shared" si="60"/>
        <v>1</v>
      </c>
      <c r="F357" s="924"/>
      <c r="G357" s="51">
        <f t="shared" si="61"/>
        <v>1</v>
      </c>
      <c r="H357" s="924"/>
      <c r="I357" s="51">
        <f t="shared" si="62"/>
        <v>1</v>
      </c>
      <c r="J357" s="924"/>
      <c r="K357" s="51">
        <f t="shared" si="63"/>
        <v>1</v>
      </c>
      <c r="L357" s="924"/>
      <c r="M357" s="51">
        <f t="shared" si="64"/>
        <v>1</v>
      </c>
      <c r="N357" s="924"/>
      <c r="O357" s="51">
        <f t="shared" si="65"/>
        <v>1</v>
      </c>
      <c r="P357" s="924"/>
      <c r="Q357" s="51">
        <f t="shared" si="66"/>
        <v>1</v>
      </c>
      <c r="R357" s="467">
        <f t="shared" si="67"/>
        <v>0</v>
      </c>
      <c r="S357" s="765">
        <f t="shared" si="58"/>
        <v>0</v>
      </c>
    </row>
    <row r="358" spans="1:19">
      <c r="A358" s="926"/>
      <c r="B358" s="132"/>
      <c r="C358" s="51">
        <f t="shared" si="59"/>
        <v>1</v>
      </c>
      <c r="D358" s="924"/>
      <c r="E358" s="51">
        <f t="shared" si="60"/>
        <v>1</v>
      </c>
      <c r="F358" s="924"/>
      <c r="G358" s="51">
        <f t="shared" si="61"/>
        <v>1</v>
      </c>
      <c r="H358" s="924"/>
      <c r="I358" s="51">
        <f t="shared" si="62"/>
        <v>1</v>
      </c>
      <c r="J358" s="924"/>
      <c r="K358" s="51">
        <f t="shared" si="63"/>
        <v>1</v>
      </c>
      <c r="L358" s="924"/>
      <c r="M358" s="51">
        <f t="shared" si="64"/>
        <v>1</v>
      </c>
      <c r="N358" s="924"/>
      <c r="O358" s="51">
        <f t="shared" si="65"/>
        <v>1</v>
      </c>
      <c r="P358" s="924"/>
      <c r="Q358" s="51">
        <f t="shared" si="66"/>
        <v>1</v>
      </c>
      <c r="R358" s="467">
        <f t="shared" si="67"/>
        <v>0</v>
      </c>
      <c r="S358" s="765">
        <f t="shared" si="58"/>
        <v>0</v>
      </c>
    </row>
    <row r="359" spans="1:19">
      <c r="A359" s="926"/>
      <c r="B359" s="132"/>
      <c r="C359" s="51">
        <f t="shared" si="59"/>
        <v>1</v>
      </c>
      <c r="D359" s="924"/>
      <c r="E359" s="51">
        <f t="shared" si="60"/>
        <v>1</v>
      </c>
      <c r="F359" s="924"/>
      <c r="G359" s="51">
        <f t="shared" si="61"/>
        <v>1</v>
      </c>
      <c r="H359" s="924"/>
      <c r="I359" s="51">
        <f t="shared" si="62"/>
        <v>1</v>
      </c>
      <c r="J359" s="924"/>
      <c r="K359" s="51">
        <f t="shared" si="63"/>
        <v>1</v>
      </c>
      <c r="L359" s="924"/>
      <c r="M359" s="51">
        <f t="shared" si="64"/>
        <v>1</v>
      </c>
      <c r="N359" s="924"/>
      <c r="O359" s="51">
        <f t="shared" si="65"/>
        <v>1</v>
      </c>
      <c r="P359" s="924"/>
      <c r="Q359" s="51">
        <f t="shared" si="66"/>
        <v>1</v>
      </c>
      <c r="R359" s="467">
        <f t="shared" si="67"/>
        <v>0</v>
      </c>
      <c r="S359" s="765">
        <f t="shared" si="58"/>
        <v>0</v>
      </c>
    </row>
    <row r="360" spans="1:19">
      <c r="A360" s="926"/>
      <c r="B360" s="132"/>
      <c r="C360" s="51">
        <f t="shared" si="59"/>
        <v>1</v>
      </c>
      <c r="D360" s="924"/>
      <c r="E360" s="51">
        <f t="shared" si="60"/>
        <v>1</v>
      </c>
      <c r="F360" s="924"/>
      <c r="G360" s="51">
        <f t="shared" si="61"/>
        <v>1</v>
      </c>
      <c r="H360" s="924"/>
      <c r="I360" s="51">
        <f t="shared" si="62"/>
        <v>1</v>
      </c>
      <c r="J360" s="924"/>
      <c r="K360" s="51">
        <f t="shared" si="63"/>
        <v>1</v>
      </c>
      <c r="L360" s="924"/>
      <c r="M360" s="51">
        <f t="shared" si="64"/>
        <v>1</v>
      </c>
      <c r="N360" s="924"/>
      <c r="O360" s="51">
        <f t="shared" si="65"/>
        <v>1</v>
      </c>
      <c r="P360" s="924"/>
      <c r="Q360" s="51">
        <f t="shared" si="66"/>
        <v>1</v>
      </c>
      <c r="R360" s="467">
        <f t="shared" si="67"/>
        <v>0</v>
      </c>
      <c r="S360" s="765">
        <f t="shared" si="58"/>
        <v>0</v>
      </c>
    </row>
    <row r="361" spans="1:19">
      <c r="A361" s="926"/>
      <c r="B361" s="132"/>
      <c r="C361" s="51">
        <f t="shared" si="59"/>
        <v>1</v>
      </c>
      <c r="D361" s="924"/>
      <c r="E361" s="51">
        <f t="shared" si="60"/>
        <v>1</v>
      </c>
      <c r="F361" s="924"/>
      <c r="G361" s="51">
        <f t="shared" si="61"/>
        <v>1</v>
      </c>
      <c r="H361" s="924"/>
      <c r="I361" s="51">
        <f t="shared" si="62"/>
        <v>1</v>
      </c>
      <c r="J361" s="924"/>
      <c r="K361" s="51">
        <f t="shared" si="63"/>
        <v>1</v>
      </c>
      <c r="L361" s="924"/>
      <c r="M361" s="51">
        <f t="shared" si="64"/>
        <v>1</v>
      </c>
      <c r="N361" s="924"/>
      <c r="O361" s="51">
        <f t="shared" si="65"/>
        <v>1</v>
      </c>
      <c r="P361" s="924"/>
      <c r="Q361" s="51">
        <f t="shared" si="66"/>
        <v>1</v>
      </c>
      <c r="R361" s="467">
        <f t="shared" si="67"/>
        <v>0</v>
      </c>
      <c r="S361" s="765">
        <f t="shared" si="58"/>
        <v>0</v>
      </c>
    </row>
    <row r="362" spans="1:19">
      <c r="A362" s="926"/>
      <c r="B362" s="132"/>
      <c r="C362" s="51">
        <f t="shared" si="59"/>
        <v>1</v>
      </c>
      <c r="D362" s="924"/>
      <c r="E362" s="51">
        <f t="shared" si="60"/>
        <v>1</v>
      </c>
      <c r="F362" s="924"/>
      <c r="G362" s="51">
        <f t="shared" si="61"/>
        <v>1</v>
      </c>
      <c r="H362" s="924"/>
      <c r="I362" s="51">
        <f t="shared" si="62"/>
        <v>1</v>
      </c>
      <c r="J362" s="924"/>
      <c r="K362" s="51">
        <f t="shared" si="63"/>
        <v>1</v>
      </c>
      <c r="L362" s="924"/>
      <c r="M362" s="51">
        <f t="shared" si="64"/>
        <v>1</v>
      </c>
      <c r="N362" s="924"/>
      <c r="O362" s="51">
        <f t="shared" si="65"/>
        <v>1</v>
      </c>
      <c r="P362" s="924"/>
      <c r="Q362" s="51">
        <f t="shared" si="66"/>
        <v>1</v>
      </c>
      <c r="R362" s="467">
        <f t="shared" si="67"/>
        <v>0</v>
      </c>
      <c r="S362" s="765">
        <f t="shared" si="58"/>
        <v>0</v>
      </c>
    </row>
    <row r="363" spans="1:19">
      <c r="A363" s="926"/>
      <c r="B363" s="132"/>
      <c r="C363" s="51">
        <f t="shared" si="59"/>
        <v>1</v>
      </c>
      <c r="D363" s="924"/>
      <c r="E363" s="51">
        <f t="shared" si="60"/>
        <v>1</v>
      </c>
      <c r="F363" s="924"/>
      <c r="G363" s="51">
        <f t="shared" si="61"/>
        <v>1</v>
      </c>
      <c r="H363" s="924"/>
      <c r="I363" s="51">
        <f t="shared" si="62"/>
        <v>1</v>
      </c>
      <c r="J363" s="924"/>
      <c r="K363" s="51">
        <f t="shared" si="63"/>
        <v>1</v>
      </c>
      <c r="L363" s="924"/>
      <c r="M363" s="51">
        <f t="shared" si="64"/>
        <v>1</v>
      </c>
      <c r="N363" s="924"/>
      <c r="O363" s="51">
        <f t="shared" si="65"/>
        <v>1</v>
      </c>
      <c r="P363" s="924"/>
      <c r="Q363" s="51">
        <f t="shared" si="66"/>
        <v>1</v>
      </c>
      <c r="R363" s="467">
        <f t="shared" si="67"/>
        <v>0</v>
      </c>
      <c r="S363" s="765">
        <f t="shared" si="58"/>
        <v>0</v>
      </c>
    </row>
    <row r="364" spans="1:19">
      <c r="A364" s="926"/>
      <c r="B364" s="132"/>
      <c r="C364" s="51">
        <f t="shared" si="59"/>
        <v>1</v>
      </c>
      <c r="D364" s="924"/>
      <c r="E364" s="51">
        <f t="shared" si="60"/>
        <v>1</v>
      </c>
      <c r="F364" s="924"/>
      <c r="G364" s="51">
        <f t="shared" si="61"/>
        <v>1</v>
      </c>
      <c r="H364" s="924"/>
      <c r="I364" s="51">
        <f t="shared" si="62"/>
        <v>1</v>
      </c>
      <c r="J364" s="924"/>
      <c r="K364" s="51">
        <f t="shared" si="63"/>
        <v>1</v>
      </c>
      <c r="L364" s="924"/>
      <c r="M364" s="51">
        <f t="shared" si="64"/>
        <v>1</v>
      </c>
      <c r="N364" s="924"/>
      <c r="O364" s="51">
        <f t="shared" si="65"/>
        <v>1</v>
      </c>
      <c r="P364" s="924"/>
      <c r="Q364" s="51">
        <f t="shared" si="66"/>
        <v>1</v>
      </c>
      <c r="R364" s="467">
        <f t="shared" si="67"/>
        <v>0</v>
      </c>
      <c r="S364" s="765">
        <f t="shared" si="58"/>
        <v>0</v>
      </c>
    </row>
    <row r="365" spans="1:19">
      <c r="A365" s="926"/>
      <c r="B365" s="132"/>
      <c r="C365" s="51">
        <f t="shared" si="59"/>
        <v>1</v>
      </c>
      <c r="D365" s="924"/>
      <c r="E365" s="51">
        <f t="shared" si="60"/>
        <v>1</v>
      </c>
      <c r="F365" s="924"/>
      <c r="G365" s="51">
        <f t="shared" si="61"/>
        <v>1</v>
      </c>
      <c r="H365" s="924"/>
      <c r="I365" s="51">
        <f t="shared" si="62"/>
        <v>1</v>
      </c>
      <c r="J365" s="924"/>
      <c r="K365" s="51">
        <f t="shared" si="63"/>
        <v>1</v>
      </c>
      <c r="L365" s="924"/>
      <c r="M365" s="51">
        <f t="shared" si="64"/>
        <v>1</v>
      </c>
      <c r="N365" s="924"/>
      <c r="O365" s="51">
        <f t="shared" si="65"/>
        <v>1</v>
      </c>
      <c r="P365" s="924"/>
      <c r="Q365" s="51">
        <f t="shared" si="66"/>
        <v>1</v>
      </c>
      <c r="R365" s="467">
        <f t="shared" si="67"/>
        <v>0</v>
      </c>
      <c r="S365" s="765">
        <f t="shared" si="58"/>
        <v>0</v>
      </c>
    </row>
    <row r="366" spans="1:19">
      <c r="A366" s="926"/>
      <c r="B366" s="132"/>
      <c r="C366" s="51">
        <f t="shared" si="59"/>
        <v>1</v>
      </c>
      <c r="D366" s="924"/>
      <c r="E366" s="51">
        <f t="shared" si="60"/>
        <v>1</v>
      </c>
      <c r="F366" s="924"/>
      <c r="G366" s="51">
        <f t="shared" si="61"/>
        <v>1</v>
      </c>
      <c r="H366" s="924"/>
      <c r="I366" s="51">
        <f t="shared" si="62"/>
        <v>1</v>
      </c>
      <c r="J366" s="924"/>
      <c r="K366" s="51">
        <f t="shared" si="63"/>
        <v>1</v>
      </c>
      <c r="L366" s="924"/>
      <c r="M366" s="51">
        <f t="shared" si="64"/>
        <v>1</v>
      </c>
      <c r="N366" s="924"/>
      <c r="O366" s="51">
        <f t="shared" si="65"/>
        <v>1</v>
      </c>
      <c r="P366" s="924"/>
      <c r="Q366" s="51">
        <f t="shared" si="66"/>
        <v>1</v>
      </c>
      <c r="R366" s="467">
        <f t="shared" si="67"/>
        <v>0</v>
      </c>
      <c r="S366" s="765">
        <f t="shared" si="58"/>
        <v>0</v>
      </c>
    </row>
    <row r="367" spans="1:19">
      <c r="A367" s="926"/>
      <c r="B367" s="132"/>
      <c r="C367" s="51">
        <f t="shared" si="59"/>
        <v>1</v>
      </c>
      <c r="D367" s="924"/>
      <c r="E367" s="51">
        <f t="shared" si="60"/>
        <v>1</v>
      </c>
      <c r="F367" s="924"/>
      <c r="G367" s="51">
        <f t="shared" si="61"/>
        <v>1</v>
      </c>
      <c r="H367" s="924"/>
      <c r="I367" s="51">
        <f t="shared" si="62"/>
        <v>1</v>
      </c>
      <c r="J367" s="924"/>
      <c r="K367" s="51">
        <f t="shared" si="63"/>
        <v>1</v>
      </c>
      <c r="L367" s="924"/>
      <c r="M367" s="51">
        <f t="shared" si="64"/>
        <v>1</v>
      </c>
      <c r="N367" s="924"/>
      <c r="O367" s="51">
        <f t="shared" si="65"/>
        <v>1</v>
      </c>
      <c r="P367" s="924"/>
      <c r="Q367" s="51">
        <f t="shared" si="66"/>
        <v>1</v>
      </c>
      <c r="R367" s="467">
        <f t="shared" si="67"/>
        <v>0</v>
      </c>
      <c r="S367" s="765">
        <f t="shared" si="58"/>
        <v>0</v>
      </c>
    </row>
    <row r="368" spans="1:19">
      <c r="A368" s="926"/>
      <c r="B368" s="132"/>
      <c r="C368" s="51">
        <f t="shared" si="59"/>
        <v>1</v>
      </c>
      <c r="D368" s="924"/>
      <c r="E368" s="51">
        <f t="shared" si="60"/>
        <v>1</v>
      </c>
      <c r="F368" s="924"/>
      <c r="G368" s="51">
        <f t="shared" si="61"/>
        <v>1</v>
      </c>
      <c r="H368" s="924"/>
      <c r="I368" s="51">
        <f t="shared" si="62"/>
        <v>1</v>
      </c>
      <c r="J368" s="924"/>
      <c r="K368" s="51">
        <f t="shared" si="63"/>
        <v>1</v>
      </c>
      <c r="L368" s="924"/>
      <c r="M368" s="51">
        <f t="shared" si="64"/>
        <v>1</v>
      </c>
      <c r="N368" s="924"/>
      <c r="O368" s="51">
        <f t="shared" si="65"/>
        <v>1</v>
      </c>
      <c r="P368" s="924"/>
      <c r="Q368" s="51">
        <f t="shared" si="66"/>
        <v>1</v>
      </c>
      <c r="R368" s="467">
        <f t="shared" si="67"/>
        <v>0</v>
      </c>
      <c r="S368" s="765">
        <f t="shared" si="58"/>
        <v>0</v>
      </c>
    </row>
    <row r="369" spans="1:19">
      <c r="A369" s="926"/>
      <c r="B369" s="132"/>
      <c r="C369" s="51">
        <f t="shared" si="59"/>
        <v>1</v>
      </c>
      <c r="D369" s="924"/>
      <c r="E369" s="51">
        <f t="shared" si="60"/>
        <v>1</v>
      </c>
      <c r="F369" s="924"/>
      <c r="G369" s="51">
        <f t="shared" si="61"/>
        <v>1</v>
      </c>
      <c r="H369" s="924"/>
      <c r="I369" s="51">
        <f t="shared" si="62"/>
        <v>1</v>
      </c>
      <c r="J369" s="924"/>
      <c r="K369" s="51">
        <f t="shared" si="63"/>
        <v>1</v>
      </c>
      <c r="L369" s="924"/>
      <c r="M369" s="51">
        <f t="shared" si="64"/>
        <v>1</v>
      </c>
      <c r="N369" s="924"/>
      <c r="O369" s="51">
        <f t="shared" si="65"/>
        <v>1</v>
      </c>
      <c r="P369" s="924"/>
      <c r="Q369" s="51">
        <f t="shared" si="66"/>
        <v>1</v>
      </c>
      <c r="R369" s="467">
        <f t="shared" si="67"/>
        <v>0</v>
      </c>
      <c r="S369" s="765">
        <f t="shared" si="58"/>
        <v>0</v>
      </c>
    </row>
    <row r="370" spans="1:19">
      <c r="A370" s="926"/>
      <c r="B370" s="132"/>
      <c r="C370" s="51">
        <f t="shared" si="59"/>
        <v>1</v>
      </c>
      <c r="D370" s="924"/>
      <c r="E370" s="51">
        <f t="shared" si="60"/>
        <v>1</v>
      </c>
      <c r="F370" s="924"/>
      <c r="G370" s="51">
        <f t="shared" si="61"/>
        <v>1</v>
      </c>
      <c r="H370" s="924"/>
      <c r="I370" s="51">
        <f t="shared" si="62"/>
        <v>1</v>
      </c>
      <c r="J370" s="924"/>
      <c r="K370" s="51">
        <f t="shared" si="63"/>
        <v>1</v>
      </c>
      <c r="L370" s="924"/>
      <c r="M370" s="51">
        <f t="shared" si="64"/>
        <v>1</v>
      </c>
      <c r="N370" s="924"/>
      <c r="O370" s="51">
        <f t="shared" si="65"/>
        <v>1</v>
      </c>
      <c r="P370" s="924"/>
      <c r="Q370" s="51">
        <f t="shared" si="66"/>
        <v>1</v>
      </c>
      <c r="R370" s="467">
        <f t="shared" si="67"/>
        <v>0</v>
      </c>
      <c r="S370" s="765">
        <f t="shared" si="58"/>
        <v>0</v>
      </c>
    </row>
    <row r="371" spans="1:19">
      <c r="A371" s="926"/>
      <c r="B371" s="132"/>
      <c r="C371" s="51">
        <f t="shared" si="59"/>
        <v>1</v>
      </c>
      <c r="D371" s="924"/>
      <c r="E371" s="51">
        <f t="shared" si="60"/>
        <v>1</v>
      </c>
      <c r="F371" s="924"/>
      <c r="G371" s="51">
        <f t="shared" si="61"/>
        <v>1</v>
      </c>
      <c r="H371" s="924"/>
      <c r="I371" s="51">
        <f t="shared" si="62"/>
        <v>1</v>
      </c>
      <c r="J371" s="924"/>
      <c r="K371" s="51">
        <f t="shared" si="63"/>
        <v>1</v>
      </c>
      <c r="L371" s="924"/>
      <c r="M371" s="51">
        <f t="shared" si="64"/>
        <v>1</v>
      </c>
      <c r="N371" s="924"/>
      <c r="O371" s="51">
        <f t="shared" si="65"/>
        <v>1</v>
      </c>
      <c r="P371" s="924"/>
      <c r="Q371" s="51">
        <f t="shared" si="66"/>
        <v>1</v>
      </c>
      <c r="R371" s="467">
        <f t="shared" si="67"/>
        <v>0</v>
      </c>
      <c r="S371" s="765">
        <f t="shared" si="58"/>
        <v>0</v>
      </c>
    </row>
    <row r="372" spans="1:19">
      <c r="A372" s="926"/>
      <c r="B372" s="132"/>
      <c r="C372" s="51">
        <f t="shared" si="59"/>
        <v>1</v>
      </c>
      <c r="D372" s="924"/>
      <c r="E372" s="51">
        <f t="shared" si="60"/>
        <v>1</v>
      </c>
      <c r="F372" s="924"/>
      <c r="G372" s="51">
        <f t="shared" si="61"/>
        <v>1</v>
      </c>
      <c r="H372" s="924"/>
      <c r="I372" s="51">
        <f t="shared" si="62"/>
        <v>1</v>
      </c>
      <c r="J372" s="924"/>
      <c r="K372" s="51">
        <f t="shared" si="63"/>
        <v>1</v>
      </c>
      <c r="L372" s="924"/>
      <c r="M372" s="51">
        <f t="shared" si="64"/>
        <v>1</v>
      </c>
      <c r="N372" s="924"/>
      <c r="O372" s="51">
        <f t="shared" si="65"/>
        <v>1</v>
      </c>
      <c r="P372" s="924"/>
      <c r="Q372" s="51">
        <f t="shared" si="66"/>
        <v>1</v>
      </c>
      <c r="R372" s="467">
        <f t="shared" si="67"/>
        <v>0</v>
      </c>
      <c r="S372" s="765">
        <f t="shared" si="58"/>
        <v>0</v>
      </c>
    </row>
    <row r="373" spans="1:19">
      <c r="A373" s="926"/>
      <c r="B373" s="132"/>
      <c r="C373" s="51">
        <f t="shared" si="59"/>
        <v>1</v>
      </c>
      <c r="D373" s="924"/>
      <c r="E373" s="51">
        <f t="shared" si="60"/>
        <v>1</v>
      </c>
      <c r="F373" s="924"/>
      <c r="G373" s="51">
        <f t="shared" si="61"/>
        <v>1</v>
      </c>
      <c r="H373" s="924"/>
      <c r="I373" s="51">
        <f t="shared" si="62"/>
        <v>1</v>
      </c>
      <c r="J373" s="924"/>
      <c r="K373" s="51">
        <f t="shared" si="63"/>
        <v>1</v>
      </c>
      <c r="L373" s="924"/>
      <c r="M373" s="51">
        <f t="shared" si="64"/>
        <v>1</v>
      </c>
      <c r="N373" s="924"/>
      <c r="O373" s="51">
        <f t="shared" si="65"/>
        <v>1</v>
      </c>
      <c r="P373" s="924"/>
      <c r="Q373" s="51">
        <f t="shared" si="66"/>
        <v>1</v>
      </c>
      <c r="R373" s="467">
        <f t="shared" si="67"/>
        <v>0</v>
      </c>
      <c r="S373" s="765">
        <f t="shared" si="58"/>
        <v>0</v>
      </c>
    </row>
    <row r="374" spans="1:19">
      <c r="A374" s="926"/>
      <c r="B374" s="132"/>
      <c r="C374" s="51">
        <f t="shared" si="59"/>
        <v>1</v>
      </c>
      <c r="D374" s="924"/>
      <c r="E374" s="51">
        <f t="shared" si="60"/>
        <v>1</v>
      </c>
      <c r="F374" s="924"/>
      <c r="G374" s="51">
        <f t="shared" si="61"/>
        <v>1</v>
      </c>
      <c r="H374" s="924"/>
      <c r="I374" s="51">
        <f t="shared" si="62"/>
        <v>1</v>
      </c>
      <c r="J374" s="924"/>
      <c r="K374" s="51">
        <f t="shared" si="63"/>
        <v>1</v>
      </c>
      <c r="L374" s="924"/>
      <c r="M374" s="51">
        <f t="shared" si="64"/>
        <v>1</v>
      </c>
      <c r="N374" s="924"/>
      <c r="O374" s="51">
        <f t="shared" si="65"/>
        <v>1</v>
      </c>
      <c r="P374" s="924"/>
      <c r="Q374" s="51">
        <f t="shared" si="66"/>
        <v>1</v>
      </c>
      <c r="R374" s="467">
        <f t="shared" si="67"/>
        <v>0</v>
      </c>
      <c r="S374" s="765">
        <f t="shared" si="58"/>
        <v>0</v>
      </c>
    </row>
    <row r="375" spans="1:19">
      <c r="A375" s="926"/>
      <c r="B375" s="132"/>
      <c r="C375" s="51">
        <f t="shared" si="59"/>
        <v>1</v>
      </c>
      <c r="D375" s="924"/>
      <c r="E375" s="51">
        <f t="shared" si="60"/>
        <v>1</v>
      </c>
      <c r="F375" s="924"/>
      <c r="G375" s="51">
        <f t="shared" si="61"/>
        <v>1</v>
      </c>
      <c r="H375" s="924"/>
      <c r="I375" s="51">
        <f t="shared" si="62"/>
        <v>1</v>
      </c>
      <c r="J375" s="924"/>
      <c r="K375" s="51">
        <f t="shared" si="63"/>
        <v>1</v>
      </c>
      <c r="L375" s="924"/>
      <c r="M375" s="51">
        <f t="shared" si="64"/>
        <v>1</v>
      </c>
      <c r="N375" s="924"/>
      <c r="O375" s="51">
        <f t="shared" si="65"/>
        <v>1</v>
      </c>
      <c r="P375" s="924"/>
      <c r="Q375" s="51">
        <f t="shared" si="66"/>
        <v>1</v>
      </c>
      <c r="R375" s="467">
        <f t="shared" si="67"/>
        <v>0</v>
      </c>
      <c r="S375" s="765">
        <f t="shared" si="58"/>
        <v>0</v>
      </c>
    </row>
    <row r="376" spans="1:19">
      <c r="A376" s="926"/>
      <c r="B376" s="132"/>
      <c r="C376" s="51">
        <f t="shared" si="59"/>
        <v>1</v>
      </c>
      <c r="D376" s="924"/>
      <c r="E376" s="51">
        <f t="shared" si="60"/>
        <v>1</v>
      </c>
      <c r="F376" s="924"/>
      <c r="G376" s="51">
        <f t="shared" si="61"/>
        <v>1</v>
      </c>
      <c r="H376" s="924"/>
      <c r="I376" s="51">
        <f t="shared" si="62"/>
        <v>1</v>
      </c>
      <c r="J376" s="924"/>
      <c r="K376" s="51">
        <f t="shared" si="63"/>
        <v>1</v>
      </c>
      <c r="L376" s="924"/>
      <c r="M376" s="51">
        <f t="shared" si="64"/>
        <v>1</v>
      </c>
      <c r="N376" s="924"/>
      <c r="O376" s="51">
        <f t="shared" si="65"/>
        <v>1</v>
      </c>
      <c r="P376" s="924"/>
      <c r="Q376" s="51">
        <f t="shared" si="66"/>
        <v>1</v>
      </c>
      <c r="R376" s="467">
        <f t="shared" si="67"/>
        <v>0</v>
      </c>
      <c r="S376" s="765">
        <f t="shared" si="58"/>
        <v>0</v>
      </c>
    </row>
    <row r="377" spans="1:19">
      <c r="A377" s="926"/>
      <c r="B377" s="132"/>
      <c r="C377" s="51">
        <f t="shared" si="59"/>
        <v>1</v>
      </c>
      <c r="D377" s="924"/>
      <c r="E377" s="51">
        <f t="shared" si="60"/>
        <v>1</v>
      </c>
      <c r="F377" s="924"/>
      <c r="G377" s="51">
        <f t="shared" si="61"/>
        <v>1</v>
      </c>
      <c r="H377" s="924"/>
      <c r="I377" s="51">
        <f t="shared" si="62"/>
        <v>1</v>
      </c>
      <c r="J377" s="924"/>
      <c r="K377" s="51">
        <f t="shared" si="63"/>
        <v>1</v>
      </c>
      <c r="L377" s="924"/>
      <c r="M377" s="51">
        <f t="shared" si="64"/>
        <v>1</v>
      </c>
      <c r="N377" s="924"/>
      <c r="O377" s="51">
        <f t="shared" si="65"/>
        <v>1</v>
      </c>
      <c r="P377" s="924"/>
      <c r="Q377" s="51">
        <f t="shared" si="66"/>
        <v>1</v>
      </c>
      <c r="R377" s="467">
        <f t="shared" si="67"/>
        <v>0</v>
      </c>
      <c r="S377" s="765">
        <f t="shared" si="58"/>
        <v>0</v>
      </c>
    </row>
    <row r="378" spans="1:19">
      <c r="A378" s="926"/>
      <c r="B378" s="132"/>
      <c r="C378" s="51">
        <f t="shared" si="59"/>
        <v>1</v>
      </c>
      <c r="D378" s="924"/>
      <c r="E378" s="51">
        <f t="shared" si="60"/>
        <v>1</v>
      </c>
      <c r="F378" s="924"/>
      <c r="G378" s="51">
        <f t="shared" si="61"/>
        <v>1</v>
      </c>
      <c r="H378" s="924"/>
      <c r="I378" s="51">
        <f t="shared" si="62"/>
        <v>1</v>
      </c>
      <c r="J378" s="924"/>
      <c r="K378" s="51">
        <f t="shared" si="63"/>
        <v>1</v>
      </c>
      <c r="L378" s="924"/>
      <c r="M378" s="51">
        <f t="shared" si="64"/>
        <v>1</v>
      </c>
      <c r="N378" s="924"/>
      <c r="O378" s="51">
        <f t="shared" si="65"/>
        <v>1</v>
      </c>
      <c r="P378" s="924"/>
      <c r="Q378" s="51">
        <f t="shared" si="66"/>
        <v>1</v>
      </c>
      <c r="R378" s="467">
        <f t="shared" si="67"/>
        <v>0</v>
      </c>
      <c r="S378" s="765">
        <f t="shared" si="58"/>
        <v>0</v>
      </c>
    </row>
    <row r="379" spans="1:19">
      <c r="A379" s="926"/>
      <c r="B379" s="132"/>
      <c r="C379" s="51">
        <f t="shared" si="59"/>
        <v>1</v>
      </c>
      <c r="D379" s="924"/>
      <c r="E379" s="51">
        <f t="shared" si="60"/>
        <v>1</v>
      </c>
      <c r="F379" s="924"/>
      <c r="G379" s="51">
        <f t="shared" si="61"/>
        <v>1</v>
      </c>
      <c r="H379" s="924"/>
      <c r="I379" s="51">
        <f t="shared" si="62"/>
        <v>1</v>
      </c>
      <c r="J379" s="924"/>
      <c r="K379" s="51">
        <f t="shared" si="63"/>
        <v>1</v>
      </c>
      <c r="L379" s="924"/>
      <c r="M379" s="51">
        <f t="shared" si="64"/>
        <v>1</v>
      </c>
      <c r="N379" s="924"/>
      <c r="O379" s="51">
        <f t="shared" si="65"/>
        <v>1</v>
      </c>
      <c r="P379" s="924"/>
      <c r="Q379" s="51">
        <f t="shared" si="66"/>
        <v>1</v>
      </c>
      <c r="R379" s="467">
        <f t="shared" si="67"/>
        <v>0</v>
      </c>
      <c r="S379" s="765">
        <f t="shared" si="58"/>
        <v>0</v>
      </c>
    </row>
    <row r="380" spans="1:19">
      <c r="A380" s="926"/>
      <c r="B380" s="132"/>
      <c r="C380" s="51">
        <f t="shared" si="59"/>
        <v>1</v>
      </c>
      <c r="D380" s="924"/>
      <c r="E380" s="51">
        <f t="shared" si="60"/>
        <v>1</v>
      </c>
      <c r="F380" s="924"/>
      <c r="G380" s="51">
        <f t="shared" si="61"/>
        <v>1</v>
      </c>
      <c r="H380" s="924"/>
      <c r="I380" s="51">
        <f t="shared" si="62"/>
        <v>1</v>
      </c>
      <c r="J380" s="924"/>
      <c r="K380" s="51">
        <f t="shared" si="63"/>
        <v>1</v>
      </c>
      <c r="L380" s="924"/>
      <c r="M380" s="51">
        <f t="shared" si="64"/>
        <v>1</v>
      </c>
      <c r="N380" s="924"/>
      <c r="O380" s="51">
        <f t="shared" si="65"/>
        <v>1</v>
      </c>
      <c r="P380" s="924"/>
      <c r="Q380" s="51">
        <f t="shared" si="66"/>
        <v>1</v>
      </c>
      <c r="R380" s="467">
        <f t="shared" si="67"/>
        <v>0</v>
      </c>
      <c r="S380" s="765">
        <f t="shared" si="58"/>
        <v>0</v>
      </c>
    </row>
    <row r="381" spans="1:19">
      <c r="A381" s="926"/>
      <c r="B381" s="132"/>
      <c r="C381" s="51">
        <f t="shared" si="59"/>
        <v>1</v>
      </c>
      <c r="D381" s="924"/>
      <c r="E381" s="51">
        <f t="shared" si="60"/>
        <v>1</v>
      </c>
      <c r="F381" s="924"/>
      <c r="G381" s="51">
        <f t="shared" si="61"/>
        <v>1</v>
      </c>
      <c r="H381" s="924"/>
      <c r="I381" s="51">
        <f t="shared" si="62"/>
        <v>1</v>
      </c>
      <c r="J381" s="924"/>
      <c r="K381" s="51">
        <f t="shared" si="63"/>
        <v>1</v>
      </c>
      <c r="L381" s="924"/>
      <c r="M381" s="51">
        <f t="shared" si="64"/>
        <v>1</v>
      </c>
      <c r="N381" s="924"/>
      <c r="O381" s="51">
        <f t="shared" si="65"/>
        <v>1</v>
      </c>
      <c r="P381" s="924"/>
      <c r="Q381" s="51">
        <f t="shared" si="66"/>
        <v>1</v>
      </c>
      <c r="R381" s="467">
        <f t="shared" si="67"/>
        <v>0</v>
      </c>
      <c r="S381" s="765">
        <f t="shared" si="58"/>
        <v>0</v>
      </c>
    </row>
    <row r="382" spans="1:19">
      <c r="A382" s="926"/>
      <c r="B382" s="132"/>
      <c r="C382" s="51">
        <f t="shared" si="59"/>
        <v>1</v>
      </c>
      <c r="D382" s="924"/>
      <c r="E382" s="51">
        <f t="shared" si="60"/>
        <v>1</v>
      </c>
      <c r="F382" s="924"/>
      <c r="G382" s="51">
        <f t="shared" si="61"/>
        <v>1</v>
      </c>
      <c r="H382" s="924"/>
      <c r="I382" s="51">
        <f t="shared" si="62"/>
        <v>1</v>
      </c>
      <c r="J382" s="924"/>
      <c r="K382" s="51">
        <f t="shared" si="63"/>
        <v>1</v>
      </c>
      <c r="L382" s="924"/>
      <c r="M382" s="51">
        <f t="shared" si="64"/>
        <v>1</v>
      </c>
      <c r="N382" s="924"/>
      <c r="O382" s="51">
        <f t="shared" si="65"/>
        <v>1</v>
      </c>
      <c r="P382" s="924"/>
      <c r="Q382" s="51">
        <f t="shared" si="66"/>
        <v>1</v>
      </c>
      <c r="R382" s="467">
        <f t="shared" si="67"/>
        <v>0</v>
      </c>
      <c r="S382" s="765">
        <f t="shared" si="58"/>
        <v>0</v>
      </c>
    </row>
    <row r="383" spans="1:19">
      <c r="A383" s="926"/>
      <c r="B383" s="132"/>
      <c r="C383" s="51">
        <f t="shared" si="59"/>
        <v>1</v>
      </c>
      <c r="D383" s="924"/>
      <c r="E383" s="51">
        <f t="shared" si="60"/>
        <v>1</v>
      </c>
      <c r="F383" s="924"/>
      <c r="G383" s="51">
        <f t="shared" si="61"/>
        <v>1</v>
      </c>
      <c r="H383" s="924"/>
      <c r="I383" s="51">
        <f t="shared" si="62"/>
        <v>1</v>
      </c>
      <c r="J383" s="924"/>
      <c r="K383" s="51">
        <f t="shared" si="63"/>
        <v>1</v>
      </c>
      <c r="L383" s="924"/>
      <c r="M383" s="51">
        <f t="shared" si="64"/>
        <v>1</v>
      </c>
      <c r="N383" s="924"/>
      <c r="O383" s="51">
        <f t="shared" si="65"/>
        <v>1</v>
      </c>
      <c r="P383" s="924"/>
      <c r="Q383" s="51">
        <f t="shared" si="66"/>
        <v>1</v>
      </c>
      <c r="R383" s="467">
        <f t="shared" si="67"/>
        <v>0</v>
      </c>
      <c r="S383" s="765">
        <f t="shared" si="58"/>
        <v>0</v>
      </c>
    </row>
    <row r="384" spans="1:19">
      <c r="A384" s="926"/>
      <c r="B384" s="132"/>
      <c r="C384" s="51">
        <f t="shared" si="59"/>
        <v>1</v>
      </c>
      <c r="D384" s="924"/>
      <c r="E384" s="51">
        <f t="shared" si="60"/>
        <v>1</v>
      </c>
      <c r="F384" s="924"/>
      <c r="G384" s="51">
        <f t="shared" si="61"/>
        <v>1</v>
      </c>
      <c r="H384" s="924"/>
      <c r="I384" s="51">
        <f t="shared" si="62"/>
        <v>1</v>
      </c>
      <c r="J384" s="924"/>
      <c r="K384" s="51">
        <f t="shared" si="63"/>
        <v>1</v>
      </c>
      <c r="L384" s="924"/>
      <c r="M384" s="51">
        <f t="shared" si="64"/>
        <v>1</v>
      </c>
      <c r="N384" s="924"/>
      <c r="O384" s="51">
        <f t="shared" si="65"/>
        <v>1</v>
      </c>
      <c r="P384" s="924"/>
      <c r="Q384" s="51">
        <f t="shared" si="66"/>
        <v>1</v>
      </c>
      <c r="R384" s="467">
        <f t="shared" si="67"/>
        <v>0</v>
      </c>
      <c r="S384" s="765">
        <f t="shared" si="58"/>
        <v>0</v>
      </c>
    </row>
    <row r="385" spans="1:19">
      <c r="A385" s="926"/>
      <c r="B385" s="132"/>
      <c r="C385" s="51">
        <f t="shared" si="59"/>
        <v>1</v>
      </c>
      <c r="D385" s="924"/>
      <c r="E385" s="51">
        <f t="shared" si="60"/>
        <v>1</v>
      </c>
      <c r="F385" s="924"/>
      <c r="G385" s="51">
        <f t="shared" si="61"/>
        <v>1</v>
      </c>
      <c r="H385" s="924"/>
      <c r="I385" s="51">
        <f t="shared" si="62"/>
        <v>1</v>
      </c>
      <c r="J385" s="924"/>
      <c r="K385" s="51">
        <f t="shared" si="63"/>
        <v>1</v>
      </c>
      <c r="L385" s="924"/>
      <c r="M385" s="51">
        <f t="shared" si="64"/>
        <v>1</v>
      </c>
      <c r="N385" s="924"/>
      <c r="O385" s="51">
        <f t="shared" si="65"/>
        <v>1</v>
      </c>
      <c r="P385" s="924"/>
      <c r="Q385" s="51">
        <f t="shared" si="66"/>
        <v>1</v>
      </c>
      <c r="R385" s="467">
        <f t="shared" si="67"/>
        <v>0</v>
      </c>
      <c r="S385" s="765">
        <f t="shared" ref="S385:S422" si="68">ROUND(R385*B385/10000,0)</f>
        <v>0</v>
      </c>
    </row>
    <row r="386" spans="1:19">
      <c r="A386" s="926"/>
      <c r="B386" s="132"/>
      <c r="C386" s="51">
        <f t="shared" si="59"/>
        <v>1</v>
      </c>
      <c r="D386" s="924"/>
      <c r="E386" s="51">
        <f t="shared" si="60"/>
        <v>1</v>
      </c>
      <c r="F386" s="924"/>
      <c r="G386" s="51">
        <f t="shared" si="61"/>
        <v>1</v>
      </c>
      <c r="H386" s="924"/>
      <c r="I386" s="51">
        <f t="shared" si="62"/>
        <v>1</v>
      </c>
      <c r="J386" s="924"/>
      <c r="K386" s="51">
        <f t="shared" si="63"/>
        <v>1</v>
      </c>
      <c r="L386" s="924"/>
      <c r="M386" s="51">
        <f t="shared" si="64"/>
        <v>1</v>
      </c>
      <c r="N386" s="924"/>
      <c r="O386" s="51">
        <f t="shared" si="65"/>
        <v>1</v>
      </c>
      <c r="P386" s="924"/>
      <c r="Q386" s="51">
        <f t="shared" si="66"/>
        <v>1</v>
      </c>
      <c r="R386" s="467">
        <f t="shared" si="67"/>
        <v>0</v>
      </c>
      <c r="S386" s="765">
        <f t="shared" si="68"/>
        <v>0</v>
      </c>
    </row>
    <row r="387" spans="1:19">
      <c r="A387" s="926"/>
      <c r="B387" s="132"/>
      <c r="C387" s="51">
        <f t="shared" si="59"/>
        <v>1</v>
      </c>
      <c r="D387" s="924"/>
      <c r="E387" s="51">
        <f t="shared" si="60"/>
        <v>1</v>
      </c>
      <c r="F387" s="924"/>
      <c r="G387" s="51">
        <f t="shared" si="61"/>
        <v>1</v>
      </c>
      <c r="H387" s="924"/>
      <c r="I387" s="51">
        <f t="shared" si="62"/>
        <v>1</v>
      </c>
      <c r="J387" s="924"/>
      <c r="K387" s="51">
        <f t="shared" si="63"/>
        <v>1</v>
      </c>
      <c r="L387" s="924"/>
      <c r="M387" s="51">
        <f t="shared" si="64"/>
        <v>1</v>
      </c>
      <c r="N387" s="924"/>
      <c r="O387" s="51">
        <f t="shared" si="65"/>
        <v>1</v>
      </c>
      <c r="P387" s="924"/>
      <c r="Q387" s="51">
        <f t="shared" si="66"/>
        <v>1</v>
      </c>
      <c r="R387" s="467">
        <f t="shared" si="67"/>
        <v>0</v>
      </c>
      <c r="S387" s="765">
        <f t="shared" si="68"/>
        <v>0</v>
      </c>
    </row>
    <row r="388" spans="1:19">
      <c r="A388" s="926"/>
      <c r="B388" s="132"/>
      <c r="C388" s="51">
        <f t="shared" si="59"/>
        <v>1</v>
      </c>
      <c r="D388" s="924"/>
      <c r="E388" s="51">
        <f t="shared" si="60"/>
        <v>1</v>
      </c>
      <c r="F388" s="924"/>
      <c r="G388" s="51">
        <f t="shared" si="61"/>
        <v>1</v>
      </c>
      <c r="H388" s="924"/>
      <c r="I388" s="51">
        <f t="shared" si="62"/>
        <v>1</v>
      </c>
      <c r="J388" s="924"/>
      <c r="K388" s="51">
        <f t="shared" si="63"/>
        <v>1</v>
      </c>
      <c r="L388" s="924"/>
      <c r="M388" s="51">
        <f t="shared" si="64"/>
        <v>1</v>
      </c>
      <c r="N388" s="924"/>
      <c r="O388" s="51">
        <f t="shared" si="65"/>
        <v>1</v>
      </c>
      <c r="P388" s="924"/>
      <c r="Q388" s="51">
        <f t="shared" si="66"/>
        <v>1</v>
      </c>
      <c r="R388" s="467">
        <f t="shared" si="67"/>
        <v>0</v>
      </c>
      <c r="S388" s="765">
        <f t="shared" si="68"/>
        <v>0</v>
      </c>
    </row>
    <row r="389" spans="1:19">
      <c r="A389" s="926"/>
      <c r="B389" s="132"/>
      <c r="C389" s="51">
        <f t="shared" si="59"/>
        <v>1</v>
      </c>
      <c r="D389" s="924"/>
      <c r="E389" s="51">
        <f t="shared" si="60"/>
        <v>1</v>
      </c>
      <c r="F389" s="924"/>
      <c r="G389" s="51">
        <f t="shared" si="61"/>
        <v>1</v>
      </c>
      <c r="H389" s="924"/>
      <c r="I389" s="51">
        <f t="shared" si="62"/>
        <v>1</v>
      </c>
      <c r="J389" s="924"/>
      <c r="K389" s="51">
        <f t="shared" si="63"/>
        <v>1</v>
      </c>
      <c r="L389" s="924"/>
      <c r="M389" s="51">
        <f t="shared" si="64"/>
        <v>1</v>
      </c>
      <c r="N389" s="924"/>
      <c r="O389" s="51">
        <f t="shared" si="65"/>
        <v>1</v>
      </c>
      <c r="P389" s="924"/>
      <c r="Q389" s="51">
        <f t="shared" si="66"/>
        <v>1</v>
      </c>
      <c r="R389" s="467">
        <f t="shared" si="67"/>
        <v>0</v>
      </c>
      <c r="S389" s="765">
        <f t="shared" si="68"/>
        <v>0</v>
      </c>
    </row>
    <row r="390" spans="1:19">
      <c r="A390" s="926"/>
      <c r="B390" s="132"/>
      <c r="C390" s="51">
        <f t="shared" si="59"/>
        <v>1</v>
      </c>
      <c r="D390" s="924"/>
      <c r="E390" s="51">
        <f t="shared" si="60"/>
        <v>1</v>
      </c>
      <c r="F390" s="924"/>
      <c r="G390" s="51">
        <f t="shared" si="61"/>
        <v>1</v>
      </c>
      <c r="H390" s="924"/>
      <c r="I390" s="51">
        <f t="shared" si="62"/>
        <v>1</v>
      </c>
      <c r="J390" s="924"/>
      <c r="K390" s="51">
        <f t="shared" si="63"/>
        <v>1</v>
      </c>
      <c r="L390" s="924"/>
      <c r="M390" s="51">
        <f t="shared" si="64"/>
        <v>1</v>
      </c>
      <c r="N390" s="924"/>
      <c r="O390" s="51">
        <f t="shared" si="65"/>
        <v>1</v>
      </c>
      <c r="P390" s="924"/>
      <c r="Q390" s="51">
        <f t="shared" si="66"/>
        <v>1</v>
      </c>
      <c r="R390" s="467">
        <f t="shared" si="67"/>
        <v>0</v>
      </c>
      <c r="S390" s="765">
        <f t="shared" si="68"/>
        <v>0</v>
      </c>
    </row>
    <row r="391" spans="1:19">
      <c r="A391" s="926"/>
      <c r="B391" s="132"/>
      <c r="C391" s="51">
        <f t="shared" si="59"/>
        <v>1</v>
      </c>
      <c r="D391" s="924"/>
      <c r="E391" s="51">
        <f t="shared" si="60"/>
        <v>1</v>
      </c>
      <c r="F391" s="924"/>
      <c r="G391" s="51">
        <f t="shared" si="61"/>
        <v>1</v>
      </c>
      <c r="H391" s="924"/>
      <c r="I391" s="51">
        <f t="shared" si="62"/>
        <v>1</v>
      </c>
      <c r="J391" s="924"/>
      <c r="K391" s="51">
        <f t="shared" si="63"/>
        <v>1</v>
      </c>
      <c r="L391" s="924"/>
      <c r="M391" s="51">
        <f t="shared" si="64"/>
        <v>1</v>
      </c>
      <c r="N391" s="924"/>
      <c r="O391" s="51">
        <f t="shared" si="65"/>
        <v>1</v>
      </c>
      <c r="P391" s="924"/>
      <c r="Q391" s="51">
        <f t="shared" si="66"/>
        <v>1</v>
      </c>
      <c r="R391" s="467">
        <f t="shared" si="67"/>
        <v>0</v>
      </c>
      <c r="S391" s="765">
        <f t="shared" si="68"/>
        <v>0</v>
      </c>
    </row>
    <row r="392" spans="1:19">
      <c r="A392" s="926"/>
      <c r="B392" s="132"/>
      <c r="C392" s="51">
        <f t="shared" si="59"/>
        <v>1</v>
      </c>
      <c r="D392" s="924"/>
      <c r="E392" s="51">
        <f t="shared" si="60"/>
        <v>1</v>
      </c>
      <c r="F392" s="924"/>
      <c r="G392" s="51">
        <f t="shared" si="61"/>
        <v>1</v>
      </c>
      <c r="H392" s="924"/>
      <c r="I392" s="51">
        <f t="shared" si="62"/>
        <v>1</v>
      </c>
      <c r="J392" s="924"/>
      <c r="K392" s="51">
        <f t="shared" si="63"/>
        <v>1</v>
      </c>
      <c r="L392" s="924"/>
      <c r="M392" s="51">
        <f t="shared" si="64"/>
        <v>1</v>
      </c>
      <c r="N392" s="924"/>
      <c r="O392" s="51">
        <f t="shared" si="65"/>
        <v>1</v>
      </c>
      <c r="P392" s="924"/>
      <c r="Q392" s="51">
        <f t="shared" si="66"/>
        <v>1</v>
      </c>
      <c r="R392" s="467">
        <f t="shared" si="67"/>
        <v>0</v>
      </c>
      <c r="S392" s="765">
        <f t="shared" si="68"/>
        <v>0</v>
      </c>
    </row>
    <row r="393" spans="1:19">
      <c r="A393" s="926"/>
      <c r="B393" s="132"/>
      <c r="C393" s="51">
        <f t="shared" si="59"/>
        <v>1</v>
      </c>
      <c r="D393" s="924"/>
      <c r="E393" s="51">
        <f t="shared" si="60"/>
        <v>1</v>
      </c>
      <c r="F393" s="924"/>
      <c r="G393" s="51">
        <f t="shared" si="61"/>
        <v>1</v>
      </c>
      <c r="H393" s="924"/>
      <c r="I393" s="51">
        <f t="shared" si="62"/>
        <v>1</v>
      </c>
      <c r="J393" s="924"/>
      <c r="K393" s="51">
        <f t="shared" si="63"/>
        <v>1</v>
      </c>
      <c r="L393" s="924"/>
      <c r="M393" s="51">
        <f t="shared" si="64"/>
        <v>1</v>
      </c>
      <c r="N393" s="924"/>
      <c r="O393" s="51">
        <f t="shared" si="65"/>
        <v>1</v>
      </c>
      <c r="P393" s="924"/>
      <c r="Q393" s="51">
        <f t="shared" si="66"/>
        <v>1</v>
      </c>
      <c r="R393" s="467">
        <f t="shared" si="67"/>
        <v>0</v>
      </c>
      <c r="S393" s="765">
        <f t="shared" si="68"/>
        <v>0</v>
      </c>
    </row>
    <row r="394" spans="1:19">
      <c r="A394" s="926"/>
      <c r="B394" s="132"/>
      <c r="C394" s="51">
        <f t="shared" si="59"/>
        <v>1</v>
      </c>
      <c r="D394" s="924"/>
      <c r="E394" s="51">
        <f t="shared" si="60"/>
        <v>1</v>
      </c>
      <c r="F394" s="924"/>
      <c r="G394" s="51">
        <f t="shared" si="61"/>
        <v>1</v>
      </c>
      <c r="H394" s="924"/>
      <c r="I394" s="51">
        <f t="shared" si="62"/>
        <v>1</v>
      </c>
      <c r="J394" s="924"/>
      <c r="K394" s="51">
        <f t="shared" si="63"/>
        <v>1</v>
      </c>
      <c r="L394" s="924"/>
      <c r="M394" s="51">
        <f t="shared" si="64"/>
        <v>1</v>
      </c>
      <c r="N394" s="924"/>
      <c r="O394" s="51">
        <f t="shared" si="65"/>
        <v>1</v>
      </c>
      <c r="P394" s="924"/>
      <c r="Q394" s="51">
        <f t="shared" si="66"/>
        <v>1</v>
      </c>
      <c r="R394" s="467">
        <f t="shared" si="67"/>
        <v>0</v>
      </c>
      <c r="S394" s="765">
        <f t="shared" si="68"/>
        <v>0</v>
      </c>
    </row>
    <row r="395" spans="1:19">
      <c r="A395" s="926"/>
      <c r="B395" s="132"/>
      <c r="C395" s="51">
        <f t="shared" si="59"/>
        <v>1</v>
      </c>
      <c r="D395" s="924"/>
      <c r="E395" s="51">
        <f t="shared" si="60"/>
        <v>1</v>
      </c>
      <c r="F395" s="924"/>
      <c r="G395" s="51">
        <f t="shared" si="61"/>
        <v>1</v>
      </c>
      <c r="H395" s="924"/>
      <c r="I395" s="51">
        <f t="shared" si="62"/>
        <v>1</v>
      </c>
      <c r="J395" s="924"/>
      <c r="K395" s="51">
        <f t="shared" si="63"/>
        <v>1</v>
      </c>
      <c r="L395" s="924"/>
      <c r="M395" s="51">
        <f t="shared" si="64"/>
        <v>1</v>
      </c>
      <c r="N395" s="924"/>
      <c r="O395" s="51">
        <f t="shared" si="65"/>
        <v>1</v>
      </c>
      <c r="P395" s="924"/>
      <c r="Q395" s="51">
        <f t="shared" si="66"/>
        <v>1</v>
      </c>
      <c r="R395" s="467">
        <f t="shared" si="67"/>
        <v>0</v>
      </c>
      <c r="S395" s="765">
        <f t="shared" si="68"/>
        <v>0</v>
      </c>
    </row>
    <row r="396" spans="1:19">
      <c r="A396" s="926"/>
      <c r="B396" s="132"/>
      <c r="C396" s="51">
        <f t="shared" si="59"/>
        <v>1</v>
      </c>
      <c r="D396" s="924"/>
      <c r="E396" s="51">
        <f t="shared" si="60"/>
        <v>1</v>
      </c>
      <c r="F396" s="924"/>
      <c r="G396" s="51">
        <f t="shared" si="61"/>
        <v>1</v>
      </c>
      <c r="H396" s="924"/>
      <c r="I396" s="51">
        <f t="shared" si="62"/>
        <v>1</v>
      </c>
      <c r="J396" s="924"/>
      <c r="K396" s="51">
        <f t="shared" si="63"/>
        <v>1</v>
      </c>
      <c r="L396" s="924"/>
      <c r="M396" s="51">
        <f t="shared" si="64"/>
        <v>1</v>
      </c>
      <c r="N396" s="924"/>
      <c r="O396" s="51">
        <f t="shared" si="65"/>
        <v>1</v>
      </c>
      <c r="P396" s="924"/>
      <c r="Q396" s="51">
        <f t="shared" si="66"/>
        <v>1</v>
      </c>
      <c r="R396" s="467">
        <f t="shared" si="67"/>
        <v>0</v>
      </c>
      <c r="S396" s="765">
        <f t="shared" si="68"/>
        <v>0</v>
      </c>
    </row>
    <row r="397" spans="1:19">
      <c r="A397" s="926"/>
      <c r="B397" s="132"/>
      <c r="C397" s="51">
        <f t="shared" si="59"/>
        <v>1</v>
      </c>
      <c r="D397" s="924"/>
      <c r="E397" s="51">
        <f t="shared" si="60"/>
        <v>1</v>
      </c>
      <c r="F397" s="924"/>
      <c r="G397" s="51">
        <f t="shared" si="61"/>
        <v>1</v>
      </c>
      <c r="H397" s="924"/>
      <c r="I397" s="51">
        <f t="shared" si="62"/>
        <v>1</v>
      </c>
      <c r="J397" s="924"/>
      <c r="K397" s="51">
        <f t="shared" si="63"/>
        <v>1</v>
      </c>
      <c r="L397" s="924"/>
      <c r="M397" s="51">
        <f t="shared" si="64"/>
        <v>1</v>
      </c>
      <c r="N397" s="924"/>
      <c r="O397" s="51">
        <f t="shared" si="65"/>
        <v>1</v>
      </c>
      <c r="P397" s="924"/>
      <c r="Q397" s="51">
        <f t="shared" si="66"/>
        <v>1</v>
      </c>
      <c r="R397" s="467">
        <f t="shared" si="67"/>
        <v>0</v>
      </c>
      <c r="S397" s="765">
        <f t="shared" si="68"/>
        <v>0</v>
      </c>
    </row>
    <row r="398" spans="1:19">
      <c r="A398" s="926"/>
      <c r="B398" s="132"/>
      <c r="C398" s="51">
        <f t="shared" si="59"/>
        <v>1</v>
      </c>
      <c r="D398" s="924"/>
      <c r="E398" s="51">
        <f t="shared" si="60"/>
        <v>1</v>
      </c>
      <c r="F398" s="924"/>
      <c r="G398" s="51">
        <f t="shared" si="61"/>
        <v>1</v>
      </c>
      <c r="H398" s="924"/>
      <c r="I398" s="51">
        <f t="shared" si="62"/>
        <v>1</v>
      </c>
      <c r="J398" s="924"/>
      <c r="K398" s="51">
        <f t="shared" si="63"/>
        <v>1</v>
      </c>
      <c r="L398" s="924"/>
      <c r="M398" s="51">
        <f t="shared" si="64"/>
        <v>1</v>
      </c>
      <c r="N398" s="924"/>
      <c r="O398" s="51">
        <f t="shared" si="65"/>
        <v>1</v>
      </c>
      <c r="P398" s="924"/>
      <c r="Q398" s="51">
        <f t="shared" si="66"/>
        <v>1</v>
      </c>
      <c r="R398" s="467">
        <f t="shared" si="67"/>
        <v>0</v>
      </c>
      <c r="S398" s="765">
        <f t="shared" si="68"/>
        <v>0</v>
      </c>
    </row>
    <row r="399" spans="1:19">
      <c r="A399" s="926"/>
      <c r="B399" s="132"/>
      <c r="C399" s="51">
        <f t="shared" si="59"/>
        <v>1</v>
      </c>
      <c r="D399" s="924"/>
      <c r="E399" s="51">
        <f t="shared" si="60"/>
        <v>1</v>
      </c>
      <c r="F399" s="924"/>
      <c r="G399" s="51">
        <f t="shared" si="61"/>
        <v>1</v>
      </c>
      <c r="H399" s="924"/>
      <c r="I399" s="51">
        <f t="shared" si="62"/>
        <v>1</v>
      </c>
      <c r="J399" s="924"/>
      <c r="K399" s="51">
        <f t="shared" si="63"/>
        <v>1</v>
      </c>
      <c r="L399" s="924"/>
      <c r="M399" s="51">
        <f t="shared" si="64"/>
        <v>1</v>
      </c>
      <c r="N399" s="924"/>
      <c r="O399" s="51">
        <f t="shared" si="65"/>
        <v>1</v>
      </c>
      <c r="P399" s="924"/>
      <c r="Q399" s="51">
        <f t="shared" si="66"/>
        <v>1</v>
      </c>
      <c r="R399" s="467">
        <f t="shared" si="67"/>
        <v>0</v>
      </c>
      <c r="S399" s="765">
        <f t="shared" si="68"/>
        <v>0</v>
      </c>
    </row>
    <row r="400" spans="1:19">
      <c r="A400" s="926"/>
      <c r="B400" s="132"/>
      <c r="C400" s="51">
        <f t="shared" si="59"/>
        <v>1</v>
      </c>
      <c r="D400" s="924"/>
      <c r="E400" s="51">
        <f t="shared" si="60"/>
        <v>1</v>
      </c>
      <c r="F400" s="924"/>
      <c r="G400" s="51">
        <f t="shared" si="61"/>
        <v>1</v>
      </c>
      <c r="H400" s="924"/>
      <c r="I400" s="51">
        <f t="shared" si="62"/>
        <v>1</v>
      </c>
      <c r="J400" s="924"/>
      <c r="K400" s="51">
        <f t="shared" si="63"/>
        <v>1</v>
      </c>
      <c r="L400" s="924"/>
      <c r="M400" s="51">
        <f t="shared" si="64"/>
        <v>1</v>
      </c>
      <c r="N400" s="924"/>
      <c r="O400" s="51">
        <f t="shared" si="65"/>
        <v>1</v>
      </c>
      <c r="P400" s="924"/>
      <c r="Q400" s="51">
        <f t="shared" si="66"/>
        <v>1</v>
      </c>
      <c r="R400" s="467">
        <f t="shared" si="67"/>
        <v>0</v>
      </c>
      <c r="S400" s="765">
        <f t="shared" si="68"/>
        <v>0</v>
      </c>
    </row>
    <row r="401" spans="1:19">
      <c r="A401" s="926"/>
      <c r="B401" s="132"/>
      <c r="C401" s="51">
        <f t="shared" si="59"/>
        <v>1</v>
      </c>
      <c r="D401" s="924"/>
      <c r="E401" s="51">
        <f t="shared" si="60"/>
        <v>1</v>
      </c>
      <c r="F401" s="924"/>
      <c r="G401" s="51">
        <f t="shared" si="61"/>
        <v>1</v>
      </c>
      <c r="H401" s="924"/>
      <c r="I401" s="51">
        <f t="shared" si="62"/>
        <v>1</v>
      </c>
      <c r="J401" s="924"/>
      <c r="K401" s="51">
        <f t="shared" si="63"/>
        <v>1</v>
      </c>
      <c r="L401" s="924"/>
      <c r="M401" s="51">
        <f t="shared" si="64"/>
        <v>1</v>
      </c>
      <c r="N401" s="924"/>
      <c r="O401" s="51">
        <f t="shared" si="65"/>
        <v>1</v>
      </c>
      <c r="P401" s="924"/>
      <c r="Q401" s="51">
        <f t="shared" si="66"/>
        <v>1</v>
      </c>
      <c r="R401" s="467">
        <f t="shared" si="67"/>
        <v>0</v>
      </c>
      <c r="S401" s="765">
        <f t="shared" si="68"/>
        <v>0</v>
      </c>
    </row>
    <row r="402" spans="1:19">
      <c r="A402" s="926"/>
      <c r="B402" s="132"/>
      <c r="C402" s="51">
        <f t="shared" si="59"/>
        <v>1</v>
      </c>
      <c r="D402" s="924"/>
      <c r="E402" s="51">
        <f t="shared" si="60"/>
        <v>1</v>
      </c>
      <c r="F402" s="924"/>
      <c r="G402" s="51">
        <f t="shared" si="61"/>
        <v>1</v>
      </c>
      <c r="H402" s="924"/>
      <c r="I402" s="51">
        <f t="shared" si="62"/>
        <v>1</v>
      </c>
      <c r="J402" s="924"/>
      <c r="K402" s="51">
        <f t="shared" si="63"/>
        <v>1</v>
      </c>
      <c r="L402" s="924"/>
      <c r="M402" s="51">
        <f t="shared" si="64"/>
        <v>1</v>
      </c>
      <c r="N402" s="924"/>
      <c r="O402" s="51">
        <f t="shared" si="65"/>
        <v>1</v>
      </c>
      <c r="P402" s="924"/>
      <c r="Q402" s="51">
        <f t="shared" si="66"/>
        <v>1</v>
      </c>
      <c r="R402" s="467">
        <f t="shared" si="67"/>
        <v>0</v>
      </c>
      <c r="S402" s="765">
        <f t="shared" si="68"/>
        <v>0</v>
      </c>
    </row>
    <row r="403" spans="1:19">
      <c r="A403" s="926"/>
      <c r="B403" s="132"/>
      <c r="C403" s="51">
        <f t="shared" si="59"/>
        <v>1</v>
      </c>
      <c r="D403" s="924"/>
      <c r="E403" s="51">
        <f t="shared" si="60"/>
        <v>1</v>
      </c>
      <c r="F403" s="924"/>
      <c r="G403" s="51">
        <f t="shared" si="61"/>
        <v>1</v>
      </c>
      <c r="H403" s="924"/>
      <c r="I403" s="51">
        <f t="shared" si="62"/>
        <v>1</v>
      </c>
      <c r="J403" s="924"/>
      <c r="K403" s="51">
        <f t="shared" si="63"/>
        <v>1</v>
      </c>
      <c r="L403" s="924"/>
      <c r="M403" s="51">
        <f t="shared" si="64"/>
        <v>1</v>
      </c>
      <c r="N403" s="924"/>
      <c r="O403" s="51">
        <f t="shared" si="65"/>
        <v>1</v>
      </c>
      <c r="P403" s="924"/>
      <c r="Q403" s="51">
        <f t="shared" si="66"/>
        <v>1</v>
      </c>
      <c r="R403" s="467">
        <f t="shared" si="67"/>
        <v>0</v>
      </c>
      <c r="S403" s="765">
        <f t="shared" si="68"/>
        <v>0</v>
      </c>
    </row>
    <row r="404" spans="1:19">
      <c r="A404" s="926"/>
      <c r="B404" s="132"/>
      <c r="C404" s="51">
        <f t="shared" si="59"/>
        <v>1</v>
      </c>
      <c r="D404" s="924"/>
      <c r="E404" s="51">
        <f t="shared" si="60"/>
        <v>1</v>
      </c>
      <c r="F404" s="924"/>
      <c r="G404" s="51">
        <f t="shared" si="61"/>
        <v>1</v>
      </c>
      <c r="H404" s="924"/>
      <c r="I404" s="51">
        <f t="shared" si="62"/>
        <v>1</v>
      </c>
      <c r="J404" s="924"/>
      <c r="K404" s="51">
        <f t="shared" si="63"/>
        <v>1</v>
      </c>
      <c r="L404" s="924"/>
      <c r="M404" s="51">
        <f t="shared" si="64"/>
        <v>1</v>
      </c>
      <c r="N404" s="924"/>
      <c r="O404" s="51">
        <f t="shared" si="65"/>
        <v>1</v>
      </c>
      <c r="P404" s="924"/>
      <c r="Q404" s="51">
        <f t="shared" si="66"/>
        <v>1</v>
      </c>
      <c r="R404" s="467">
        <f t="shared" si="67"/>
        <v>0</v>
      </c>
      <c r="S404" s="765">
        <f t="shared" si="68"/>
        <v>0</v>
      </c>
    </row>
    <row r="405" spans="1:19">
      <c r="A405" s="926"/>
      <c r="B405" s="132"/>
      <c r="C405" s="51">
        <f t="shared" si="59"/>
        <v>1</v>
      </c>
      <c r="D405" s="924"/>
      <c r="E405" s="51">
        <f t="shared" si="60"/>
        <v>1</v>
      </c>
      <c r="F405" s="924"/>
      <c r="G405" s="51">
        <f t="shared" si="61"/>
        <v>1</v>
      </c>
      <c r="H405" s="924"/>
      <c r="I405" s="51">
        <f t="shared" si="62"/>
        <v>1</v>
      </c>
      <c r="J405" s="924"/>
      <c r="K405" s="51">
        <f t="shared" si="63"/>
        <v>1</v>
      </c>
      <c r="L405" s="924"/>
      <c r="M405" s="51">
        <f t="shared" si="64"/>
        <v>1</v>
      </c>
      <c r="N405" s="924"/>
      <c r="O405" s="51">
        <f t="shared" si="65"/>
        <v>1</v>
      </c>
      <c r="P405" s="924"/>
      <c r="Q405" s="51">
        <f t="shared" si="66"/>
        <v>1</v>
      </c>
      <c r="R405" s="467">
        <f t="shared" si="67"/>
        <v>0</v>
      </c>
      <c r="S405" s="765">
        <f t="shared" si="68"/>
        <v>0</v>
      </c>
    </row>
    <row r="406" spans="1:19">
      <c r="A406" s="926"/>
      <c r="B406" s="132"/>
      <c r="C406" s="51">
        <f t="shared" si="59"/>
        <v>1</v>
      </c>
      <c r="D406" s="924"/>
      <c r="E406" s="51">
        <f t="shared" si="60"/>
        <v>1</v>
      </c>
      <c r="F406" s="924"/>
      <c r="G406" s="51">
        <f t="shared" si="61"/>
        <v>1</v>
      </c>
      <c r="H406" s="924"/>
      <c r="I406" s="51">
        <f t="shared" si="62"/>
        <v>1</v>
      </c>
      <c r="J406" s="924"/>
      <c r="K406" s="51">
        <f t="shared" si="63"/>
        <v>1</v>
      </c>
      <c r="L406" s="924"/>
      <c r="M406" s="51">
        <f t="shared" si="64"/>
        <v>1</v>
      </c>
      <c r="N406" s="924"/>
      <c r="O406" s="51">
        <f t="shared" si="65"/>
        <v>1</v>
      </c>
      <c r="P406" s="924"/>
      <c r="Q406" s="51">
        <f t="shared" si="66"/>
        <v>1</v>
      </c>
      <c r="R406" s="467">
        <f t="shared" si="67"/>
        <v>0</v>
      </c>
      <c r="S406" s="765">
        <f t="shared" si="68"/>
        <v>0</v>
      </c>
    </row>
    <row r="407" spans="1:19">
      <c r="A407" s="926"/>
      <c r="B407" s="132"/>
      <c r="C407" s="51">
        <f t="shared" si="59"/>
        <v>1</v>
      </c>
      <c r="D407" s="924"/>
      <c r="E407" s="51">
        <f t="shared" si="60"/>
        <v>1</v>
      </c>
      <c r="F407" s="924"/>
      <c r="G407" s="51">
        <f t="shared" si="61"/>
        <v>1</v>
      </c>
      <c r="H407" s="924"/>
      <c r="I407" s="51">
        <f t="shared" si="62"/>
        <v>1</v>
      </c>
      <c r="J407" s="924"/>
      <c r="K407" s="51">
        <f t="shared" si="63"/>
        <v>1</v>
      </c>
      <c r="L407" s="924"/>
      <c r="M407" s="51">
        <f t="shared" si="64"/>
        <v>1</v>
      </c>
      <c r="N407" s="924"/>
      <c r="O407" s="51">
        <f t="shared" si="65"/>
        <v>1</v>
      </c>
      <c r="P407" s="924"/>
      <c r="Q407" s="51">
        <f t="shared" si="66"/>
        <v>1</v>
      </c>
      <c r="R407" s="467">
        <f t="shared" si="67"/>
        <v>0</v>
      </c>
      <c r="S407" s="765">
        <f t="shared" si="68"/>
        <v>0</v>
      </c>
    </row>
    <row r="408" spans="1:19">
      <c r="A408" s="926"/>
      <c r="B408" s="132"/>
      <c r="C408" s="51">
        <f t="shared" si="59"/>
        <v>1</v>
      </c>
      <c r="D408" s="924"/>
      <c r="E408" s="51">
        <f t="shared" si="60"/>
        <v>1</v>
      </c>
      <c r="F408" s="924"/>
      <c r="G408" s="51">
        <f t="shared" si="61"/>
        <v>1</v>
      </c>
      <c r="H408" s="924"/>
      <c r="I408" s="51">
        <f t="shared" si="62"/>
        <v>1</v>
      </c>
      <c r="J408" s="924"/>
      <c r="K408" s="51">
        <f t="shared" si="63"/>
        <v>1</v>
      </c>
      <c r="L408" s="924"/>
      <c r="M408" s="51">
        <f t="shared" si="64"/>
        <v>1</v>
      </c>
      <c r="N408" s="924"/>
      <c r="O408" s="51">
        <f t="shared" si="65"/>
        <v>1</v>
      </c>
      <c r="P408" s="924"/>
      <c r="Q408" s="51">
        <f t="shared" si="66"/>
        <v>1</v>
      </c>
      <c r="R408" s="467">
        <f t="shared" si="67"/>
        <v>0</v>
      </c>
      <c r="S408" s="765">
        <f t="shared" si="68"/>
        <v>0</v>
      </c>
    </row>
    <row r="409" spans="1:19">
      <c r="A409" s="926"/>
      <c r="B409" s="132"/>
      <c r="C409" s="51">
        <f t="shared" si="59"/>
        <v>1</v>
      </c>
      <c r="D409" s="924"/>
      <c r="E409" s="51">
        <f t="shared" si="60"/>
        <v>1</v>
      </c>
      <c r="F409" s="924"/>
      <c r="G409" s="51">
        <f t="shared" si="61"/>
        <v>1</v>
      </c>
      <c r="H409" s="924"/>
      <c r="I409" s="51">
        <f t="shared" si="62"/>
        <v>1</v>
      </c>
      <c r="J409" s="924"/>
      <c r="K409" s="51">
        <f t="shared" si="63"/>
        <v>1</v>
      </c>
      <c r="L409" s="924"/>
      <c r="M409" s="51">
        <f t="shared" si="64"/>
        <v>1</v>
      </c>
      <c r="N409" s="924"/>
      <c r="O409" s="51">
        <f t="shared" si="65"/>
        <v>1</v>
      </c>
      <c r="P409" s="924"/>
      <c r="Q409" s="51">
        <f t="shared" si="66"/>
        <v>1</v>
      </c>
      <c r="R409" s="467">
        <f t="shared" si="67"/>
        <v>0</v>
      </c>
      <c r="S409" s="765">
        <f t="shared" si="68"/>
        <v>0</v>
      </c>
    </row>
    <row r="410" spans="1:19">
      <c r="A410" s="926"/>
      <c r="B410" s="132"/>
      <c r="C410" s="51">
        <f t="shared" ref="C410:C473" si="69">IF(B410="",1,(LOOKUP(B410,$3:$3,$4:$4)-LOOKUP($B$24,$3:$3,$4:$4)+100)/100)</f>
        <v>1</v>
      </c>
      <c r="D410" s="924"/>
      <c r="E410" s="51">
        <f t="shared" ref="E410:E473" si="70">(SUMIF($5:$5,D410,$6:$6)-SUMIF($5:$5,$D$24,$6:$6)+100)/100</f>
        <v>1</v>
      </c>
      <c r="F410" s="924"/>
      <c r="G410" s="51">
        <f t="shared" ref="G410:G473" si="71">(SUMIF($7:$7,F410,$8:$8)-SUMIF($7:$7,$F$24,$8:$8)+100)/100</f>
        <v>1</v>
      </c>
      <c r="H410" s="924"/>
      <c r="I410" s="51">
        <f t="shared" ref="I410:I473" si="72">(SUMIF($9:$9,H410,$10:$10)-SUMIF($9:$9,$H$24,$10:$10)+100)/100</f>
        <v>1</v>
      </c>
      <c r="J410" s="924"/>
      <c r="K410" s="51">
        <f t="shared" ref="K410:K473" si="73">(SUMIF($11:$11,J410,$12:$12)-SUMIF($11:$11,$J$24,$12:$12)+100)/100</f>
        <v>1</v>
      </c>
      <c r="L410" s="924"/>
      <c r="M410" s="51">
        <f t="shared" ref="M410:M473" si="74">(SUMIF($13:$13,L410,$14:$14)-SUMIF($13:$13,$L$24,$14:$14)+100)/100</f>
        <v>1</v>
      </c>
      <c r="N410" s="924"/>
      <c r="O410" s="51">
        <f t="shared" ref="O410:O473" si="75">(SUMIF($15:$15,N410,$16:$16)-SUMIF($15:$15,$N$24,$16:$16)+100)/100</f>
        <v>1</v>
      </c>
      <c r="P410" s="924"/>
      <c r="Q410" s="51">
        <f t="shared" ref="Q410:Q473" si="76">(SUMIF($17:$17,P410,$18:$18)-SUMIF($17:$17,$P$24,$18:$18)+100)/100</f>
        <v>1</v>
      </c>
      <c r="R410" s="467">
        <f t="shared" ref="R410:R473" si="77">IF(B410="",0,ROUND($R$24*C410*E410*G410*I410*K410*M410*O410*Q410,0))</f>
        <v>0</v>
      </c>
      <c r="S410" s="765">
        <f t="shared" si="68"/>
        <v>0</v>
      </c>
    </row>
    <row r="411" spans="1:19">
      <c r="A411" s="926"/>
      <c r="B411" s="132"/>
      <c r="C411" s="51">
        <f t="shared" si="69"/>
        <v>1</v>
      </c>
      <c r="D411" s="924"/>
      <c r="E411" s="51">
        <f t="shared" si="70"/>
        <v>1</v>
      </c>
      <c r="F411" s="924"/>
      <c r="G411" s="51">
        <f t="shared" si="71"/>
        <v>1</v>
      </c>
      <c r="H411" s="924"/>
      <c r="I411" s="51">
        <f t="shared" si="72"/>
        <v>1</v>
      </c>
      <c r="J411" s="924"/>
      <c r="K411" s="51">
        <f t="shared" si="73"/>
        <v>1</v>
      </c>
      <c r="L411" s="924"/>
      <c r="M411" s="51">
        <f t="shared" si="74"/>
        <v>1</v>
      </c>
      <c r="N411" s="924"/>
      <c r="O411" s="51">
        <f t="shared" si="75"/>
        <v>1</v>
      </c>
      <c r="P411" s="924"/>
      <c r="Q411" s="51">
        <f t="shared" si="76"/>
        <v>1</v>
      </c>
      <c r="R411" s="467">
        <f t="shared" si="77"/>
        <v>0</v>
      </c>
      <c r="S411" s="765">
        <f t="shared" si="68"/>
        <v>0</v>
      </c>
    </row>
    <row r="412" spans="1:19">
      <c r="A412" s="926"/>
      <c r="B412" s="132"/>
      <c r="C412" s="51">
        <f t="shared" si="69"/>
        <v>1</v>
      </c>
      <c r="D412" s="924"/>
      <c r="E412" s="51">
        <f t="shared" si="70"/>
        <v>1</v>
      </c>
      <c r="F412" s="924"/>
      <c r="G412" s="51">
        <f t="shared" si="71"/>
        <v>1</v>
      </c>
      <c r="H412" s="924"/>
      <c r="I412" s="51">
        <f t="shared" si="72"/>
        <v>1</v>
      </c>
      <c r="J412" s="924"/>
      <c r="K412" s="51">
        <f t="shared" si="73"/>
        <v>1</v>
      </c>
      <c r="L412" s="924"/>
      <c r="M412" s="51">
        <f t="shared" si="74"/>
        <v>1</v>
      </c>
      <c r="N412" s="924"/>
      <c r="O412" s="51">
        <f t="shared" si="75"/>
        <v>1</v>
      </c>
      <c r="P412" s="924"/>
      <c r="Q412" s="51">
        <f t="shared" si="76"/>
        <v>1</v>
      </c>
      <c r="R412" s="467">
        <f t="shared" si="77"/>
        <v>0</v>
      </c>
      <c r="S412" s="765">
        <f t="shared" si="68"/>
        <v>0</v>
      </c>
    </row>
    <row r="413" spans="1:19">
      <c r="A413" s="926"/>
      <c r="B413" s="132"/>
      <c r="C413" s="51">
        <f t="shared" si="69"/>
        <v>1</v>
      </c>
      <c r="D413" s="924"/>
      <c r="E413" s="51">
        <f t="shared" si="70"/>
        <v>1</v>
      </c>
      <c r="F413" s="924"/>
      <c r="G413" s="51">
        <f t="shared" si="71"/>
        <v>1</v>
      </c>
      <c r="H413" s="924"/>
      <c r="I413" s="51">
        <f t="shared" si="72"/>
        <v>1</v>
      </c>
      <c r="J413" s="924"/>
      <c r="K413" s="51">
        <f t="shared" si="73"/>
        <v>1</v>
      </c>
      <c r="L413" s="924"/>
      <c r="M413" s="51">
        <f t="shared" si="74"/>
        <v>1</v>
      </c>
      <c r="N413" s="924"/>
      <c r="O413" s="51">
        <f t="shared" si="75"/>
        <v>1</v>
      </c>
      <c r="P413" s="924"/>
      <c r="Q413" s="51">
        <f t="shared" si="76"/>
        <v>1</v>
      </c>
      <c r="R413" s="467">
        <f t="shared" si="77"/>
        <v>0</v>
      </c>
      <c r="S413" s="765">
        <f t="shared" si="68"/>
        <v>0</v>
      </c>
    </row>
    <row r="414" spans="1:19">
      <c r="A414" s="926"/>
      <c r="B414" s="132"/>
      <c r="C414" s="51">
        <f t="shared" si="69"/>
        <v>1</v>
      </c>
      <c r="D414" s="924"/>
      <c r="E414" s="51">
        <f t="shared" si="70"/>
        <v>1</v>
      </c>
      <c r="F414" s="924"/>
      <c r="G414" s="51">
        <f t="shared" si="71"/>
        <v>1</v>
      </c>
      <c r="H414" s="924"/>
      <c r="I414" s="51">
        <f t="shared" si="72"/>
        <v>1</v>
      </c>
      <c r="J414" s="924"/>
      <c r="K414" s="51">
        <f t="shared" si="73"/>
        <v>1</v>
      </c>
      <c r="L414" s="924"/>
      <c r="M414" s="51">
        <f t="shared" si="74"/>
        <v>1</v>
      </c>
      <c r="N414" s="924"/>
      <c r="O414" s="51">
        <f t="shared" si="75"/>
        <v>1</v>
      </c>
      <c r="P414" s="924"/>
      <c r="Q414" s="51">
        <f t="shared" si="76"/>
        <v>1</v>
      </c>
      <c r="R414" s="467">
        <f t="shared" si="77"/>
        <v>0</v>
      </c>
      <c r="S414" s="765">
        <f t="shared" si="68"/>
        <v>0</v>
      </c>
    </row>
    <row r="415" spans="1:19">
      <c r="A415" s="926"/>
      <c r="B415" s="132"/>
      <c r="C415" s="51">
        <f t="shared" si="69"/>
        <v>1</v>
      </c>
      <c r="D415" s="924"/>
      <c r="E415" s="51">
        <f t="shared" si="70"/>
        <v>1</v>
      </c>
      <c r="F415" s="924"/>
      <c r="G415" s="51">
        <f t="shared" si="71"/>
        <v>1</v>
      </c>
      <c r="H415" s="924"/>
      <c r="I415" s="51">
        <f t="shared" si="72"/>
        <v>1</v>
      </c>
      <c r="J415" s="924"/>
      <c r="K415" s="51">
        <f t="shared" si="73"/>
        <v>1</v>
      </c>
      <c r="L415" s="924"/>
      <c r="M415" s="51">
        <f t="shared" si="74"/>
        <v>1</v>
      </c>
      <c r="N415" s="924"/>
      <c r="O415" s="51">
        <f t="shared" si="75"/>
        <v>1</v>
      </c>
      <c r="P415" s="924"/>
      <c r="Q415" s="51">
        <f t="shared" si="76"/>
        <v>1</v>
      </c>
      <c r="R415" s="467">
        <f t="shared" si="77"/>
        <v>0</v>
      </c>
      <c r="S415" s="765">
        <f t="shared" si="68"/>
        <v>0</v>
      </c>
    </row>
    <row r="416" spans="1:19">
      <c r="A416" s="926"/>
      <c r="B416" s="132"/>
      <c r="C416" s="51">
        <f t="shared" si="69"/>
        <v>1</v>
      </c>
      <c r="D416" s="924"/>
      <c r="E416" s="51">
        <f t="shared" si="70"/>
        <v>1</v>
      </c>
      <c r="F416" s="924"/>
      <c r="G416" s="51">
        <f t="shared" si="71"/>
        <v>1</v>
      </c>
      <c r="H416" s="924"/>
      <c r="I416" s="51">
        <f t="shared" si="72"/>
        <v>1</v>
      </c>
      <c r="J416" s="924"/>
      <c r="K416" s="51">
        <f t="shared" si="73"/>
        <v>1</v>
      </c>
      <c r="L416" s="924"/>
      <c r="M416" s="51">
        <f t="shared" si="74"/>
        <v>1</v>
      </c>
      <c r="N416" s="924"/>
      <c r="O416" s="51">
        <f t="shared" si="75"/>
        <v>1</v>
      </c>
      <c r="P416" s="924"/>
      <c r="Q416" s="51">
        <f t="shared" si="76"/>
        <v>1</v>
      </c>
      <c r="R416" s="467">
        <f t="shared" si="77"/>
        <v>0</v>
      </c>
      <c r="S416" s="765">
        <f t="shared" si="68"/>
        <v>0</v>
      </c>
    </row>
    <row r="417" spans="1:19">
      <c r="A417" s="926"/>
      <c r="B417" s="132"/>
      <c r="C417" s="51">
        <f t="shared" si="69"/>
        <v>1</v>
      </c>
      <c r="D417" s="924"/>
      <c r="E417" s="51">
        <f t="shared" si="70"/>
        <v>1</v>
      </c>
      <c r="F417" s="924"/>
      <c r="G417" s="51">
        <f t="shared" si="71"/>
        <v>1</v>
      </c>
      <c r="H417" s="924"/>
      <c r="I417" s="51">
        <f t="shared" si="72"/>
        <v>1</v>
      </c>
      <c r="J417" s="924"/>
      <c r="K417" s="51">
        <f t="shared" si="73"/>
        <v>1</v>
      </c>
      <c r="L417" s="924"/>
      <c r="M417" s="51">
        <f t="shared" si="74"/>
        <v>1</v>
      </c>
      <c r="N417" s="924"/>
      <c r="O417" s="51">
        <f t="shared" si="75"/>
        <v>1</v>
      </c>
      <c r="P417" s="924"/>
      <c r="Q417" s="51">
        <f t="shared" si="76"/>
        <v>1</v>
      </c>
      <c r="R417" s="467">
        <f t="shared" si="77"/>
        <v>0</v>
      </c>
      <c r="S417" s="765">
        <f t="shared" si="68"/>
        <v>0</v>
      </c>
    </row>
    <row r="418" spans="1:19">
      <c r="A418" s="926"/>
      <c r="B418" s="132"/>
      <c r="C418" s="51">
        <f t="shared" si="69"/>
        <v>1</v>
      </c>
      <c r="D418" s="924"/>
      <c r="E418" s="51">
        <f t="shared" si="70"/>
        <v>1</v>
      </c>
      <c r="F418" s="924"/>
      <c r="G418" s="51">
        <f t="shared" si="71"/>
        <v>1</v>
      </c>
      <c r="H418" s="924"/>
      <c r="I418" s="51">
        <f t="shared" si="72"/>
        <v>1</v>
      </c>
      <c r="J418" s="924"/>
      <c r="K418" s="51">
        <f t="shared" si="73"/>
        <v>1</v>
      </c>
      <c r="L418" s="924"/>
      <c r="M418" s="51">
        <f t="shared" si="74"/>
        <v>1</v>
      </c>
      <c r="N418" s="924"/>
      <c r="O418" s="51">
        <f t="shared" si="75"/>
        <v>1</v>
      </c>
      <c r="P418" s="924"/>
      <c r="Q418" s="51">
        <f t="shared" si="76"/>
        <v>1</v>
      </c>
      <c r="R418" s="467">
        <f t="shared" si="77"/>
        <v>0</v>
      </c>
      <c r="S418" s="765">
        <f t="shared" si="68"/>
        <v>0</v>
      </c>
    </row>
    <row r="419" spans="1:19">
      <c r="A419" s="926"/>
      <c r="B419" s="132"/>
      <c r="C419" s="51">
        <f t="shared" si="69"/>
        <v>1</v>
      </c>
      <c r="D419" s="924"/>
      <c r="E419" s="51">
        <f t="shared" si="70"/>
        <v>1</v>
      </c>
      <c r="F419" s="924"/>
      <c r="G419" s="51">
        <f t="shared" si="71"/>
        <v>1</v>
      </c>
      <c r="H419" s="924"/>
      <c r="I419" s="51">
        <f t="shared" si="72"/>
        <v>1</v>
      </c>
      <c r="J419" s="924"/>
      <c r="K419" s="51">
        <f t="shared" si="73"/>
        <v>1</v>
      </c>
      <c r="L419" s="924"/>
      <c r="M419" s="51">
        <f t="shared" si="74"/>
        <v>1</v>
      </c>
      <c r="N419" s="924"/>
      <c r="O419" s="51">
        <f t="shared" si="75"/>
        <v>1</v>
      </c>
      <c r="P419" s="924"/>
      <c r="Q419" s="51">
        <f t="shared" si="76"/>
        <v>1</v>
      </c>
      <c r="R419" s="467">
        <f t="shared" si="77"/>
        <v>0</v>
      </c>
      <c r="S419" s="765">
        <f t="shared" si="68"/>
        <v>0</v>
      </c>
    </row>
    <row r="420" spans="1:19">
      <c r="A420" s="926"/>
      <c r="B420" s="132"/>
      <c r="C420" s="51">
        <f t="shared" si="69"/>
        <v>1</v>
      </c>
      <c r="D420" s="924"/>
      <c r="E420" s="51">
        <f t="shared" si="70"/>
        <v>1</v>
      </c>
      <c r="F420" s="924"/>
      <c r="G420" s="51">
        <f t="shared" si="71"/>
        <v>1</v>
      </c>
      <c r="H420" s="924"/>
      <c r="I420" s="51">
        <f t="shared" si="72"/>
        <v>1</v>
      </c>
      <c r="J420" s="924"/>
      <c r="K420" s="51">
        <f t="shared" si="73"/>
        <v>1</v>
      </c>
      <c r="L420" s="924"/>
      <c r="M420" s="51">
        <f t="shared" si="74"/>
        <v>1</v>
      </c>
      <c r="N420" s="924"/>
      <c r="O420" s="51">
        <f t="shared" si="75"/>
        <v>1</v>
      </c>
      <c r="P420" s="924"/>
      <c r="Q420" s="51">
        <f t="shared" si="76"/>
        <v>1</v>
      </c>
      <c r="R420" s="467">
        <f t="shared" si="77"/>
        <v>0</v>
      </c>
      <c r="S420" s="765">
        <f t="shared" si="68"/>
        <v>0</v>
      </c>
    </row>
    <row r="421" spans="1:19">
      <c r="A421" s="926"/>
      <c r="B421" s="132"/>
      <c r="C421" s="51">
        <f t="shared" si="69"/>
        <v>1</v>
      </c>
      <c r="D421" s="924"/>
      <c r="E421" s="51">
        <f t="shared" si="70"/>
        <v>1</v>
      </c>
      <c r="F421" s="924"/>
      <c r="G421" s="51">
        <f t="shared" si="71"/>
        <v>1</v>
      </c>
      <c r="H421" s="924"/>
      <c r="I421" s="51">
        <f t="shared" si="72"/>
        <v>1</v>
      </c>
      <c r="J421" s="924"/>
      <c r="K421" s="51">
        <f t="shared" si="73"/>
        <v>1</v>
      </c>
      <c r="L421" s="924"/>
      <c r="M421" s="51">
        <f t="shared" si="74"/>
        <v>1</v>
      </c>
      <c r="N421" s="924"/>
      <c r="O421" s="51">
        <f t="shared" si="75"/>
        <v>1</v>
      </c>
      <c r="P421" s="924"/>
      <c r="Q421" s="51">
        <f t="shared" si="76"/>
        <v>1</v>
      </c>
      <c r="R421" s="467">
        <f t="shared" si="77"/>
        <v>0</v>
      </c>
      <c r="S421" s="765">
        <f t="shared" si="68"/>
        <v>0</v>
      </c>
    </row>
    <row r="422" spans="1:19">
      <c r="A422" s="926"/>
      <c r="B422" s="132"/>
      <c r="C422" s="51">
        <f t="shared" si="69"/>
        <v>1</v>
      </c>
      <c r="D422" s="924"/>
      <c r="E422" s="51">
        <f t="shared" si="70"/>
        <v>1</v>
      </c>
      <c r="F422" s="924"/>
      <c r="G422" s="51">
        <f t="shared" si="71"/>
        <v>1</v>
      </c>
      <c r="H422" s="924"/>
      <c r="I422" s="51">
        <f t="shared" si="72"/>
        <v>1</v>
      </c>
      <c r="J422" s="924"/>
      <c r="K422" s="51">
        <f t="shared" si="73"/>
        <v>1</v>
      </c>
      <c r="L422" s="924"/>
      <c r="M422" s="51">
        <f t="shared" si="74"/>
        <v>1</v>
      </c>
      <c r="N422" s="924"/>
      <c r="O422" s="51">
        <f t="shared" si="75"/>
        <v>1</v>
      </c>
      <c r="P422" s="924"/>
      <c r="Q422" s="51">
        <f t="shared" si="76"/>
        <v>1</v>
      </c>
      <c r="R422" s="467">
        <f t="shared" si="77"/>
        <v>0</v>
      </c>
      <c r="S422" s="765">
        <f t="shared" si="68"/>
        <v>0</v>
      </c>
    </row>
    <row r="423" spans="1:19">
      <c r="A423" s="926"/>
      <c r="B423" s="132"/>
      <c r="C423" s="51">
        <f t="shared" si="69"/>
        <v>1</v>
      </c>
      <c r="D423" s="924"/>
      <c r="E423" s="51">
        <f t="shared" si="70"/>
        <v>1</v>
      </c>
      <c r="F423" s="924"/>
      <c r="G423" s="51">
        <f t="shared" si="71"/>
        <v>1</v>
      </c>
      <c r="H423" s="924"/>
      <c r="I423" s="51">
        <f t="shared" si="72"/>
        <v>1</v>
      </c>
      <c r="J423" s="924"/>
      <c r="K423" s="51">
        <f t="shared" si="73"/>
        <v>1</v>
      </c>
      <c r="L423" s="924"/>
      <c r="M423" s="51">
        <f t="shared" si="74"/>
        <v>1</v>
      </c>
      <c r="N423" s="924"/>
      <c r="O423" s="51">
        <f t="shared" si="75"/>
        <v>1</v>
      </c>
      <c r="P423" s="924"/>
      <c r="Q423" s="51">
        <f t="shared" si="76"/>
        <v>1</v>
      </c>
      <c r="R423" s="467">
        <f t="shared" si="77"/>
        <v>0</v>
      </c>
      <c r="S423" s="765">
        <f t="shared" ref="S423:S467" si="78">ROUND(R423*B423/10000,0)</f>
        <v>0</v>
      </c>
    </row>
    <row r="424" spans="1:19">
      <c r="A424" s="926"/>
      <c r="B424" s="132"/>
      <c r="C424" s="51">
        <f t="shared" si="69"/>
        <v>1</v>
      </c>
      <c r="D424" s="924"/>
      <c r="E424" s="51">
        <f t="shared" si="70"/>
        <v>1</v>
      </c>
      <c r="F424" s="924"/>
      <c r="G424" s="51">
        <f t="shared" si="71"/>
        <v>1</v>
      </c>
      <c r="H424" s="924"/>
      <c r="I424" s="51">
        <f t="shared" si="72"/>
        <v>1</v>
      </c>
      <c r="J424" s="924"/>
      <c r="K424" s="51">
        <f t="shared" si="73"/>
        <v>1</v>
      </c>
      <c r="L424" s="924"/>
      <c r="M424" s="51">
        <f t="shared" si="74"/>
        <v>1</v>
      </c>
      <c r="N424" s="924"/>
      <c r="O424" s="51">
        <f t="shared" si="75"/>
        <v>1</v>
      </c>
      <c r="P424" s="924"/>
      <c r="Q424" s="51">
        <f t="shared" si="76"/>
        <v>1</v>
      </c>
      <c r="R424" s="467">
        <f t="shared" si="77"/>
        <v>0</v>
      </c>
      <c r="S424" s="765">
        <f t="shared" si="78"/>
        <v>0</v>
      </c>
    </row>
    <row r="425" spans="1:19">
      <c r="A425" s="926"/>
      <c r="B425" s="132"/>
      <c r="C425" s="51">
        <f t="shared" si="69"/>
        <v>1</v>
      </c>
      <c r="D425" s="924"/>
      <c r="E425" s="51">
        <f t="shared" si="70"/>
        <v>1</v>
      </c>
      <c r="F425" s="924"/>
      <c r="G425" s="51">
        <f t="shared" si="71"/>
        <v>1</v>
      </c>
      <c r="H425" s="924"/>
      <c r="I425" s="51">
        <f t="shared" si="72"/>
        <v>1</v>
      </c>
      <c r="J425" s="924"/>
      <c r="K425" s="51">
        <f t="shared" si="73"/>
        <v>1</v>
      </c>
      <c r="L425" s="924"/>
      <c r="M425" s="51">
        <f t="shared" si="74"/>
        <v>1</v>
      </c>
      <c r="N425" s="924"/>
      <c r="O425" s="51">
        <f t="shared" si="75"/>
        <v>1</v>
      </c>
      <c r="P425" s="924"/>
      <c r="Q425" s="51">
        <f t="shared" si="76"/>
        <v>1</v>
      </c>
      <c r="R425" s="467">
        <f t="shared" si="77"/>
        <v>0</v>
      </c>
      <c r="S425" s="765">
        <f t="shared" si="78"/>
        <v>0</v>
      </c>
    </row>
    <row r="426" spans="1:19">
      <c r="A426" s="926"/>
      <c r="B426" s="132"/>
      <c r="C426" s="51">
        <f t="shared" si="69"/>
        <v>1</v>
      </c>
      <c r="D426" s="924"/>
      <c r="E426" s="51">
        <f t="shared" si="70"/>
        <v>1</v>
      </c>
      <c r="F426" s="924"/>
      <c r="G426" s="51">
        <f t="shared" si="71"/>
        <v>1</v>
      </c>
      <c r="H426" s="924"/>
      <c r="I426" s="51">
        <f t="shared" si="72"/>
        <v>1</v>
      </c>
      <c r="J426" s="924"/>
      <c r="K426" s="51">
        <f t="shared" si="73"/>
        <v>1</v>
      </c>
      <c r="L426" s="924"/>
      <c r="M426" s="51">
        <f t="shared" si="74"/>
        <v>1</v>
      </c>
      <c r="N426" s="924"/>
      <c r="O426" s="51">
        <f t="shared" si="75"/>
        <v>1</v>
      </c>
      <c r="P426" s="924"/>
      <c r="Q426" s="51">
        <f t="shared" si="76"/>
        <v>1</v>
      </c>
      <c r="R426" s="467">
        <f t="shared" si="77"/>
        <v>0</v>
      </c>
      <c r="S426" s="765">
        <f t="shared" si="78"/>
        <v>0</v>
      </c>
    </row>
    <row r="427" spans="1:19">
      <c r="A427" s="926"/>
      <c r="B427" s="132"/>
      <c r="C427" s="51">
        <f t="shared" si="69"/>
        <v>1</v>
      </c>
      <c r="D427" s="924"/>
      <c r="E427" s="51">
        <f t="shared" si="70"/>
        <v>1</v>
      </c>
      <c r="F427" s="924"/>
      <c r="G427" s="51">
        <f t="shared" si="71"/>
        <v>1</v>
      </c>
      <c r="H427" s="924"/>
      <c r="I427" s="51">
        <f t="shared" si="72"/>
        <v>1</v>
      </c>
      <c r="J427" s="924"/>
      <c r="K427" s="51">
        <f t="shared" si="73"/>
        <v>1</v>
      </c>
      <c r="L427" s="924"/>
      <c r="M427" s="51">
        <f t="shared" si="74"/>
        <v>1</v>
      </c>
      <c r="N427" s="924"/>
      <c r="O427" s="51">
        <f t="shared" si="75"/>
        <v>1</v>
      </c>
      <c r="P427" s="924"/>
      <c r="Q427" s="51">
        <f t="shared" si="76"/>
        <v>1</v>
      </c>
      <c r="R427" s="467">
        <f t="shared" si="77"/>
        <v>0</v>
      </c>
      <c r="S427" s="765">
        <f t="shared" si="78"/>
        <v>0</v>
      </c>
    </row>
    <row r="428" spans="1:19">
      <c r="A428" s="926"/>
      <c r="B428" s="132"/>
      <c r="C428" s="51">
        <f t="shared" si="69"/>
        <v>1</v>
      </c>
      <c r="D428" s="924"/>
      <c r="E428" s="51">
        <f t="shared" si="70"/>
        <v>1</v>
      </c>
      <c r="F428" s="924"/>
      <c r="G428" s="51">
        <f t="shared" si="71"/>
        <v>1</v>
      </c>
      <c r="H428" s="924"/>
      <c r="I428" s="51">
        <f t="shared" si="72"/>
        <v>1</v>
      </c>
      <c r="J428" s="924"/>
      <c r="K428" s="51">
        <f t="shared" si="73"/>
        <v>1</v>
      </c>
      <c r="L428" s="924"/>
      <c r="M428" s="51">
        <f t="shared" si="74"/>
        <v>1</v>
      </c>
      <c r="N428" s="924"/>
      <c r="O428" s="51">
        <f t="shared" si="75"/>
        <v>1</v>
      </c>
      <c r="P428" s="924"/>
      <c r="Q428" s="51">
        <f t="shared" si="76"/>
        <v>1</v>
      </c>
      <c r="R428" s="467">
        <f t="shared" si="77"/>
        <v>0</v>
      </c>
      <c r="S428" s="765">
        <f t="shared" si="78"/>
        <v>0</v>
      </c>
    </row>
    <row r="429" spans="1:19">
      <c r="A429" s="926"/>
      <c r="B429" s="132"/>
      <c r="C429" s="51">
        <f t="shared" si="69"/>
        <v>1</v>
      </c>
      <c r="D429" s="924"/>
      <c r="E429" s="51">
        <f t="shared" si="70"/>
        <v>1</v>
      </c>
      <c r="F429" s="924"/>
      <c r="G429" s="51">
        <f t="shared" si="71"/>
        <v>1</v>
      </c>
      <c r="H429" s="924"/>
      <c r="I429" s="51">
        <f t="shared" si="72"/>
        <v>1</v>
      </c>
      <c r="J429" s="924"/>
      <c r="K429" s="51">
        <f t="shared" si="73"/>
        <v>1</v>
      </c>
      <c r="L429" s="924"/>
      <c r="M429" s="51">
        <f t="shared" si="74"/>
        <v>1</v>
      </c>
      <c r="N429" s="924"/>
      <c r="O429" s="51">
        <f t="shared" si="75"/>
        <v>1</v>
      </c>
      <c r="P429" s="924"/>
      <c r="Q429" s="51">
        <f t="shared" si="76"/>
        <v>1</v>
      </c>
      <c r="R429" s="467">
        <f t="shared" si="77"/>
        <v>0</v>
      </c>
      <c r="S429" s="765">
        <f t="shared" si="78"/>
        <v>0</v>
      </c>
    </row>
    <row r="430" spans="1:19">
      <c r="A430" s="926"/>
      <c r="B430" s="132"/>
      <c r="C430" s="51">
        <f t="shared" si="69"/>
        <v>1</v>
      </c>
      <c r="D430" s="924"/>
      <c r="E430" s="51">
        <f t="shared" si="70"/>
        <v>1</v>
      </c>
      <c r="F430" s="924"/>
      <c r="G430" s="51">
        <f t="shared" si="71"/>
        <v>1</v>
      </c>
      <c r="H430" s="924"/>
      <c r="I430" s="51">
        <f t="shared" si="72"/>
        <v>1</v>
      </c>
      <c r="J430" s="924"/>
      <c r="K430" s="51">
        <f t="shared" si="73"/>
        <v>1</v>
      </c>
      <c r="L430" s="924"/>
      <c r="M430" s="51">
        <f t="shared" si="74"/>
        <v>1</v>
      </c>
      <c r="N430" s="924"/>
      <c r="O430" s="51">
        <f t="shared" si="75"/>
        <v>1</v>
      </c>
      <c r="P430" s="924"/>
      <c r="Q430" s="51">
        <f t="shared" si="76"/>
        <v>1</v>
      </c>
      <c r="R430" s="467">
        <f t="shared" si="77"/>
        <v>0</v>
      </c>
      <c r="S430" s="765">
        <f t="shared" si="78"/>
        <v>0</v>
      </c>
    </row>
    <row r="431" spans="1:19">
      <c r="A431" s="926"/>
      <c r="B431" s="132"/>
      <c r="C431" s="51">
        <f t="shared" si="69"/>
        <v>1</v>
      </c>
      <c r="D431" s="924"/>
      <c r="E431" s="51">
        <f t="shared" si="70"/>
        <v>1</v>
      </c>
      <c r="F431" s="924"/>
      <c r="G431" s="51">
        <f t="shared" si="71"/>
        <v>1</v>
      </c>
      <c r="H431" s="924"/>
      <c r="I431" s="51">
        <f t="shared" si="72"/>
        <v>1</v>
      </c>
      <c r="J431" s="924"/>
      <c r="K431" s="51">
        <f t="shared" si="73"/>
        <v>1</v>
      </c>
      <c r="L431" s="924"/>
      <c r="M431" s="51">
        <f t="shared" si="74"/>
        <v>1</v>
      </c>
      <c r="N431" s="924"/>
      <c r="O431" s="51">
        <f t="shared" si="75"/>
        <v>1</v>
      </c>
      <c r="P431" s="924"/>
      <c r="Q431" s="51">
        <f t="shared" si="76"/>
        <v>1</v>
      </c>
      <c r="R431" s="467">
        <f t="shared" si="77"/>
        <v>0</v>
      </c>
      <c r="S431" s="765">
        <f t="shared" si="78"/>
        <v>0</v>
      </c>
    </row>
    <row r="432" spans="1:19">
      <c r="A432" s="926"/>
      <c r="B432" s="132"/>
      <c r="C432" s="51">
        <f t="shared" si="69"/>
        <v>1</v>
      </c>
      <c r="D432" s="924"/>
      <c r="E432" s="51">
        <f t="shared" si="70"/>
        <v>1</v>
      </c>
      <c r="F432" s="924"/>
      <c r="G432" s="51">
        <f t="shared" si="71"/>
        <v>1</v>
      </c>
      <c r="H432" s="924"/>
      <c r="I432" s="51">
        <f t="shared" si="72"/>
        <v>1</v>
      </c>
      <c r="J432" s="924"/>
      <c r="K432" s="51">
        <f t="shared" si="73"/>
        <v>1</v>
      </c>
      <c r="L432" s="924"/>
      <c r="M432" s="51">
        <f t="shared" si="74"/>
        <v>1</v>
      </c>
      <c r="N432" s="924"/>
      <c r="O432" s="51">
        <f t="shared" si="75"/>
        <v>1</v>
      </c>
      <c r="P432" s="924"/>
      <c r="Q432" s="51">
        <f t="shared" si="76"/>
        <v>1</v>
      </c>
      <c r="R432" s="467">
        <f t="shared" si="77"/>
        <v>0</v>
      </c>
      <c r="S432" s="765">
        <f t="shared" si="78"/>
        <v>0</v>
      </c>
    </row>
    <row r="433" spans="1:19">
      <c r="A433" s="926"/>
      <c r="B433" s="132"/>
      <c r="C433" s="51">
        <f t="shared" si="69"/>
        <v>1</v>
      </c>
      <c r="D433" s="924"/>
      <c r="E433" s="51">
        <f t="shared" si="70"/>
        <v>1</v>
      </c>
      <c r="F433" s="924"/>
      <c r="G433" s="51">
        <f t="shared" si="71"/>
        <v>1</v>
      </c>
      <c r="H433" s="924"/>
      <c r="I433" s="51">
        <f t="shared" si="72"/>
        <v>1</v>
      </c>
      <c r="J433" s="924"/>
      <c r="K433" s="51">
        <f t="shared" si="73"/>
        <v>1</v>
      </c>
      <c r="L433" s="924"/>
      <c r="M433" s="51">
        <f t="shared" si="74"/>
        <v>1</v>
      </c>
      <c r="N433" s="924"/>
      <c r="O433" s="51">
        <f t="shared" si="75"/>
        <v>1</v>
      </c>
      <c r="P433" s="924"/>
      <c r="Q433" s="51">
        <f t="shared" si="76"/>
        <v>1</v>
      </c>
      <c r="R433" s="467">
        <f t="shared" si="77"/>
        <v>0</v>
      </c>
      <c r="S433" s="765">
        <f t="shared" si="78"/>
        <v>0</v>
      </c>
    </row>
    <row r="434" spans="1:19">
      <c r="A434" s="926"/>
      <c r="B434" s="132"/>
      <c r="C434" s="51">
        <f t="shared" si="69"/>
        <v>1</v>
      </c>
      <c r="D434" s="924"/>
      <c r="E434" s="51">
        <f t="shared" si="70"/>
        <v>1</v>
      </c>
      <c r="F434" s="924"/>
      <c r="G434" s="51">
        <f t="shared" si="71"/>
        <v>1</v>
      </c>
      <c r="H434" s="924"/>
      <c r="I434" s="51">
        <f t="shared" si="72"/>
        <v>1</v>
      </c>
      <c r="J434" s="924"/>
      <c r="K434" s="51">
        <f t="shared" si="73"/>
        <v>1</v>
      </c>
      <c r="L434" s="924"/>
      <c r="M434" s="51">
        <f t="shared" si="74"/>
        <v>1</v>
      </c>
      <c r="N434" s="924"/>
      <c r="O434" s="51">
        <f t="shared" si="75"/>
        <v>1</v>
      </c>
      <c r="P434" s="924"/>
      <c r="Q434" s="51">
        <f t="shared" si="76"/>
        <v>1</v>
      </c>
      <c r="R434" s="467">
        <f t="shared" si="77"/>
        <v>0</v>
      </c>
      <c r="S434" s="765">
        <f t="shared" si="78"/>
        <v>0</v>
      </c>
    </row>
    <row r="435" spans="1:19">
      <c r="A435" s="926"/>
      <c r="B435" s="132"/>
      <c r="C435" s="51">
        <f t="shared" si="69"/>
        <v>1</v>
      </c>
      <c r="D435" s="924"/>
      <c r="E435" s="51">
        <f t="shared" si="70"/>
        <v>1</v>
      </c>
      <c r="F435" s="924"/>
      <c r="G435" s="51">
        <f t="shared" si="71"/>
        <v>1</v>
      </c>
      <c r="H435" s="924"/>
      <c r="I435" s="51">
        <f t="shared" si="72"/>
        <v>1</v>
      </c>
      <c r="J435" s="924"/>
      <c r="K435" s="51">
        <f t="shared" si="73"/>
        <v>1</v>
      </c>
      <c r="L435" s="924"/>
      <c r="M435" s="51">
        <f t="shared" si="74"/>
        <v>1</v>
      </c>
      <c r="N435" s="924"/>
      <c r="O435" s="51">
        <f t="shared" si="75"/>
        <v>1</v>
      </c>
      <c r="P435" s="924"/>
      <c r="Q435" s="51">
        <f t="shared" si="76"/>
        <v>1</v>
      </c>
      <c r="R435" s="467">
        <f t="shared" si="77"/>
        <v>0</v>
      </c>
      <c r="S435" s="765">
        <f t="shared" si="78"/>
        <v>0</v>
      </c>
    </row>
    <row r="436" spans="1:19">
      <c r="A436" s="926"/>
      <c r="B436" s="132"/>
      <c r="C436" s="51">
        <f t="shared" si="69"/>
        <v>1</v>
      </c>
      <c r="D436" s="924"/>
      <c r="E436" s="51">
        <f t="shared" si="70"/>
        <v>1</v>
      </c>
      <c r="F436" s="924"/>
      <c r="G436" s="51">
        <f t="shared" si="71"/>
        <v>1</v>
      </c>
      <c r="H436" s="924"/>
      <c r="I436" s="51">
        <f t="shared" si="72"/>
        <v>1</v>
      </c>
      <c r="J436" s="924"/>
      <c r="K436" s="51">
        <f t="shared" si="73"/>
        <v>1</v>
      </c>
      <c r="L436" s="924"/>
      <c r="M436" s="51">
        <f t="shared" si="74"/>
        <v>1</v>
      </c>
      <c r="N436" s="924"/>
      <c r="O436" s="51">
        <f t="shared" si="75"/>
        <v>1</v>
      </c>
      <c r="P436" s="924"/>
      <c r="Q436" s="51">
        <f t="shared" si="76"/>
        <v>1</v>
      </c>
      <c r="R436" s="467">
        <f t="shared" si="77"/>
        <v>0</v>
      </c>
      <c r="S436" s="765">
        <f t="shared" si="78"/>
        <v>0</v>
      </c>
    </row>
    <row r="437" spans="1:19">
      <c r="A437" s="926"/>
      <c r="B437" s="132"/>
      <c r="C437" s="51">
        <f t="shared" si="69"/>
        <v>1</v>
      </c>
      <c r="D437" s="924"/>
      <c r="E437" s="51">
        <f t="shared" si="70"/>
        <v>1</v>
      </c>
      <c r="F437" s="924"/>
      <c r="G437" s="51">
        <f t="shared" si="71"/>
        <v>1</v>
      </c>
      <c r="H437" s="924"/>
      <c r="I437" s="51">
        <f t="shared" si="72"/>
        <v>1</v>
      </c>
      <c r="J437" s="924"/>
      <c r="K437" s="51">
        <f t="shared" si="73"/>
        <v>1</v>
      </c>
      <c r="L437" s="924"/>
      <c r="M437" s="51">
        <f t="shared" si="74"/>
        <v>1</v>
      </c>
      <c r="N437" s="924"/>
      <c r="O437" s="51">
        <f t="shared" si="75"/>
        <v>1</v>
      </c>
      <c r="P437" s="924"/>
      <c r="Q437" s="51">
        <f t="shared" si="76"/>
        <v>1</v>
      </c>
      <c r="R437" s="467">
        <f t="shared" si="77"/>
        <v>0</v>
      </c>
      <c r="S437" s="765">
        <f t="shared" si="78"/>
        <v>0</v>
      </c>
    </row>
    <row r="438" spans="1:19">
      <c r="A438" s="926"/>
      <c r="B438" s="132"/>
      <c r="C438" s="51">
        <f t="shared" si="69"/>
        <v>1</v>
      </c>
      <c r="D438" s="924"/>
      <c r="E438" s="51">
        <f t="shared" si="70"/>
        <v>1</v>
      </c>
      <c r="F438" s="924"/>
      <c r="G438" s="51">
        <f t="shared" si="71"/>
        <v>1</v>
      </c>
      <c r="H438" s="924"/>
      <c r="I438" s="51">
        <f t="shared" si="72"/>
        <v>1</v>
      </c>
      <c r="J438" s="924"/>
      <c r="K438" s="51">
        <f t="shared" si="73"/>
        <v>1</v>
      </c>
      <c r="L438" s="924"/>
      <c r="M438" s="51">
        <f t="shared" si="74"/>
        <v>1</v>
      </c>
      <c r="N438" s="924"/>
      <c r="O438" s="51">
        <f t="shared" si="75"/>
        <v>1</v>
      </c>
      <c r="P438" s="924"/>
      <c r="Q438" s="51">
        <f t="shared" si="76"/>
        <v>1</v>
      </c>
      <c r="R438" s="467">
        <f t="shared" si="77"/>
        <v>0</v>
      </c>
      <c r="S438" s="765">
        <f t="shared" si="78"/>
        <v>0</v>
      </c>
    </row>
    <row r="439" spans="1:19">
      <c r="A439" s="926"/>
      <c r="B439" s="132"/>
      <c r="C439" s="51">
        <f t="shared" si="69"/>
        <v>1</v>
      </c>
      <c r="D439" s="924"/>
      <c r="E439" s="51">
        <f t="shared" si="70"/>
        <v>1</v>
      </c>
      <c r="F439" s="924"/>
      <c r="G439" s="51">
        <f t="shared" si="71"/>
        <v>1</v>
      </c>
      <c r="H439" s="924"/>
      <c r="I439" s="51">
        <f t="shared" si="72"/>
        <v>1</v>
      </c>
      <c r="J439" s="924"/>
      <c r="K439" s="51">
        <f t="shared" si="73"/>
        <v>1</v>
      </c>
      <c r="L439" s="924"/>
      <c r="M439" s="51">
        <f t="shared" si="74"/>
        <v>1</v>
      </c>
      <c r="N439" s="924"/>
      <c r="O439" s="51">
        <f t="shared" si="75"/>
        <v>1</v>
      </c>
      <c r="P439" s="924"/>
      <c r="Q439" s="51">
        <f t="shared" si="76"/>
        <v>1</v>
      </c>
      <c r="R439" s="467">
        <f t="shared" si="77"/>
        <v>0</v>
      </c>
      <c r="S439" s="765">
        <f t="shared" si="78"/>
        <v>0</v>
      </c>
    </row>
    <row r="440" spans="1:19">
      <c r="A440" s="926"/>
      <c r="B440" s="132"/>
      <c r="C440" s="51">
        <f t="shared" si="69"/>
        <v>1</v>
      </c>
      <c r="D440" s="924"/>
      <c r="E440" s="51">
        <f t="shared" si="70"/>
        <v>1</v>
      </c>
      <c r="F440" s="924"/>
      <c r="G440" s="51">
        <f t="shared" si="71"/>
        <v>1</v>
      </c>
      <c r="H440" s="924"/>
      <c r="I440" s="51">
        <f t="shared" si="72"/>
        <v>1</v>
      </c>
      <c r="J440" s="924"/>
      <c r="K440" s="51">
        <f t="shared" si="73"/>
        <v>1</v>
      </c>
      <c r="L440" s="924"/>
      <c r="M440" s="51">
        <f t="shared" si="74"/>
        <v>1</v>
      </c>
      <c r="N440" s="924"/>
      <c r="O440" s="51">
        <f t="shared" si="75"/>
        <v>1</v>
      </c>
      <c r="P440" s="924"/>
      <c r="Q440" s="51">
        <f t="shared" si="76"/>
        <v>1</v>
      </c>
      <c r="R440" s="467">
        <f t="shared" si="77"/>
        <v>0</v>
      </c>
      <c r="S440" s="765">
        <f t="shared" si="78"/>
        <v>0</v>
      </c>
    </row>
    <row r="441" spans="1:19">
      <c r="A441" s="926"/>
      <c r="B441" s="132"/>
      <c r="C441" s="51">
        <f t="shared" si="69"/>
        <v>1</v>
      </c>
      <c r="D441" s="924"/>
      <c r="E441" s="51">
        <f t="shared" si="70"/>
        <v>1</v>
      </c>
      <c r="F441" s="924"/>
      <c r="G441" s="51">
        <f t="shared" si="71"/>
        <v>1</v>
      </c>
      <c r="H441" s="924"/>
      <c r="I441" s="51">
        <f t="shared" si="72"/>
        <v>1</v>
      </c>
      <c r="J441" s="924"/>
      <c r="K441" s="51">
        <f t="shared" si="73"/>
        <v>1</v>
      </c>
      <c r="L441" s="924"/>
      <c r="M441" s="51">
        <f t="shared" si="74"/>
        <v>1</v>
      </c>
      <c r="N441" s="924"/>
      <c r="O441" s="51">
        <f t="shared" si="75"/>
        <v>1</v>
      </c>
      <c r="P441" s="924"/>
      <c r="Q441" s="51">
        <f t="shared" si="76"/>
        <v>1</v>
      </c>
      <c r="R441" s="467">
        <f t="shared" si="77"/>
        <v>0</v>
      </c>
      <c r="S441" s="765">
        <f t="shared" si="78"/>
        <v>0</v>
      </c>
    </row>
    <row r="442" spans="1:19">
      <c r="A442" s="926"/>
      <c r="B442" s="132"/>
      <c r="C442" s="51">
        <f t="shared" si="69"/>
        <v>1</v>
      </c>
      <c r="D442" s="924"/>
      <c r="E442" s="51">
        <f t="shared" si="70"/>
        <v>1</v>
      </c>
      <c r="F442" s="924"/>
      <c r="G442" s="51">
        <f t="shared" si="71"/>
        <v>1</v>
      </c>
      <c r="H442" s="924"/>
      <c r="I442" s="51">
        <f t="shared" si="72"/>
        <v>1</v>
      </c>
      <c r="J442" s="924"/>
      <c r="K442" s="51">
        <f t="shared" si="73"/>
        <v>1</v>
      </c>
      <c r="L442" s="924"/>
      <c r="M442" s="51">
        <f t="shared" si="74"/>
        <v>1</v>
      </c>
      <c r="N442" s="924"/>
      <c r="O442" s="51">
        <f t="shared" si="75"/>
        <v>1</v>
      </c>
      <c r="P442" s="924"/>
      <c r="Q442" s="51">
        <f t="shared" si="76"/>
        <v>1</v>
      </c>
      <c r="R442" s="467">
        <f t="shared" si="77"/>
        <v>0</v>
      </c>
      <c r="S442" s="765">
        <f t="shared" si="78"/>
        <v>0</v>
      </c>
    </row>
    <row r="443" spans="1:19">
      <c r="A443" s="926"/>
      <c r="B443" s="132"/>
      <c r="C443" s="51">
        <f t="shared" si="69"/>
        <v>1</v>
      </c>
      <c r="D443" s="924"/>
      <c r="E443" s="51">
        <f t="shared" si="70"/>
        <v>1</v>
      </c>
      <c r="F443" s="924"/>
      <c r="G443" s="51">
        <f t="shared" si="71"/>
        <v>1</v>
      </c>
      <c r="H443" s="924"/>
      <c r="I443" s="51">
        <f t="shared" si="72"/>
        <v>1</v>
      </c>
      <c r="J443" s="924"/>
      <c r="K443" s="51">
        <f t="shared" si="73"/>
        <v>1</v>
      </c>
      <c r="L443" s="924"/>
      <c r="M443" s="51">
        <f t="shared" si="74"/>
        <v>1</v>
      </c>
      <c r="N443" s="924"/>
      <c r="O443" s="51">
        <f t="shared" si="75"/>
        <v>1</v>
      </c>
      <c r="P443" s="924"/>
      <c r="Q443" s="51">
        <f t="shared" si="76"/>
        <v>1</v>
      </c>
      <c r="R443" s="467">
        <f t="shared" si="77"/>
        <v>0</v>
      </c>
      <c r="S443" s="765">
        <f t="shared" si="78"/>
        <v>0</v>
      </c>
    </row>
    <row r="444" spans="1:19">
      <c r="A444" s="926"/>
      <c r="B444" s="132"/>
      <c r="C444" s="51">
        <f t="shared" si="69"/>
        <v>1</v>
      </c>
      <c r="D444" s="924"/>
      <c r="E444" s="51">
        <f t="shared" si="70"/>
        <v>1</v>
      </c>
      <c r="F444" s="924"/>
      <c r="G444" s="51">
        <f t="shared" si="71"/>
        <v>1</v>
      </c>
      <c r="H444" s="924"/>
      <c r="I444" s="51">
        <f t="shared" si="72"/>
        <v>1</v>
      </c>
      <c r="J444" s="924"/>
      <c r="K444" s="51">
        <f t="shared" si="73"/>
        <v>1</v>
      </c>
      <c r="L444" s="924"/>
      <c r="M444" s="51">
        <f t="shared" si="74"/>
        <v>1</v>
      </c>
      <c r="N444" s="924"/>
      <c r="O444" s="51">
        <f t="shared" si="75"/>
        <v>1</v>
      </c>
      <c r="P444" s="924"/>
      <c r="Q444" s="51">
        <f t="shared" si="76"/>
        <v>1</v>
      </c>
      <c r="R444" s="467">
        <f t="shared" si="77"/>
        <v>0</v>
      </c>
      <c r="S444" s="765">
        <f t="shared" si="78"/>
        <v>0</v>
      </c>
    </row>
    <row r="445" spans="1:19">
      <c r="A445" s="926"/>
      <c r="B445" s="132"/>
      <c r="C445" s="51">
        <f t="shared" si="69"/>
        <v>1</v>
      </c>
      <c r="D445" s="924"/>
      <c r="E445" s="51">
        <f t="shared" si="70"/>
        <v>1</v>
      </c>
      <c r="F445" s="924"/>
      <c r="G445" s="51">
        <f t="shared" si="71"/>
        <v>1</v>
      </c>
      <c r="H445" s="924"/>
      <c r="I445" s="51">
        <f t="shared" si="72"/>
        <v>1</v>
      </c>
      <c r="J445" s="924"/>
      <c r="K445" s="51">
        <f t="shared" si="73"/>
        <v>1</v>
      </c>
      <c r="L445" s="924"/>
      <c r="M445" s="51">
        <f t="shared" si="74"/>
        <v>1</v>
      </c>
      <c r="N445" s="924"/>
      <c r="O445" s="51">
        <f t="shared" si="75"/>
        <v>1</v>
      </c>
      <c r="P445" s="924"/>
      <c r="Q445" s="51">
        <f t="shared" si="76"/>
        <v>1</v>
      </c>
      <c r="R445" s="467">
        <f t="shared" si="77"/>
        <v>0</v>
      </c>
      <c r="S445" s="765">
        <f t="shared" si="78"/>
        <v>0</v>
      </c>
    </row>
    <row r="446" spans="1:19">
      <c r="A446" s="926"/>
      <c r="B446" s="132"/>
      <c r="C446" s="51">
        <f t="shared" si="69"/>
        <v>1</v>
      </c>
      <c r="D446" s="924"/>
      <c r="E446" s="51">
        <f t="shared" si="70"/>
        <v>1</v>
      </c>
      <c r="F446" s="924"/>
      <c r="G446" s="51">
        <f t="shared" si="71"/>
        <v>1</v>
      </c>
      <c r="H446" s="924"/>
      <c r="I446" s="51">
        <f t="shared" si="72"/>
        <v>1</v>
      </c>
      <c r="J446" s="924"/>
      <c r="K446" s="51">
        <f t="shared" si="73"/>
        <v>1</v>
      </c>
      <c r="L446" s="924"/>
      <c r="M446" s="51">
        <f t="shared" si="74"/>
        <v>1</v>
      </c>
      <c r="N446" s="924"/>
      <c r="O446" s="51">
        <f t="shared" si="75"/>
        <v>1</v>
      </c>
      <c r="P446" s="924"/>
      <c r="Q446" s="51">
        <f t="shared" si="76"/>
        <v>1</v>
      </c>
      <c r="R446" s="467">
        <f t="shared" si="77"/>
        <v>0</v>
      </c>
      <c r="S446" s="765">
        <f t="shared" si="78"/>
        <v>0</v>
      </c>
    </row>
    <row r="447" spans="1:19">
      <c r="A447" s="926"/>
      <c r="B447" s="132"/>
      <c r="C447" s="51">
        <f t="shared" si="69"/>
        <v>1</v>
      </c>
      <c r="D447" s="924"/>
      <c r="E447" s="51">
        <f t="shared" si="70"/>
        <v>1</v>
      </c>
      <c r="F447" s="924"/>
      <c r="G447" s="51">
        <f t="shared" si="71"/>
        <v>1</v>
      </c>
      <c r="H447" s="924"/>
      <c r="I447" s="51">
        <f t="shared" si="72"/>
        <v>1</v>
      </c>
      <c r="J447" s="924"/>
      <c r="K447" s="51">
        <f t="shared" si="73"/>
        <v>1</v>
      </c>
      <c r="L447" s="924"/>
      <c r="M447" s="51">
        <f t="shared" si="74"/>
        <v>1</v>
      </c>
      <c r="N447" s="924"/>
      <c r="O447" s="51">
        <f t="shared" si="75"/>
        <v>1</v>
      </c>
      <c r="P447" s="924"/>
      <c r="Q447" s="51">
        <f t="shared" si="76"/>
        <v>1</v>
      </c>
      <c r="R447" s="467">
        <f t="shared" si="77"/>
        <v>0</v>
      </c>
      <c r="S447" s="765">
        <f t="shared" si="78"/>
        <v>0</v>
      </c>
    </row>
    <row r="448" spans="1:19">
      <c r="A448" s="926"/>
      <c r="B448" s="132"/>
      <c r="C448" s="51">
        <f t="shared" si="69"/>
        <v>1</v>
      </c>
      <c r="D448" s="924"/>
      <c r="E448" s="51">
        <f t="shared" si="70"/>
        <v>1</v>
      </c>
      <c r="F448" s="924"/>
      <c r="G448" s="51">
        <f t="shared" si="71"/>
        <v>1</v>
      </c>
      <c r="H448" s="924"/>
      <c r="I448" s="51">
        <f t="shared" si="72"/>
        <v>1</v>
      </c>
      <c r="J448" s="924"/>
      <c r="K448" s="51">
        <f t="shared" si="73"/>
        <v>1</v>
      </c>
      <c r="L448" s="924"/>
      <c r="M448" s="51">
        <f t="shared" si="74"/>
        <v>1</v>
      </c>
      <c r="N448" s="924"/>
      <c r="O448" s="51">
        <f t="shared" si="75"/>
        <v>1</v>
      </c>
      <c r="P448" s="924"/>
      <c r="Q448" s="51">
        <f t="shared" si="76"/>
        <v>1</v>
      </c>
      <c r="R448" s="467">
        <f t="shared" si="77"/>
        <v>0</v>
      </c>
      <c r="S448" s="765">
        <f t="shared" si="78"/>
        <v>0</v>
      </c>
    </row>
    <row r="449" spans="1:19">
      <c r="A449" s="926"/>
      <c r="B449" s="132"/>
      <c r="C449" s="51">
        <f t="shared" si="69"/>
        <v>1</v>
      </c>
      <c r="D449" s="924"/>
      <c r="E449" s="51">
        <f t="shared" si="70"/>
        <v>1</v>
      </c>
      <c r="F449" s="924"/>
      <c r="G449" s="51">
        <f t="shared" si="71"/>
        <v>1</v>
      </c>
      <c r="H449" s="924"/>
      <c r="I449" s="51">
        <f t="shared" si="72"/>
        <v>1</v>
      </c>
      <c r="J449" s="924"/>
      <c r="K449" s="51">
        <f t="shared" si="73"/>
        <v>1</v>
      </c>
      <c r="L449" s="924"/>
      <c r="M449" s="51">
        <f t="shared" si="74"/>
        <v>1</v>
      </c>
      <c r="N449" s="924"/>
      <c r="O449" s="51">
        <f t="shared" si="75"/>
        <v>1</v>
      </c>
      <c r="P449" s="924"/>
      <c r="Q449" s="51">
        <f t="shared" si="76"/>
        <v>1</v>
      </c>
      <c r="R449" s="467">
        <f t="shared" si="77"/>
        <v>0</v>
      </c>
      <c r="S449" s="765">
        <f t="shared" si="78"/>
        <v>0</v>
      </c>
    </row>
    <row r="450" spans="1:19">
      <c r="A450" s="926"/>
      <c r="B450" s="132"/>
      <c r="C450" s="51">
        <f t="shared" si="69"/>
        <v>1</v>
      </c>
      <c r="D450" s="924"/>
      <c r="E450" s="51">
        <f t="shared" si="70"/>
        <v>1</v>
      </c>
      <c r="F450" s="924"/>
      <c r="G450" s="51">
        <f t="shared" si="71"/>
        <v>1</v>
      </c>
      <c r="H450" s="924"/>
      <c r="I450" s="51">
        <f t="shared" si="72"/>
        <v>1</v>
      </c>
      <c r="J450" s="924"/>
      <c r="K450" s="51">
        <f t="shared" si="73"/>
        <v>1</v>
      </c>
      <c r="L450" s="924"/>
      <c r="M450" s="51">
        <f t="shared" si="74"/>
        <v>1</v>
      </c>
      <c r="N450" s="924"/>
      <c r="O450" s="51">
        <f t="shared" si="75"/>
        <v>1</v>
      </c>
      <c r="P450" s="924"/>
      <c r="Q450" s="51">
        <f t="shared" si="76"/>
        <v>1</v>
      </c>
      <c r="R450" s="467">
        <f t="shared" si="77"/>
        <v>0</v>
      </c>
      <c r="S450" s="765">
        <f t="shared" si="78"/>
        <v>0</v>
      </c>
    </row>
    <row r="451" spans="1:19">
      <c r="A451" s="926"/>
      <c r="B451" s="132"/>
      <c r="C451" s="51">
        <f t="shared" si="69"/>
        <v>1</v>
      </c>
      <c r="D451" s="924"/>
      <c r="E451" s="51">
        <f t="shared" si="70"/>
        <v>1</v>
      </c>
      <c r="F451" s="924"/>
      <c r="G451" s="51">
        <f t="shared" si="71"/>
        <v>1</v>
      </c>
      <c r="H451" s="924"/>
      <c r="I451" s="51">
        <f t="shared" si="72"/>
        <v>1</v>
      </c>
      <c r="J451" s="924"/>
      <c r="K451" s="51">
        <f t="shared" si="73"/>
        <v>1</v>
      </c>
      <c r="L451" s="924"/>
      <c r="M451" s="51">
        <f t="shared" si="74"/>
        <v>1</v>
      </c>
      <c r="N451" s="924"/>
      <c r="O451" s="51">
        <f t="shared" si="75"/>
        <v>1</v>
      </c>
      <c r="P451" s="924"/>
      <c r="Q451" s="51">
        <f t="shared" si="76"/>
        <v>1</v>
      </c>
      <c r="R451" s="467">
        <f t="shared" si="77"/>
        <v>0</v>
      </c>
      <c r="S451" s="765">
        <f t="shared" si="78"/>
        <v>0</v>
      </c>
    </row>
    <row r="452" spans="1:19">
      <c r="A452" s="926"/>
      <c r="B452" s="132"/>
      <c r="C452" s="51">
        <f t="shared" si="69"/>
        <v>1</v>
      </c>
      <c r="D452" s="924"/>
      <c r="E452" s="51">
        <f t="shared" si="70"/>
        <v>1</v>
      </c>
      <c r="F452" s="924"/>
      <c r="G452" s="51">
        <f t="shared" si="71"/>
        <v>1</v>
      </c>
      <c r="H452" s="924"/>
      <c r="I452" s="51">
        <f t="shared" si="72"/>
        <v>1</v>
      </c>
      <c r="J452" s="924"/>
      <c r="K452" s="51">
        <f t="shared" si="73"/>
        <v>1</v>
      </c>
      <c r="L452" s="924"/>
      <c r="M452" s="51">
        <f t="shared" si="74"/>
        <v>1</v>
      </c>
      <c r="N452" s="924"/>
      <c r="O452" s="51">
        <f t="shared" si="75"/>
        <v>1</v>
      </c>
      <c r="P452" s="924"/>
      <c r="Q452" s="51">
        <f t="shared" si="76"/>
        <v>1</v>
      </c>
      <c r="R452" s="467">
        <f t="shared" si="77"/>
        <v>0</v>
      </c>
      <c r="S452" s="765">
        <f t="shared" si="78"/>
        <v>0</v>
      </c>
    </row>
    <row r="453" spans="1:19">
      <c r="A453" s="926"/>
      <c r="B453" s="132"/>
      <c r="C453" s="51">
        <f t="shared" si="69"/>
        <v>1</v>
      </c>
      <c r="D453" s="924"/>
      <c r="E453" s="51">
        <f t="shared" si="70"/>
        <v>1</v>
      </c>
      <c r="F453" s="924"/>
      <c r="G453" s="51">
        <f t="shared" si="71"/>
        <v>1</v>
      </c>
      <c r="H453" s="924"/>
      <c r="I453" s="51">
        <f t="shared" si="72"/>
        <v>1</v>
      </c>
      <c r="J453" s="924"/>
      <c r="K453" s="51">
        <f t="shared" si="73"/>
        <v>1</v>
      </c>
      <c r="L453" s="924"/>
      <c r="M453" s="51">
        <f t="shared" si="74"/>
        <v>1</v>
      </c>
      <c r="N453" s="924"/>
      <c r="O453" s="51">
        <f t="shared" si="75"/>
        <v>1</v>
      </c>
      <c r="P453" s="924"/>
      <c r="Q453" s="51">
        <f t="shared" si="76"/>
        <v>1</v>
      </c>
      <c r="R453" s="467">
        <f t="shared" si="77"/>
        <v>0</v>
      </c>
      <c r="S453" s="765">
        <f t="shared" si="78"/>
        <v>0</v>
      </c>
    </row>
    <row r="454" spans="1:19">
      <c r="A454" s="926"/>
      <c r="B454" s="132"/>
      <c r="C454" s="51">
        <f t="shared" si="69"/>
        <v>1</v>
      </c>
      <c r="D454" s="924"/>
      <c r="E454" s="51">
        <f t="shared" si="70"/>
        <v>1</v>
      </c>
      <c r="F454" s="924"/>
      <c r="G454" s="51">
        <f t="shared" si="71"/>
        <v>1</v>
      </c>
      <c r="H454" s="924"/>
      <c r="I454" s="51">
        <f t="shared" si="72"/>
        <v>1</v>
      </c>
      <c r="J454" s="924"/>
      <c r="K454" s="51">
        <f t="shared" si="73"/>
        <v>1</v>
      </c>
      <c r="L454" s="924"/>
      <c r="M454" s="51">
        <f t="shared" si="74"/>
        <v>1</v>
      </c>
      <c r="N454" s="924"/>
      <c r="O454" s="51">
        <f t="shared" si="75"/>
        <v>1</v>
      </c>
      <c r="P454" s="924"/>
      <c r="Q454" s="51">
        <f t="shared" si="76"/>
        <v>1</v>
      </c>
      <c r="R454" s="467">
        <f t="shared" si="77"/>
        <v>0</v>
      </c>
      <c r="S454" s="765">
        <f t="shared" si="78"/>
        <v>0</v>
      </c>
    </row>
    <row r="455" spans="1:19">
      <c r="A455" s="926"/>
      <c r="B455" s="132"/>
      <c r="C455" s="51">
        <f t="shared" si="69"/>
        <v>1</v>
      </c>
      <c r="D455" s="924"/>
      <c r="E455" s="51">
        <f t="shared" si="70"/>
        <v>1</v>
      </c>
      <c r="F455" s="924"/>
      <c r="G455" s="51">
        <f t="shared" si="71"/>
        <v>1</v>
      </c>
      <c r="H455" s="924"/>
      <c r="I455" s="51">
        <f t="shared" si="72"/>
        <v>1</v>
      </c>
      <c r="J455" s="924"/>
      <c r="K455" s="51">
        <f t="shared" si="73"/>
        <v>1</v>
      </c>
      <c r="L455" s="924"/>
      <c r="M455" s="51">
        <f t="shared" si="74"/>
        <v>1</v>
      </c>
      <c r="N455" s="924"/>
      <c r="O455" s="51">
        <f t="shared" si="75"/>
        <v>1</v>
      </c>
      <c r="P455" s="924"/>
      <c r="Q455" s="51">
        <f t="shared" si="76"/>
        <v>1</v>
      </c>
      <c r="R455" s="467">
        <f t="shared" si="77"/>
        <v>0</v>
      </c>
      <c r="S455" s="765">
        <f t="shared" si="78"/>
        <v>0</v>
      </c>
    </row>
    <row r="456" spans="1:19">
      <c r="A456" s="926"/>
      <c r="B456" s="132"/>
      <c r="C456" s="51">
        <f t="shared" si="69"/>
        <v>1</v>
      </c>
      <c r="D456" s="924"/>
      <c r="E456" s="51">
        <f t="shared" si="70"/>
        <v>1</v>
      </c>
      <c r="F456" s="924"/>
      <c r="G456" s="51">
        <f t="shared" si="71"/>
        <v>1</v>
      </c>
      <c r="H456" s="924"/>
      <c r="I456" s="51">
        <f t="shared" si="72"/>
        <v>1</v>
      </c>
      <c r="J456" s="924"/>
      <c r="K456" s="51">
        <f t="shared" si="73"/>
        <v>1</v>
      </c>
      <c r="L456" s="924"/>
      <c r="M456" s="51">
        <f t="shared" si="74"/>
        <v>1</v>
      </c>
      <c r="N456" s="924"/>
      <c r="O456" s="51">
        <f t="shared" si="75"/>
        <v>1</v>
      </c>
      <c r="P456" s="924"/>
      <c r="Q456" s="51">
        <f t="shared" si="76"/>
        <v>1</v>
      </c>
      <c r="R456" s="467">
        <f t="shared" si="77"/>
        <v>0</v>
      </c>
      <c r="S456" s="765">
        <f t="shared" si="78"/>
        <v>0</v>
      </c>
    </row>
    <row r="457" spans="1:19">
      <c r="A457" s="926"/>
      <c r="B457" s="132"/>
      <c r="C457" s="51">
        <f t="shared" si="69"/>
        <v>1</v>
      </c>
      <c r="D457" s="924"/>
      <c r="E457" s="51">
        <f t="shared" si="70"/>
        <v>1</v>
      </c>
      <c r="F457" s="924"/>
      <c r="G457" s="51">
        <f t="shared" si="71"/>
        <v>1</v>
      </c>
      <c r="H457" s="924"/>
      <c r="I457" s="51">
        <f t="shared" si="72"/>
        <v>1</v>
      </c>
      <c r="J457" s="924"/>
      <c r="K457" s="51">
        <f t="shared" si="73"/>
        <v>1</v>
      </c>
      <c r="L457" s="924"/>
      <c r="M457" s="51">
        <f t="shared" si="74"/>
        <v>1</v>
      </c>
      <c r="N457" s="924"/>
      <c r="O457" s="51">
        <f t="shared" si="75"/>
        <v>1</v>
      </c>
      <c r="P457" s="924"/>
      <c r="Q457" s="51">
        <f t="shared" si="76"/>
        <v>1</v>
      </c>
      <c r="R457" s="467">
        <f t="shared" si="77"/>
        <v>0</v>
      </c>
      <c r="S457" s="765">
        <f t="shared" si="78"/>
        <v>0</v>
      </c>
    </row>
    <row r="458" spans="1:19">
      <c r="A458" s="926"/>
      <c r="B458" s="132"/>
      <c r="C458" s="51">
        <f t="shared" si="69"/>
        <v>1</v>
      </c>
      <c r="D458" s="924"/>
      <c r="E458" s="51">
        <f t="shared" si="70"/>
        <v>1</v>
      </c>
      <c r="F458" s="924"/>
      <c r="G458" s="51">
        <f t="shared" si="71"/>
        <v>1</v>
      </c>
      <c r="H458" s="924"/>
      <c r="I458" s="51">
        <f t="shared" si="72"/>
        <v>1</v>
      </c>
      <c r="J458" s="924"/>
      <c r="K458" s="51">
        <f t="shared" si="73"/>
        <v>1</v>
      </c>
      <c r="L458" s="924"/>
      <c r="M458" s="51">
        <f t="shared" si="74"/>
        <v>1</v>
      </c>
      <c r="N458" s="924"/>
      <c r="O458" s="51">
        <f t="shared" si="75"/>
        <v>1</v>
      </c>
      <c r="P458" s="924"/>
      <c r="Q458" s="51">
        <f t="shared" si="76"/>
        <v>1</v>
      </c>
      <c r="R458" s="467">
        <f t="shared" si="77"/>
        <v>0</v>
      </c>
      <c r="S458" s="765">
        <f t="shared" si="78"/>
        <v>0</v>
      </c>
    </row>
    <row r="459" spans="1:19">
      <c r="A459" s="926"/>
      <c r="B459" s="132"/>
      <c r="C459" s="51">
        <f t="shared" si="69"/>
        <v>1</v>
      </c>
      <c r="D459" s="924"/>
      <c r="E459" s="51">
        <f t="shared" si="70"/>
        <v>1</v>
      </c>
      <c r="F459" s="924"/>
      <c r="G459" s="51">
        <f t="shared" si="71"/>
        <v>1</v>
      </c>
      <c r="H459" s="924"/>
      <c r="I459" s="51">
        <f t="shared" si="72"/>
        <v>1</v>
      </c>
      <c r="J459" s="924"/>
      <c r="K459" s="51">
        <f t="shared" si="73"/>
        <v>1</v>
      </c>
      <c r="L459" s="924"/>
      <c r="M459" s="51">
        <f t="shared" si="74"/>
        <v>1</v>
      </c>
      <c r="N459" s="924"/>
      <c r="O459" s="51">
        <f t="shared" si="75"/>
        <v>1</v>
      </c>
      <c r="P459" s="924"/>
      <c r="Q459" s="51">
        <f t="shared" si="76"/>
        <v>1</v>
      </c>
      <c r="R459" s="467">
        <f t="shared" si="77"/>
        <v>0</v>
      </c>
      <c r="S459" s="765">
        <f t="shared" si="78"/>
        <v>0</v>
      </c>
    </row>
    <row r="460" spans="1:19">
      <c r="A460" s="926"/>
      <c r="B460" s="132"/>
      <c r="C460" s="51">
        <f t="shared" si="69"/>
        <v>1</v>
      </c>
      <c r="D460" s="924"/>
      <c r="E460" s="51">
        <f t="shared" si="70"/>
        <v>1</v>
      </c>
      <c r="F460" s="924"/>
      <c r="G460" s="51">
        <f t="shared" si="71"/>
        <v>1</v>
      </c>
      <c r="H460" s="924"/>
      <c r="I460" s="51">
        <f t="shared" si="72"/>
        <v>1</v>
      </c>
      <c r="J460" s="924"/>
      <c r="K460" s="51">
        <f t="shared" si="73"/>
        <v>1</v>
      </c>
      <c r="L460" s="924"/>
      <c r="M460" s="51">
        <f t="shared" si="74"/>
        <v>1</v>
      </c>
      <c r="N460" s="924"/>
      <c r="O460" s="51">
        <f t="shared" si="75"/>
        <v>1</v>
      </c>
      <c r="P460" s="924"/>
      <c r="Q460" s="51">
        <f t="shared" si="76"/>
        <v>1</v>
      </c>
      <c r="R460" s="467">
        <f t="shared" si="77"/>
        <v>0</v>
      </c>
      <c r="S460" s="765">
        <f t="shared" si="78"/>
        <v>0</v>
      </c>
    </row>
    <row r="461" spans="1:19">
      <c r="A461" s="926"/>
      <c r="B461" s="132"/>
      <c r="C461" s="51">
        <f t="shared" si="69"/>
        <v>1</v>
      </c>
      <c r="D461" s="924"/>
      <c r="E461" s="51">
        <f t="shared" si="70"/>
        <v>1</v>
      </c>
      <c r="F461" s="924"/>
      <c r="G461" s="51">
        <f t="shared" si="71"/>
        <v>1</v>
      </c>
      <c r="H461" s="924"/>
      <c r="I461" s="51">
        <f t="shared" si="72"/>
        <v>1</v>
      </c>
      <c r="J461" s="924"/>
      <c r="K461" s="51">
        <f t="shared" si="73"/>
        <v>1</v>
      </c>
      <c r="L461" s="924"/>
      <c r="M461" s="51">
        <f t="shared" si="74"/>
        <v>1</v>
      </c>
      <c r="N461" s="924"/>
      <c r="O461" s="51">
        <f t="shared" si="75"/>
        <v>1</v>
      </c>
      <c r="P461" s="924"/>
      <c r="Q461" s="51">
        <f t="shared" si="76"/>
        <v>1</v>
      </c>
      <c r="R461" s="467">
        <f t="shared" si="77"/>
        <v>0</v>
      </c>
      <c r="S461" s="765">
        <f t="shared" si="78"/>
        <v>0</v>
      </c>
    </row>
    <row r="462" spans="1:19">
      <c r="A462" s="926"/>
      <c r="B462" s="132"/>
      <c r="C462" s="51">
        <f t="shared" si="69"/>
        <v>1</v>
      </c>
      <c r="D462" s="924"/>
      <c r="E462" s="51">
        <f t="shared" si="70"/>
        <v>1</v>
      </c>
      <c r="F462" s="924"/>
      <c r="G462" s="51">
        <f t="shared" si="71"/>
        <v>1</v>
      </c>
      <c r="H462" s="924"/>
      <c r="I462" s="51">
        <f t="shared" si="72"/>
        <v>1</v>
      </c>
      <c r="J462" s="924"/>
      <c r="K462" s="51">
        <f t="shared" si="73"/>
        <v>1</v>
      </c>
      <c r="L462" s="924"/>
      <c r="M462" s="51">
        <f t="shared" si="74"/>
        <v>1</v>
      </c>
      <c r="N462" s="924"/>
      <c r="O462" s="51">
        <f t="shared" si="75"/>
        <v>1</v>
      </c>
      <c r="P462" s="924"/>
      <c r="Q462" s="51">
        <f t="shared" si="76"/>
        <v>1</v>
      </c>
      <c r="R462" s="467">
        <f t="shared" si="77"/>
        <v>0</v>
      </c>
      <c r="S462" s="765">
        <f t="shared" si="78"/>
        <v>0</v>
      </c>
    </row>
    <row r="463" spans="1:19">
      <c r="A463" s="926"/>
      <c r="B463" s="132"/>
      <c r="C463" s="51">
        <f t="shared" si="69"/>
        <v>1</v>
      </c>
      <c r="D463" s="924"/>
      <c r="E463" s="51">
        <f t="shared" si="70"/>
        <v>1</v>
      </c>
      <c r="F463" s="924"/>
      <c r="G463" s="51">
        <f t="shared" si="71"/>
        <v>1</v>
      </c>
      <c r="H463" s="924"/>
      <c r="I463" s="51">
        <f t="shared" si="72"/>
        <v>1</v>
      </c>
      <c r="J463" s="924"/>
      <c r="K463" s="51">
        <f t="shared" si="73"/>
        <v>1</v>
      </c>
      <c r="L463" s="924"/>
      <c r="M463" s="51">
        <f t="shared" si="74"/>
        <v>1</v>
      </c>
      <c r="N463" s="924"/>
      <c r="O463" s="51">
        <f t="shared" si="75"/>
        <v>1</v>
      </c>
      <c r="P463" s="924"/>
      <c r="Q463" s="51">
        <f t="shared" si="76"/>
        <v>1</v>
      </c>
      <c r="R463" s="467">
        <f t="shared" si="77"/>
        <v>0</v>
      </c>
      <c r="S463" s="765">
        <f t="shared" si="78"/>
        <v>0</v>
      </c>
    </row>
    <row r="464" spans="1:19">
      <c r="A464" s="926"/>
      <c r="B464" s="132"/>
      <c r="C464" s="51">
        <f t="shared" si="69"/>
        <v>1</v>
      </c>
      <c r="D464" s="924"/>
      <c r="E464" s="51">
        <f t="shared" si="70"/>
        <v>1</v>
      </c>
      <c r="F464" s="924"/>
      <c r="G464" s="51">
        <f t="shared" si="71"/>
        <v>1</v>
      </c>
      <c r="H464" s="924"/>
      <c r="I464" s="51">
        <f t="shared" si="72"/>
        <v>1</v>
      </c>
      <c r="J464" s="924"/>
      <c r="K464" s="51">
        <f t="shared" si="73"/>
        <v>1</v>
      </c>
      <c r="L464" s="924"/>
      <c r="M464" s="51">
        <f t="shared" si="74"/>
        <v>1</v>
      </c>
      <c r="N464" s="924"/>
      <c r="O464" s="51">
        <f t="shared" si="75"/>
        <v>1</v>
      </c>
      <c r="P464" s="924"/>
      <c r="Q464" s="51">
        <f t="shared" si="76"/>
        <v>1</v>
      </c>
      <c r="R464" s="467">
        <f t="shared" si="77"/>
        <v>0</v>
      </c>
      <c r="S464" s="765">
        <f t="shared" si="78"/>
        <v>0</v>
      </c>
    </row>
    <row r="465" spans="1:19">
      <c r="A465" s="926"/>
      <c r="B465" s="132"/>
      <c r="C465" s="51">
        <f t="shared" si="69"/>
        <v>1</v>
      </c>
      <c r="D465" s="924"/>
      <c r="E465" s="51">
        <f t="shared" si="70"/>
        <v>1</v>
      </c>
      <c r="F465" s="924"/>
      <c r="G465" s="51">
        <f t="shared" si="71"/>
        <v>1</v>
      </c>
      <c r="H465" s="924"/>
      <c r="I465" s="51">
        <f t="shared" si="72"/>
        <v>1</v>
      </c>
      <c r="J465" s="924"/>
      <c r="K465" s="51">
        <f t="shared" si="73"/>
        <v>1</v>
      </c>
      <c r="L465" s="924"/>
      <c r="M465" s="51">
        <f t="shared" si="74"/>
        <v>1</v>
      </c>
      <c r="N465" s="924"/>
      <c r="O465" s="51">
        <f t="shared" si="75"/>
        <v>1</v>
      </c>
      <c r="P465" s="924"/>
      <c r="Q465" s="51">
        <f t="shared" si="76"/>
        <v>1</v>
      </c>
      <c r="R465" s="467">
        <f t="shared" si="77"/>
        <v>0</v>
      </c>
      <c r="S465" s="765">
        <f t="shared" si="78"/>
        <v>0</v>
      </c>
    </row>
    <row r="466" spans="1:19">
      <c r="A466" s="926"/>
      <c r="B466" s="132"/>
      <c r="C466" s="51">
        <f t="shared" si="69"/>
        <v>1</v>
      </c>
      <c r="D466" s="924"/>
      <c r="E466" s="51">
        <f t="shared" si="70"/>
        <v>1</v>
      </c>
      <c r="F466" s="924"/>
      <c r="G466" s="51">
        <f t="shared" si="71"/>
        <v>1</v>
      </c>
      <c r="H466" s="924"/>
      <c r="I466" s="51">
        <f t="shared" si="72"/>
        <v>1</v>
      </c>
      <c r="J466" s="924"/>
      <c r="K466" s="51">
        <f t="shared" si="73"/>
        <v>1</v>
      </c>
      <c r="L466" s="924"/>
      <c r="M466" s="51">
        <f t="shared" si="74"/>
        <v>1</v>
      </c>
      <c r="N466" s="924"/>
      <c r="O466" s="51">
        <f t="shared" si="75"/>
        <v>1</v>
      </c>
      <c r="P466" s="924"/>
      <c r="Q466" s="51">
        <f t="shared" si="76"/>
        <v>1</v>
      </c>
      <c r="R466" s="467">
        <f t="shared" si="77"/>
        <v>0</v>
      </c>
      <c r="S466" s="765">
        <f t="shared" si="78"/>
        <v>0</v>
      </c>
    </row>
    <row r="467" spans="1:19">
      <c r="A467" s="926"/>
      <c r="B467" s="132"/>
      <c r="C467" s="51">
        <f t="shared" si="69"/>
        <v>1</v>
      </c>
      <c r="D467" s="924"/>
      <c r="E467" s="51">
        <f t="shared" si="70"/>
        <v>1</v>
      </c>
      <c r="F467" s="924"/>
      <c r="G467" s="51">
        <f t="shared" si="71"/>
        <v>1</v>
      </c>
      <c r="H467" s="924"/>
      <c r="I467" s="51">
        <f t="shared" si="72"/>
        <v>1</v>
      </c>
      <c r="J467" s="924"/>
      <c r="K467" s="51">
        <f t="shared" si="73"/>
        <v>1</v>
      </c>
      <c r="L467" s="924"/>
      <c r="M467" s="51">
        <f t="shared" si="74"/>
        <v>1</v>
      </c>
      <c r="N467" s="924"/>
      <c r="O467" s="51">
        <f t="shared" si="75"/>
        <v>1</v>
      </c>
      <c r="P467" s="924"/>
      <c r="Q467" s="51">
        <f t="shared" si="76"/>
        <v>1</v>
      </c>
      <c r="R467" s="467">
        <f t="shared" si="77"/>
        <v>0</v>
      </c>
      <c r="S467" s="765">
        <f t="shared" si="78"/>
        <v>0</v>
      </c>
    </row>
    <row r="468" spans="1:19">
      <c r="A468" s="926"/>
      <c r="B468" s="132"/>
      <c r="C468" s="51">
        <f t="shared" si="69"/>
        <v>1</v>
      </c>
      <c r="D468" s="924"/>
      <c r="E468" s="51">
        <f t="shared" si="70"/>
        <v>1</v>
      </c>
      <c r="F468" s="924"/>
      <c r="G468" s="51">
        <f t="shared" si="71"/>
        <v>1</v>
      </c>
      <c r="H468" s="924"/>
      <c r="I468" s="51">
        <f t="shared" si="72"/>
        <v>1</v>
      </c>
      <c r="J468" s="924"/>
      <c r="K468" s="51">
        <f t="shared" si="73"/>
        <v>1</v>
      </c>
      <c r="L468" s="924"/>
      <c r="M468" s="51">
        <f t="shared" si="74"/>
        <v>1</v>
      </c>
      <c r="N468" s="924"/>
      <c r="O468" s="51">
        <f t="shared" si="75"/>
        <v>1</v>
      </c>
      <c r="P468" s="924"/>
      <c r="Q468" s="51">
        <f t="shared" si="76"/>
        <v>1</v>
      </c>
      <c r="R468" s="467">
        <f t="shared" si="77"/>
        <v>0</v>
      </c>
      <c r="S468" s="765">
        <f t="shared" ref="S468:S497" si="79">ROUND(R468*B468/10000,0)</f>
        <v>0</v>
      </c>
    </row>
    <row r="469" spans="1:19">
      <c r="A469" s="926"/>
      <c r="B469" s="132"/>
      <c r="C469" s="51">
        <f t="shared" si="69"/>
        <v>1</v>
      </c>
      <c r="D469" s="924"/>
      <c r="E469" s="51">
        <f t="shared" si="70"/>
        <v>1</v>
      </c>
      <c r="F469" s="924"/>
      <c r="G469" s="51">
        <f t="shared" si="71"/>
        <v>1</v>
      </c>
      <c r="H469" s="924"/>
      <c r="I469" s="51">
        <f t="shared" si="72"/>
        <v>1</v>
      </c>
      <c r="J469" s="924"/>
      <c r="K469" s="51">
        <f t="shared" si="73"/>
        <v>1</v>
      </c>
      <c r="L469" s="924"/>
      <c r="M469" s="51">
        <f t="shared" si="74"/>
        <v>1</v>
      </c>
      <c r="N469" s="924"/>
      <c r="O469" s="51">
        <f t="shared" si="75"/>
        <v>1</v>
      </c>
      <c r="P469" s="924"/>
      <c r="Q469" s="51">
        <f t="shared" si="76"/>
        <v>1</v>
      </c>
      <c r="R469" s="467">
        <f t="shared" si="77"/>
        <v>0</v>
      </c>
      <c r="S469" s="765">
        <f t="shared" si="79"/>
        <v>0</v>
      </c>
    </row>
    <row r="470" spans="1:19">
      <c r="A470" s="926"/>
      <c r="B470" s="132"/>
      <c r="C470" s="51">
        <f t="shared" si="69"/>
        <v>1</v>
      </c>
      <c r="D470" s="924"/>
      <c r="E470" s="51">
        <f t="shared" si="70"/>
        <v>1</v>
      </c>
      <c r="F470" s="924"/>
      <c r="G470" s="51">
        <f t="shared" si="71"/>
        <v>1</v>
      </c>
      <c r="H470" s="924"/>
      <c r="I470" s="51">
        <f t="shared" si="72"/>
        <v>1</v>
      </c>
      <c r="J470" s="924"/>
      <c r="K470" s="51">
        <f t="shared" si="73"/>
        <v>1</v>
      </c>
      <c r="L470" s="924"/>
      <c r="M470" s="51">
        <f t="shared" si="74"/>
        <v>1</v>
      </c>
      <c r="N470" s="924"/>
      <c r="O470" s="51">
        <f t="shared" si="75"/>
        <v>1</v>
      </c>
      <c r="P470" s="924"/>
      <c r="Q470" s="51">
        <f t="shared" si="76"/>
        <v>1</v>
      </c>
      <c r="R470" s="467">
        <f t="shared" si="77"/>
        <v>0</v>
      </c>
      <c r="S470" s="765">
        <f t="shared" si="79"/>
        <v>0</v>
      </c>
    </row>
    <row r="471" spans="1:19">
      <c r="A471" s="926"/>
      <c r="B471" s="132"/>
      <c r="C471" s="51">
        <f t="shared" si="69"/>
        <v>1</v>
      </c>
      <c r="D471" s="924"/>
      <c r="E471" s="51">
        <f t="shared" si="70"/>
        <v>1</v>
      </c>
      <c r="F471" s="924"/>
      <c r="G471" s="51">
        <f t="shared" si="71"/>
        <v>1</v>
      </c>
      <c r="H471" s="924"/>
      <c r="I471" s="51">
        <f t="shared" si="72"/>
        <v>1</v>
      </c>
      <c r="J471" s="924"/>
      <c r="K471" s="51">
        <f t="shared" si="73"/>
        <v>1</v>
      </c>
      <c r="L471" s="924"/>
      <c r="M471" s="51">
        <f t="shared" si="74"/>
        <v>1</v>
      </c>
      <c r="N471" s="924"/>
      <c r="O471" s="51">
        <f t="shared" si="75"/>
        <v>1</v>
      </c>
      <c r="P471" s="924"/>
      <c r="Q471" s="51">
        <f t="shared" si="76"/>
        <v>1</v>
      </c>
      <c r="R471" s="467">
        <f t="shared" si="77"/>
        <v>0</v>
      </c>
      <c r="S471" s="765">
        <f t="shared" si="79"/>
        <v>0</v>
      </c>
    </row>
    <row r="472" spans="1:19">
      <c r="A472" s="926"/>
      <c r="B472" s="132"/>
      <c r="C472" s="51">
        <f t="shared" si="69"/>
        <v>1</v>
      </c>
      <c r="D472" s="924"/>
      <c r="E472" s="51">
        <f t="shared" si="70"/>
        <v>1</v>
      </c>
      <c r="F472" s="924"/>
      <c r="G472" s="51">
        <f t="shared" si="71"/>
        <v>1</v>
      </c>
      <c r="H472" s="924"/>
      <c r="I472" s="51">
        <f t="shared" si="72"/>
        <v>1</v>
      </c>
      <c r="J472" s="924"/>
      <c r="K472" s="51">
        <f t="shared" si="73"/>
        <v>1</v>
      </c>
      <c r="L472" s="924"/>
      <c r="M472" s="51">
        <f t="shared" si="74"/>
        <v>1</v>
      </c>
      <c r="N472" s="924"/>
      <c r="O472" s="51">
        <f t="shared" si="75"/>
        <v>1</v>
      </c>
      <c r="P472" s="924"/>
      <c r="Q472" s="51">
        <f t="shared" si="76"/>
        <v>1</v>
      </c>
      <c r="R472" s="467">
        <f t="shared" si="77"/>
        <v>0</v>
      </c>
      <c r="S472" s="765">
        <f t="shared" si="79"/>
        <v>0</v>
      </c>
    </row>
    <row r="473" spans="1:19">
      <c r="A473" s="926"/>
      <c r="B473" s="132"/>
      <c r="C473" s="51">
        <f t="shared" si="69"/>
        <v>1</v>
      </c>
      <c r="D473" s="924"/>
      <c r="E473" s="51">
        <f t="shared" si="70"/>
        <v>1</v>
      </c>
      <c r="F473" s="924"/>
      <c r="G473" s="51">
        <f t="shared" si="71"/>
        <v>1</v>
      </c>
      <c r="H473" s="924"/>
      <c r="I473" s="51">
        <f t="shared" si="72"/>
        <v>1</v>
      </c>
      <c r="J473" s="924"/>
      <c r="K473" s="51">
        <f t="shared" si="73"/>
        <v>1</v>
      </c>
      <c r="L473" s="924"/>
      <c r="M473" s="51">
        <f t="shared" si="74"/>
        <v>1</v>
      </c>
      <c r="N473" s="924"/>
      <c r="O473" s="51">
        <f t="shared" si="75"/>
        <v>1</v>
      </c>
      <c r="P473" s="924"/>
      <c r="Q473" s="51">
        <f t="shared" si="76"/>
        <v>1</v>
      </c>
      <c r="R473" s="467">
        <f t="shared" si="77"/>
        <v>0</v>
      </c>
      <c r="S473" s="765">
        <f t="shared" si="79"/>
        <v>0</v>
      </c>
    </row>
    <row r="474" spans="1:19">
      <c r="A474" s="926"/>
      <c r="B474" s="132"/>
      <c r="C474" s="51">
        <f t="shared" ref="C474:C524" si="80">IF(B474="",1,(LOOKUP(B474,$3:$3,$4:$4)-LOOKUP($B$24,$3:$3,$4:$4)+100)/100)</f>
        <v>1</v>
      </c>
      <c r="D474" s="924"/>
      <c r="E474" s="51">
        <f t="shared" ref="E474:E524" si="81">(SUMIF($5:$5,D474,$6:$6)-SUMIF($5:$5,$D$24,$6:$6)+100)/100</f>
        <v>1</v>
      </c>
      <c r="F474" s="924"/>
      <c r="G474" s="51">
        <f t="shared" ref="G474:G524" si="82">(SUMIF($7:$7,F474,$8:$8)-SUMIF($7:$7,$F$24,$8:$8)+100)/100</f>
        <v>1</v>
      </c>
      <c r="H474" s="924"/>
      <c r="I474" s="51">
        <f t="shared" ref="I474:I524" si="83">(SUMIF($9:$9,H474,$10:$10)-SUMIF($9:$9,$H$24,$10:$10)+100)/100</f>
        <v>1</v>
      </c>
      <c r="J474" s="924"/>
      <c r="K474" s="51">
        <f t="shared" ref="K474:K524" si="84">(SUMIF($11:$11,J474,$12:$12)-SUMIF($11:$11,$J$24,$12:$12)+100)/100</f>
        <v>1</v>
      </c>
      <c r="L474" s="924"/>
      <c r="M474" s="51">
        <f t="shared" ref="M474:M524" si="85">(SUMIF($13:$13,L474,$14:$14)-SUMIF($13:$13,$L$24,$14:$14)+100)/100</f>
        <v>1</v>
      </c>
      <c r="N474" s="924"/>
      <c r="O474" s="51">
        <f t="shared" ref="O474:O524" si="86">(SUMIF($15:$15,N474,$16:$16)-SUMIF($15:$15,$N$24,$16:$16)+100)/100</f>
        <v>1</v>
      </c>
      <c r="P474" s="924"/>
      <c r="Q474" s="51">
        <f t="shared" ref="Q474:Q524" si="87">(SUMIF($17:$17,P474,$18:$18)-SUMIF($17:$17,$P$24,$18:$18)+100)/100</f>
        <v>1</v>
      </c>
      <c r="R474" s="467">
        <f t="shared" ref="R474:R524" si="88">IF(B474="",0,ROUND($R$24*C474*E474*G474*I474*K474*M474*O474*Q474,0))</f>
        <v>0</v>
      </c>
      <c r="S474" s="765">
        <f t="shared" si="79"/>
        <v>0</v>
      </c>
    </row>
    <row r="475" spans="1:19">
      <c r="A475" s="926"/>
      <c r="B475" s="132"/>
      <c r="C475" s="51">
        <f t="shared" si="80"/>
        <v>1</v>
      </c>
      <c r="D475" s="924"/>
      <c r="E475" s="51">
        <f t="shared" si="81"/>
        <v>1</v>
      </c>
      <c r="F475" s="924"/>
      <c r="G475" s="51">
        <f t="shared" si="82"/>
        <v>1</v>
      </c>
      <c r="H475" s="924"/>
      <c r="I475" s="51">
        <f t="shared" si="83"/>
        <v>1</v>
      </c>
      <c r="J475" s="924"/>
      <c r="K475" s="51">
        <f t="shared" si="84"/>
        <v>1</v>
      </c>
      <c r="L475" s="924"/>
      <c r="M475" s="51">
        <f t="shared" si="85"/>
        <v>1</v>
      </c>
      <c r="N475" s="924"/>
      <c r="O475" s="51">
        <f t="shared" si="86"/>
        <v>1</v>
      </c>
      <c r="P475" s="924"/>
      <c r="Q475" s="51">
        <f t="shared" si="87"/>
        <v>1</v>
      </c>
      <c r="R475" s="467">
        <f t="shared" si="88"/>
        <v>0</v>
      </c>
      <c r="S475" s="765">
        <f t="shared" si="79"/>
        <v>0</v>
      </c>
    </row>
    <row r="476" spans="1:19">
      <c r="A476" s="926"/>
      <c r="B476" s="132"/>
      <c r="C476" s="51">
        <f t="shared" si="80"/>
        <v>1</v>
      </c>
      <c r="D476" s="924"/>
      <c r="E476" s="51">
        <f t="shared" si="81"/>
        <v>1</v>
      </c>
      <c r="F476" s="924"/>
      <c r="G476" s="51">
        <f t="shared" si="82"/>
        <v>1</v>
      </c>
      <c r="H476" s="924"/>
      <c r="I476" s="51">
        <f t="shared" si="83"/>
        <v>1</v>
      </c>
      <c r="J476" s="924"/>
      <c r="K476" s="51">
        <f t="shared" si="84"/>
        <v>1</v>
      </c>
      <c r="L476" s="924"/>
      <c r="M476" s="51">
        <f t="shared" si="85"/>
        <v>1</v>
      </c>
      <c r="N476" s="924"/>
      <c r="O476" s="51">
        <f t="shared" si="86"/>
        <v>1</v>
      </c>
      <c r="P476" s="924"/>
      <c r="Q476" s="51">
        <f t="shared" si="87"/>
        <v>1</v>
      </c>
      <c r="R476" s="467">
        <f t="shared" si="88"/>
        <v>0</v>
      </c>
      <c r="S476" s="765">
        <f t="shared" si="79"/>
        <v>0</v>
      </c>
    </row>
    <row r="477" spans="1:19">
      <c r="A477" s="926"/>
      <c r="B477" s="132"/>
      <c r="C477" s="51">
        <f t="shared" si="80"/>
        <v>1</v>
      </c>
      <c r="D477" s="924"/>
      <c r="E477" s="51">
        <f t="shared" si="81"/>
        <v>1</v>
      </c>
      <c r="F477" s="924"/>
      <c r="G477" s="51">
        <f t="shared" si="82"/>
        <v>1</v>
      </c>
      <c r="H477" s="924"/>
      <c r="I477" s="51">
        <f t="shared" si="83"/>
        <v>1</v>
      </c>
      <c r="J477" s="924"/>
      <c r="K477" s="51">
        <f t="shared" si="84"/>
        <v>1</v>
      </c>
      <c r="L477" s="924"/>
      <c r="M477" s="51">
        <f t="shared" si="85"/>
        <v>1</v>
      </c>
      <c r="N477" s="924"/>
      <c r="O477" s="51">
        <f t="shared" si="86"/>
        <v>1</v>
      </c>
      <c r="P477" s="924"/>
      <c r="Q477" s="51">
        <f t="shared" si="87"/>
        <v>1</v>
      </c>
      <c r="R477" s="467">
        <f t="shared" si="88"/>
        <v>0</v>
      </c>
      <c r="S477" s="765">
        <f t="shared" si="79"/>
        <v>0</v>
      </c>
    </row>
    <row r="478" spans="1:19">
      <c r="A478" s="926"/>
      <c r="B478" s="132"/>
      <c r="C478" s="51">
        <f t="shared" si="80"/>
        <v>1</v>
      </c>
      <c r="D478" s="924"/>
      <c r="E478" s="51">
        <f t="shared" si="81"/>
        <v>1</v>
      </c>
      <c r="F478" s="924"/>
      <c r="G478" s="51">
        <f t="shared" si="82"/>
        <v>1</v>
      </c>
      <c r="H478" s="924"/>
      <c r="I478" s="51">
        <f t="shared" si="83"/>
        <v>1</v>
      </c>
      <c r="J478" s="924"/>
      <c r="K478" s="51">
        <f t="shared" si="84"/>
        <v>1</v>
      </c>
      <c r="L478" s="924"/>
      <c r="M478" s="51">
        <f t="shared" si="85"/>
        <v>1</v>
      </c>
      <c r="N478" s="924"/>
      <c r="O478" s="51">
        <f t="shared" si="86"/>
        <v>1</v>
      </c>
      <c r="P478" s="924"/>
      <c r="Q478" s="51">
        <f t="shared" si="87"/>
        <v>1</v>
      </c>
      <c r="R478" s="467">
        <f t="shared" si="88"/>
        <v>0</v>
      </c>
      <c r="S478" s="765">
        <f t="shared" si="79"/>
        <v>0</v>
      </c>
    </row>
    <row r="479" spans="1:19">
      <c r="A479" s="926"/>
      <c r="B479" s="132"/>
      <c r="C479" s="51">
        <f t="shared" si="80"/>
        <v>1</v>
      </c>
      <c r="D479" s="924"/>
      <c r="E479" s="51">
        <f t="shared" si="81"/>
        <v>1</v>
      </c>
      <c r="F479" s="924"/>
      <c r="G479" s="51">
        <f t="shared" si="82"/>
        <v>1</v>
      </c>
      <c r="H479" s="924"/>
      <c r="I479" s="51">
        <f t="shared" si="83"/>
        <v>1</v>
      </c>
      <c r="J479" s="924"/>
      <c r="K479" s="51">
        <f t="shared" si="84"/>
        <v>1</v>
      </c>
      <c r="L479" s="924"/>
      <c r="M479" s="51">
        <f t="shared" si="85"/>
        <v>1</v>
      </c>
      <c r="N479" s="924"/>
      <c r="O479" s="51">
        <f t="shared" si="86"/>
        <v>1</v>
      </c>
      <c r="P479" s="924"/>
      <c r="Q479" s="51">
        <f t="shared" si="87"/>
        <v>1</v>
      </c>
      <c r="R479" s="467">
        <f t="shared" si="88"/>
        <v>0</v>
      </c>
      <c r="S479" s="765">
        <f t="shared" si="79"/>
        <v>0</v>
      </c>
    </row>
    <row r="480" spans="1:19">
      <c r="A480" s="926"/>
      <c r="B480" s="132"/>
      <c r="C480" s="51">
        <f t="shared" si="80"/>
        <v>1</v>
      </c>
      <c r="D480" s="924"/>
      <c r="E480" s="51">
        <f t="shared" si="81"/>
        <v>1</v>
      </c>
      <c r="F480" s="924"/>
      <c r="G480" s="51">
        <f t="shared" si="82"/>
        <v>1</v>
      </c>
      <c r="H480" s="924"/>
      <c r="I480" s="51">
        <f t="shared" si="83"/>
        <v>1</v>
      </c>
      <c r="J480" s="924"/>
      <c r="K480" s="51">
        <f t="shared" si="84"/>
        <v>1</v>
      </c>
      <c r="L480" s="924"/>
      <c r="M480" s="51">
        <f t="shared" si="85"/>
        <v>1</v>
      </c>
      <c r="N480" s="924"/>
      <c r="O480" s="51">
        <f t="shared" si="86"/>
        <v>1</v>
      </c>
      <c r="P480" s="924"/>
      <c r="Q480" s="51">
        <f t="shared" si="87"/>
        <v>1</v>
      </c>
      <c r="R480" s="467">
        <f t="shared" si="88"/>
        <v>0</v>
      </c>
      <c r="S480" s="765">
        <f t="shared" si="79"/>
        <v>0</v>
      </c>
    </row>
    <row r="481" spans="1:19">
      <c r="A481" s="926"/>
      <c r="B481" s="132"/>
      <c r="C481" s="51">
        <f t="shared" si="80"/>
        <v>1</v>
      </c>
      <c r="D481" s="924"/>
      <c r="E481" s="51">
        <f t="shared" si="81"/>
        <v>1</v>
      </c>
      <c r="F481" s="924"/>
      <c r="G481" s="51">
        <f t="shared" si="82"/>
        <v>1</v>
      </c>
      <c r="H481" s="924"/>
      <c r="I481" s="51">
        <f t="shared" si="83"/>
        <v>1</v>
      </c>
      <c r="J481" s="924"/>
      <c r="K481" s="51">
        <f t="shared" si="84"/>
        <v>1</v>
      </c>
      <c r="L481" s="924"/>
      <c r="M481" s="51">
        <f t="shared" si="85"/>
        <v>1</v>
      </c>
      <c r="N481" s="924"/>
      <c r="O481" s="51">
        <f t="shared" si="86"/>
        <v>1</v>
      </c>
      <c r="P481" s="924"/>
      <c r="Q481" s="51">
        <f t="shared" si="87"/>
        <v>1</v>
      </c>
      <c r="R481" s="467">
        <f t="shared" si="88"/>
        <v>0</v>
      </c>
      <c r="S481" s="765">
        <f t="shared" si="79"/>
        <v>0</v>
      </c>
    </row>
    <row r="482" spans="1:19">
      <c r="A482" s="926"/>
      <c r="B482" s="132"/>
      <c r="C482" s="51">
        <f t="shared" si="80"/>
        <v>1</v>
      </c>
      <c r="D482" s="924"/>
      <c r="E482" s="51">
        <f t="shared" si="81"/>
        <v>1</v>
      </c>
      <c r="F482" s="924"/>
      <c r="G482" s="51">
        <f t="shared" si="82"/>
        <v>1</v>
      </c>
      <c r="H482" s="924"/>
      <c r="I482" s="51">
        <f t="shared" si="83"/>
        <v>1</v>
      </c>
      <c r="J482" s="924"/>
      <c r="K482" s="51">
        <f t="shared" si="84"/>
        <v>1</v>
      </c>
      <c r="L482" s="924"/>
      <c r="M482" s="51">
        <f t="shared" si="85"/>
        <v>1</v>
      </c>
      <c r="N482" s="924"/>
      <c r="O482" s="51">
        <f t="shared" si="86"/>
        <v>1</v>
      </c>
      <c r="P482" s="924"/>
      <c r="Q482" s="51">
        <f t="shared" si="87"/>
        <v>1</v>
      </c>
      <c r="R482" s="467">
        <f t="shared" si="88"/>
        <v>0</v>
      </c>
      <c r="S482" s="765">
        <f t="shared" si="79"/>
        <v>0</v>
      </c>
    </row>
    <row r="483" spans="1:19">
      <c r="A483" s="926"/>
      <c r="B483" s="132"/>
      <c r="C483" s="51">
        <f t="shared" si="80"/>
        <v>1</v>
      </c>
      <c r="D483" s="924"/>
      <c r="E483" s="51">
        <f t="shared" si="81"/>
        <v>1</v>
      </c>
      <c r="F483" s="924"/>
      <c r="G483" s="51">
        <f t="shared" si="82"/>
        <v>1</v>
      </c>
      <c r="H483" s="924"/>
      <c r="I483" s="51">
        <f t="shared" si="83"/>
        <v>1</v>
      </c>
      <c r="J483" s="924"/>
      <c r="K483" s="51">
        <f t="shared" si="84"/>
        <v>1</v>
      </c>
      <c r="L483" s="924"/>
      <c r="M483" s="51">
        <f t="shared" si="85"/>
        <v>1</v>
      </c>
      <c r="N483" s="924"/>
      <c r="O483" s="51">
        <f t="shared" si="86"/>
        <v>1</v>
      </c>
      <c r="P483" s="924"/>
      <c r="Q483" s="51">
        <f t="shared" si="87"/>
        <v>1</v>
      </c>
      <c r="R483" s="467">
        <f t="shared" si="88"/>
        <v>0</v>
      </c>
      <c r="S483" s="765">
        <f t="shared" si="79"/>
        <v>0</v>
      </c>
    </row>
    <row r="484" spans="1:19">
      <c r="A484" s="926"/>
      <c r="B484" s="132"/>
      <c r="C484" s="51">
        <f t="shared" si="80"/>
        <v>1</v>
      </c>
      <c r="D484" s="924"/>
      <c r="E484" s="51">
        <f t="shared" si="81"/>
        <v>1</v>
      </c>
      <c r="F484" s="924"/>
      <c r="G484" s="51">
        <f t="shared" si="82"/>
        <v>1</v>
      </c>
      <c r="H484" s="924"/>
      <c r="I484" s="51">
        <f t="shared" si="83"/>
        <v>1</v>
      </c>
      <c r="J484" s="924"/>
      <c r="K484" s="51">
        <f t="shared" si="84"/>
        <v>1</v>
      </c>
      <c r="L484" s="924"/>
      <c r="M484" s="51">
        <f t="shared" si="85"/>
        <v>1</v>
      </c>
      <c r="N484" s="924"/>
      <c r="O484" s="51">
        <f t="shared" si="86"/>
        <v>1</v>
      </c>
      <c r="P484" s="924"/>
      <c r="Q484" s="51">
        <f t="shared" si="87"/>
        <v>1</v>
      </c>
      <c r="R484" s="467">
        <f t="shared" si="88"/>
        <v>0</v>
      </c>
      <c r="S484" s="765">
        <f t="shared" si="79"/>
        <v>0</v>
      </c>
    </row>
    <row r="485" spans="1:19">
      <c r="A485" s="926"/>
      <c r="B485" s="132"/>
      <c r="C485" s="51">
        <f t="shared" si="80"/>
        <v>1</v>
      </c>
      <c r="D485" s="924"/>
      <c r="E485" s="51">
        <f t="shared" si="81"/>
        <v>1</v>
      </c>
      <c r="F485" s="924"/>
      <c r="G485" s="51">
        <f t="shared" si="82"/>
        <v>1</v>
      </c>
      <c r="H485" s="924"/>
      <c r="I485" s="51">
        <f t="shared" si="83"/>
        <v>1</v>
      </c>
      <c r="J485" s="924"/>
      <c r="K485" s="51">
        <f t="shared" si="84"/>
        <v>1</v>
      </c>
      <c r="L485" s="924"/>
      <c r="M485" s="51">
        <f t="shared" si="85"/>
        <v>1</v>
      </c>
      <c r="N485" s="924"/>
      <c r="O485" s="51">
        <f t="shared" si="86"/>
        <v>1</v>
      </c>
      <c r="P485" s="924"/>
      <c r="Q485" s="51">
        <f t="shared" si="87"/>
        <v>1</v>
      </c>
      <c r="R485" s="467">
        <f t="shared" si="88"/>
        <v>0</v>
      </c>
      <c r="S485" s="765">
        <f t="shared" si="79"/>
        <v>0</v>
      </c>
    </row>
    <row r="486" spans="1:19">
      <c r="A486" s="926"/>
      <c r="B486" s="132"/>
      <c r="C486" s="51">
        <f t="shared" si="80"/>
        <v>1</v>
      </c>
      <c r="D486" s="924"/>
      <c r="E486" s="51">
        <f t="shared" si="81"/>
        <v>1</v>
      </c>
      <c r="F486" s="924"/>
      <c r="G486" s="51">
        <f t="shared" si="82"/>
        <v>1</v>
      </c>
      <c r="H486" s="924"/>
      <c r="I486" s="51">
        <f t="shared" si="83"/>
        <v>1</v>
      </c>
      <c r="J486" s="924"/>
      <c r="K486" s="51">
        <f t="shared" si="84"/>
        <v>1</v>
      </c>
      <c r="L486" s="924"/>
      <c r="M486" s="51">
        <f t="shared" si="85"/>
        <v>1</v>
      </c>
      <c r="N486" s="924"/>
      <c r="O486" s="51">
        <f t="shared" si="86"/>
        <v>1</v>
      </c>
      <c r="P486" s="924"/>
      <c r="Q486" s="51">
        <f t="shared" si="87"/>
        <v>1</v>
      </c>
      <c r="R486" s="467">
        <f t="shared" si="88"/>
        <v>0</v>
      </c>
      <c r="S486" s="765">
        <f t="shared" si="79"/>
        <v>0</v>
      </c>
    </row>
    <row r="487" spans="1:19">
      <c r="A487" s="926"/>
      <c r="B487" s="132"/>
      <c r="C487" s="51">
        <f t="shared" si="80"/>
        <v>1</v>
      </c>
      <c r="D487" s="924"/>
      <c r="E487" s="51">
        <f t="shared" si="81"/>
        <v>1</v>
      </c>
      <c r="F487" s="924"/>
      <c r="G487" s="51">
        <f t="shared" si="82"/>
        <v>1</v>
      </c>
      <c r="H487" s="924"/>
      <c r="I487" s="51">
        <f t="shared" si="83"/>
        <v>1</v>
      </c>
      <c r="J487" s="924"/>
      <c r="K487" s="51">
        <f t="shared" si="84"/>
        <v>1</v>
      </c>
      <c r="L487" s="924"/>
      <c r="M487" s="51">
        <f t="shared" si="85"/>
        <v>1</v>
      </c>
      <c r="N487" s="924"/>
      <c r="O487" s="51">
        <f t="shared" si="86"/>
        <v>1</v>
      </c>
      <c r="P487" s="924"/>
      <c r="Q487" s="51">
        <f t="shared" si="87"/>
        <v>1</v>
      </c>
      <c r="R487" s="467">
        <f t="shared" si="88"/>
        <v>0</v>
      </c>
      <c r="S487" s="765">
        <f t="shared" si="79"/>
        <v>0</v>
      </c>
    </row>
    <row r="488" spans="1:19">
      <c r="A488" s="926"/>
      <c r="B488" s="132"/>
      <c r="C488" s="51">
        <f t="shared" si="80"/>
        <v>1</v>
      </c>
      <c r="D488" s="924"/>
      <c r="E488" s="51">
        <f t="shared" si="81"/>
        <v>1</v>
      </c>
      <c r="F488" s="924"/>
      <c r="G488" s="51">
        <f t="shared" si="82"/>
        <v>1</v>
      </c>
      <c r="H488" s="924"/>
      <c r="I488" s="51">
        <f t="shared" si="83"/>
        <v>1</v>
      </c>
      <c r="J488" s="924"/>
      <c r="K488" s="51">
        <f t="shared" si="84"/>
        <v>1</v>
      </c>
      <c r="L488" s="924"/>
      <c r="M488" s="51">
        <f t="shared" si="85"/>
        <v>1</v>
      </c>
      <c r="N488" s="924"/>
      <c r="O488" s="51">
        <f t="shared" si="86"/>
        <v>1</v>
      </c>
      <c r="P488" s="924"/>
      <c r="Q488" s="51">
        <f t="shared" si="87"/>
        <v>1</v>
      </c>
      <c r="R488" s="467">
        <f t="shared" si="88"/>
        <v>0</v>
      </c>
      <c r="S488" s="765">
        <f t="shared" si="79"/>
        <v>0</v>
      </c>
    </row>
    <row r="489" spans="1:19">
      <c r="A489" s="926"/>
      <c r="B489" s="132"/>
      <c r="C489" s="51">
        <f t="shared" si="80"/>
        <v>1</v>
      </c>
      <c r="D489" s="924"/>
      <c r="E489" s="51">
        <f t="shared" si="81"/>
        <v>1</v>
      </c>
      <c r="F489" s="924"/>
      <c r="G489" s="51">
        <f t="shared" si="82"/>
        <v>1</v>
      </c>
      <c r="H489" s="924"/>
      <c r="I489" s="51">
        <f t="shared" si="83"/>
        <v>1</v>
      </c>
      <c r="J489" s="924"/>
      <c r="K489" s="51">
        <f t="shared" si="84"/>
        <v>1</v>
      </c>
      <c r="L489" s="924"/>
      <c r="M489" s="51">
        <f t="shared" si="85"/>
        <v>1</v>
      </c>
      <c r="N489" s="924"/>
      <c r="O489" s="51">
        <f t="shared" si="86"/>
        <v>1</v>
      </c>
      <c r="P489" s="924"/>
      <c r="Q489" s="51">
        <f t="shared" si="87"/>
        <v>1</v>
      </c>
      <c r="R489" s="467">
        <f t="shared" si="88"/>
        <v>0</v>
      </c>
      <c r="S489" s="765">
        <f t="shared" si="79"/>
        <v>0</v>
      </c>
    </row>
    <row r="490" spans="1:19">
      <c r="A490" s="926"/>
      <c r="B490" s="132"/>
      <c r="C490" s="51">
        <f t="shared" si="80"/>
        <v>1</v>
      </c>
      <c r="D490" s="924"/>
      <c r="E490" s="51">
        <f t="shared" si="81"/>
        <v>1</v>
      </c>
      <c r="F490" s="924"/>
      <c r="G490" s="51">
        <f t="shared" si="82"/>
        <v>1</v>
      </c>
      <c r="H490" s="924"/>
      <c r="I490" s="51">
        <f t="shared" si="83"/>
        <v>1</v>
      </c>
      <c r="J490" s="924"/>
      <c r="K490" s="51">
        <f t="shared" si="84"/>
        <v>1</v>
      </c>
      <c r="L490" s="924"/>
      <c r="M490" s="51">
        <f t="shared" si="85"/>
        <v>1</v>
      </c>
      <c r="N490" s="924"/>
      <c r="O490" s="51">
        <f t="shared" si="86"/>
        <v>1</v>
      </c>
      <c r="P490" s="924"/>
      <c r="Q490" s="51">
        <f t="shared" si="87"/>
        <v>1</v>
      </c>
      <c r="R490" s="467">
        <f t="shared" si="88"/>
        <v>0</v>
      </c>
      <c r="S490" s="765">
        <f t="shared" si="79"/>
        <v>0</v>
      </c>
    </row>
    <row r="491" spans="1:19">
      <c r="A491" s="926"/>
      <c r="B491" s="132"/>
      <c r="C491" s="51">
        <f t="shared" si="80"/>
        <v>1</v>
      </c>
      <c r="D491" s="924"/>
      <c r="E491" s="51">
        <f t="shared" si="81"/>
        <v>1</v>
      </c>
      <c r="F491" s="924"/>
      <c r="G491" s="51">
        <f t="shared" si="82"/>
        <v>1</v>
      </c>
      <c r="H491" s="924"/>
      <c r="I491" s="51">
        <f t="shared" si="83"/>
        <v>1</v>
      </c>
      <c r="J491" s="924"/>
      <c r="K491" s="51">
        <f t="shared" si="84"/>
        <v>1</v>
      </c>
      <c r="L491" s="924"/>
      <c r="M491" s="51">
        <f t="shared" si="85"/>
        <v>1</v>
      </c>
      <c r="N491" s="924"/>
      <c r="O491" s="51">
        <f t="shared" si="86"/>
        <v>1</v>
      </c>
      <c r="P491" s="924"/>
      <c r="Q491" s="51">
        <f t="shared" si="87"/>
        <v>1</v>
      </c>
      <c r="R491" s="467">
        <f t="shared" si="88"/>
        <v>0</v>
      </c>
      <c r="S491" s="765">
        <f t="shared" si="79"/>
        <v>0</v>
      </c>
    </row>
    <row r="492" spans="1:19">
      <c r="A492" s="926"/>
      <c r="B492" s="132"/>
      <c r="C492" s="51">
        <f t="shared" si="80"/>
        <v>1</v>
      </c>
      <c r="D492" s="924"/>
      <c r="E492" s="51">
        <f t="shared" si="81"/>
        <v>1</v>
      </c>
      <c r="F492" s="924"/>
      <c r="G492" s="51">
        <f t="shared" si="82"/>
        <v>1</v>
      </c>
      <c r="H492" s="924"/>
      <c r="I492" s="51">
        <f t="shared" si="83"/>
        <v>1</v>
      </c>
      <c r="J492" s="924"/>
      <c r="K492" s="51">
        <f t="shared" si="84"/>
        <v>1</v>
      </c>
      <c r="L492" s="924"/>
      <c r="M492" s="51">
        <f t="shared" si="85"/>
        <v>1</v>
      </c>
      <c r="N492" s="924"/>
      <c r="O492" s="51">
        <f t="shared" si="86"/>
        <v>1</v>
      </c>
      <c r="P492" s="924"/>
      <c r="Q492" s="51">
        <f t="shared" si="87"/>
        <v>1</v>
      </c>
      <c r="R492" s="467">
        <f t="shared" si="88"/>
        <v>0</v>
      </c>
      <c r="S492" s="765">
        <f t="shared" si="79"/>
        <v>0</v>
      </c>
    </row>
    <row r="493" spans="1:19">
      <c r="A493" s="926"/>
      <c r="B493" s="132"/>
      <c r="C493" s="51">
        <f t="shared" si="80"/>
        <v>1</v>
      </c>
      <c r="D493" s="924"/>
      <c r="E493" s="51">
        <f t="shared" si="81"/>
        <v>1</v>
      </c>
      <c r="F493" s="924"/>
      <c r="G493" s="51">
        <f t="shared" si="82"/>
        <v>1</v>
      </c>
      <c r="H493" s="924"/>
      <c r="I493" s="51">
        <f t="shared" si="83"/>
        <v>1</v>
      </c>
      <c r="J493" s="924"/>
      <c r="K493" s="51">
        <f t="shared" si="84"/>
        <v>1</v>
      </c>
      <c r="L493" s="924"/>
      <c r="M493" s="51">
        <f t="shared" si="85"/>
        <v>1</v>
      </c>
      <c r="N493" s="924"/>
      <c r="O493" s="51">
        <f t="shared" si="86"/>
        <v>1</v>
      </c>
      <c r="P493" s="924"/>
      <c r="Q493" s="51">
        <f t="shared" si="87"/>
        <v>1</v>
      </c>
      <c r="R493" s="467">
        <f t="shared" si="88"/>
        <v>0</v>
      </c>
      <c r="S493" s="765">
        <f t="shared" si="79"/>
        <v>0</v>
      </c>
    </row>
    <row r="494" spans="1:19">
      <c r="A494" s="926"/>
      <c r="B494" s="132"/>
      <c r="C494" s="51">
        <f t="shared" si="80"/>
        <v>1</v>
      </c>
      <c r="D494" s="924"/>
      <c r="E494" s="51">
        <f t="shared" si="81"/>
        <v>1</v>
      </c>
      <c r="F494" s="924"/>
      <c r="G494" s="51">
        <f t="shared" si="82"/>
        <v>1</v>
      </c>
      <c r="H494" s="924"/>
      <c r="I494" s="51">
        <f t="shared" si="83"/>
        <v>1</v>
      </c>
      <c r="J494" s="924"/>
      <c r="K494" s="51">
        <f t="shared" si="84"/>
        <v>1</v>
      </c>
      <c r="L494" s="924"/>
      <c r="M494" s="51">
        <f t="shared" si="85"/>
        <v>1</v>
      </c>
      <c r="N494" s="924"/>
      <c r="O494" s="51">
        <f t="shared" si="86"/>
        <v>1</v>
      </c>
      <c r="P494" s="924"/>
      <c r="Q494" s="51">
        <f t="shared" si="87"/>
        <v>1</v>
      </c>
      <c r="R494" s="467">
        <f t="shared" si="88"/>
        <v>0</v>
      </c>
      <c r="S494" s="765">
        <f t="shared" si="79"/>
        <v>0</v>
      </c>
    </row>
    <row r="495" spans="1:19">
      <c r="A495" s="926"/>
      <c r="B495" s="132"/>
      <c r="C495" s="51">
        <f t="shared" si="80"/>
        <v>1</v>
      </c>
      <c r="D495" s="924"/>
      <c r="E495" s="51">
        <f t="shared" si="81"/>
        <v>1</v>
      </c>
      <c r="F495" s="924"/>
      <c r="G495" s="51">
        <f t="shared" si="82"/>
        <v>1</v>
      </c>
      <c r="H495" s="924"/>
      <c r="I495" s="51">
        <f t="shared" si="83"/>
        <v>1</v>
      </c>
      <c r="J495" s="924"/>
      <c r="K495" s="51">
        <f t="shared" si="84"/>
        <v>1</v>
      </c>
      <c r="L495" s="924"/>
      <c r="M495" s="51">
        <f t="shared" si="85"/>
        <v>1</v>
      </c>
      <c r="N495" s="924"/>
      <c r="O495" s="51">
        <f t="shared" si="86"/>
        <v>1</v>
      </c>
      <c r="P495" s="924"/>
      <c r="Q495" s="51">
        <f t="shared" si="87"/>
        <v>1</v>
      </c>
      <c r="R495" s="467">
        <f t="shared" si="88"/>
        <v>0</v>
      </c>
      <c r="S495" s="765">
        <f t="shared" si="79"/>
        <v>0</v>
      </c>
    </row>
    <row r="496" spans="1:19">
      <c r="A496" s="926"/>
      <c r="B496" s="132"/>
      <c r="C496" s="51">
        <f t="shared" si="80"/>
        <v>1</v>
      </c>
      <c r="D496" s="924"/>
      <c r="E496" s="51">
        <f t="shared" si="81"/>
        <v>1</v>
      </c>
      <c r="F496" s="924"/>
      <c r="G496" s="51">
        <f t="shared" si="82"/>
        <v>1</v>
      </c>
      <c r="H496" s="924"/>
      <c r="I496" s="51">
        <f t="shared" si="83"/>
        <v>1</v>
      </c>
      <c r="J496" s="924"/>
      <c r="K496" s="51">
        <f t="shared" si="84"/>
        <v>1</v>
      </c>
      <c r="L496" s="924"/>
      <c r="M496" s="51">
        <f t="shared" si="85"/>
        <v>1</v>
      </c>
      <c r="N496" s="924"/>
      <c r="O496" s="51">
        <f t="shared" si="86"/>
        <v>1</v>
      </c>
      <c r="P496" s="924"/>
      <c r="Q496" s="51">
        <f t="shared" si="87"/>
        <v>1</v>
      </c>
      <c r="R496" s="467">
        <f t="shared" si="88"/>
        <v>0</v>
      </c>
      <c r="S496" s="765">
        <f t="shared" si="79"/>
        <v>0</v>
      </c>
    </row>
    <row r="497" spans="1:19">
      <c r="A497" s="926"/>
      <c r="B497" s="132"/>
      <c r="C497" s="51">
        <f t="shared" si="80"/>
        <v>1</v>
      </c>
      <c r="D497" s="924"/>
      <c r="E497" s="51">
        <f t="shared" si="81"/>
        <v>1</v>
      </c>
      <c r="F497" s="924"/>
      <c r="G497" s="51">
        <f t="shared" si="82"/>
        <v>1</v>
      </c>
      <c r="H497" s="924"/>
      <c r="I497" s="51">
        <f t="shared" si="83"/>
        <v>1</v>
      </c>
      <c r="J497" s="924"/>
      <c r="K497" s="51">
        <f t="shared" si="84"/>
        <v>1</v>
      </c>
      <c r="L497" s="924"/>
      <c r="M497" s="51">
        <f t="shared" si="85"/>
        <v>1</v>
      </c>
      <c r="N497" s="924"/>
      <c r="O497" s="51">
        <f t="shared" si="86"/>
        <v>1</v>
      </c>
      <c r="P497" s="924"/>
      <c r="Q497" s="51">
        <f t="shared" si="87"/>
        <v>1</v>
      </c>
      <c r="R497" s="467">
        <f t="shared" si="88"/>
        <v>0</v>
      </c>
      <c r="S497" s="765">
        <f t="shared" si="79"/>
        <v>0</v>
      </c>
    </row>
    <row r="498" spans="1:19">
      <c r="A498" s="926"/>
      <c r="B498" s="132"/>
      <c r="C498" s="51">
        <f t="shared" si="80"/>
        <v>1</v>
      </c>
      <c r="D498" s="924"/>
      <c r="E498" s="51">
        <f t="shared" si="81"/>
        <v>1</v>
      </c>
      <c r="F498" s="924"/>
      <c r="G498" s="51">
        <f t="shared" si="82"/>
        <v>1</v>
      </c>
      <c r="H498" s="924"/>
      <c r="I498" s="51">
        <f t="shared" si="83"/>
        <v>1</v>
      </c>
      <c r="J498" s="924"/>
      <c r="K498" s="51">
        <f t="shared" si="84"/>
        <v>1</v>
      </c>
      <c r="L498" s="924"/>
      <c r="M498" s="51">
        <f t="shared" si="85"/>
        <v>1</v>
      </c>
      <c r="N498" s="924"/>
      <c r="O498" s="51">
        <f t="shared" si="86"/>
        <v>1</v>
      </c>
      <c r="P498" s="924"/>
      <c r="Q498" s="51">
        <f t="shared" si="87"/>
        <v>1</v>
      </c>
      <c r="R498" s="467">
        <f t="shared" si="88"/>
        <v>0</v>
      </c>
      <c r="S498" s="765">
        <f t="shared" ref="S498:S524" si="89">ROUND(R498*B498/10000,0)</f>
        <v>0</v>
      </c>
    </row>
    <row r="499" spans="1:19">
      <c r="A499" s="926"/>
      <c r="B499" s="132"/>
      <c r="C499" s="51">
        <f t="shared" si="80"/>
        <v>1</v>
      </c>
      <c r="D499" s="924"/>
      <c r="E499" s="51">
        <f t="shared" si="81"/>
        <v>1</v>
      </c>
      <c r="F499" s="924"/>
      <c r="G499" s="51">
        <f t="shared" si="82"/>
        <v>1</v>
      </c>
      <c r="H499" s="924"/>
      <c r="I499" s="51">
        <f t="shared" si="83"/>
        <v>1</v>
      </c>
      <c r="J499" s="924"/>
      <c r="K499" s="51">
        <f t="shared" si="84"/>
        <v>1</v>
      </c>
      <c r="L499" s="924"/>
      <c r="M499" s="51">
        <f t="shared" si="85"/>
        <v>1</v>
      </c>
      <c r="N499" s="924"/>
      <c r="O499" s="51">
        <f t="shared" si="86"/>
        <v>1</v>
      </c>
      <c r="P499" s="924"/>
      <c r="Q499" s="51">
        <f t="shared" si="87"/>
        <v>1</v>
      </c>
      <c r="R499" s="467">
        <f t="shared" si="88"/>
        <v>0</v>
      </c>
      <c r="S499" s="765">
        <f t="shared" si="89"/>
        <v>0</v>
      </c>
    </row>
    <row r="500" spans="1:19">
      <c r="A500" s="926"/>
      <c r="B500" s="132"/>
      <c r="C500" s="51">
        <f t="shared" si="80"/>
        <v>1</v>
      </c>
      <c r="D500" s="924"/>
      <c r="E500" s="51">
        <f t="shared" si="81"/>
        <v>1</v>
      </c>
      <c r="F500" s="924"/>
      <c r="G500" s="51">
        <f t="shared" si="82"/>
        <v>1</v>
      </c>
      <c r="H500" s="924"/>
      <c r="I500" s="51">
        <f t="shared" si="83"/>
        <v>1</v>
      </c>
      <c r="J500" s="924"/>
      <c r="K500" s="51">
        <f t="shared" si="84"/>
        <v>1</v>
      </c>
      <c r="L500" s="924"/>
      <c r="M500" s="51">
        <f t="shared" si="85"/>
        <v>1</v>
      </c>
      <c r="N500" s="924"/>
      <c r="O500" s="51">
        <f t="shared" si="86"/>
        <v>1</v>
      </c>
      <c r="P500" s="924"/>
      <c r="Q500" s="51">
        <f t="shared" si="87"/>
        <v>1</v>
      </c>
      <c r="R500" s="467">
        <f t="shared" si="88"/>
        <v>0</v>
      </c>
      <c r="S500" s="765">
        <f t="shared" si="89"/>
        <v>0</v>
      </c>
    </row>
    <row r="501" spans="1:19">
      <c r="A501" s="926"/>
      <c r="B501" s="132"/>
      <c r="C501" s="51">
        <f t="shared" si="80"/>
        <v>1</v>
      </c>
      <c r="D501" s="924"/>
      <c r="E501" s="51">
        <f t="shared" si="81"/>
        <v>1</v>
      </c>
      <c r="F501" s="924"/>
      <c r="G501" s="51">
        <f t="shared" si="82"/>
        <v>1</v>
      </c>
      <c r="H501" s="924"/>
      <c r="I501" s="51">
        <f t="shared" si="83"/>
        <v>1</v>
      </c>
      <c r="J501" s="924"/>
      <c r="K501" s="51">
        <f t="shared" si="84"/>
        <v>1</v>
      </c>
      <c r="L501" s="924"/>
      <c r="M501" s="51">
        <f t="shared" si="85"/>
        <v>1</v>
      </c>
      <c r="N501" s="924"/>
      <c r="O501" s="51">
        <f t="shared" si="86"/>
        <v>1</v>
      </c>
      <c r="P501" s="924"/>
      <c r="Q501" s="51">
        <f t="shared" si="87"/>
        <v>1</v>
      </c>
      <c r="R501" s="467">
        <f t="shared" si="88"/>
        <v>0</v>
      </c>
      <c r="S501" s="765">
        <f t="shared" si="89"/>
        <v>0</v>
      </c>
    </row>
    <row r="502" spans="1:19">
      <c r="A502" s="926"/>
      <c r="B502" s="132"/>
      <c r="C502" s="51">
        <f t="shared" si="80"/>
        <v>1</v>
      </c>
      <c r="D502" s="924"/>
      <c r="E502" s="51">
        <f t="shared" si="81"/>
        <v>1</v>
      </c>
      <c r="F502" s="924"/>
      <c r="G502" s="51">
        <f t="shared" si="82"/>
        <v>1</v>
      </c>
      <c r="H502" s="924"/>
      <c r="I502" s="51">
        <f t="shared" si="83"/>
        <v>1</v>
      </c>
      <c r="J502" s="924"/>
      <c r="K502" s="51">
        <f t="shared" si="84"/>
        <v>1</v>
      </c>
      <c r="L502" s="924"/>
      <c r="M502" s="51">
        <f t="shared" si="85"/>
        <v>1</v>
      </c>
      <c r="N502" s="924"/>
      <c r="O502" s="51">
        <f t="shared" si="86"/>
        <v>1</v>
      </c>
      <c r="P502" s="924"/>
      <c r="Q502" s="51">
        <f t="shared" si="87"/>
        <v>1</v>
      </c>
      <c r="R502" s="467">
        <f t="shared" si="88"/>
        <v>0</v>
      </c>
      <c r="S502" s="765">
        <f t="shared" si="89"/>
        <v>0</v>
      </c>
    </row>
    <row r="503" spans="1:19">
      <c r="A503" s="926"/>
      <c r="B503" s="132"/>
      <c r="C503" s="51">
        <f t="shared" si="80"/>
        <v>1</v>
      </c>
      <c r="D503" s="924"/>
      <c r="E503" s="51">
        <f t="shared" si="81"/>
        <v>1</v>
      </c>
      <c r="F503" s="924"/>
      <c r="G503" s="51">
        <f t="shared" si="82"/>
        <v>1</v>
      </c>
      <c r="H503" s="924"/>
      <c r="I503" s="51">
        <f t="shared" si="83"/>
        <v>1</v>
      </c>
      <c r="J503" s="924"/>
      <c r="K503" s="51">
        <f t="shared" si="84"/>
        <v>1</v>
      </c>
      <c r="L503" s="924"/>
      <c r="M503" s="51">
        <f t="shared" si="85"/>
        <v>1</v>
      </c>
      <c r="N503" s="924"/>
      <c r="O503" s="51">
        <f t="shared" si="86"/>
        <v>1</v>
      </c>
      <c r="P503" s="924"/>
      <c r="Q503" s="51">
        <f t="shared" si="87"/>
        <v>1</v>
      </c>
      <c r="R503" s="467">
        <f t="shared" si="88"/>
        <v>0</v>
      </c>
      <c r="S503" s="765">
        <f t="shared" si="89"/>
        <v>0</v>
      </c>
    </row>
    <row r="504" spans="1:19">
      <c r="A504" s="926"/>
      <c r="B504" s="132"/>
      <c r="C504" s="51">
        <f t="shared" si="80"/>
        <v>1</v>
      </c>
      <c r="D504" s="924"/>
      <c r="E504" s="51">
        <f t="shared" si="81"/>
        <v>1</v>
      </c>
      <c r="F504" s="924"/>
      <c r="G504" s="51">
        <f t="shared" si="82"/>
        <v>1</v>
      </c>
      <c r="H504" s="924"/>
      <c r="I504" s="51">
        <f t="shared" si="83"/>
        <v>1</v>
      </c>
      <c r="J504" s="924"/>
      <c r="K504" s="51">
        <f t="shared" si="84"/>
        <v>1</v>
      </c>
      <c r="L504" s="924"/>
      <c r="M504" s="51">
        <f t="shared" si="85"/>
        <v>1</v>
      </c>
      <c r="N504" s="924"/>
      <c r="O504" s="51">
        <f t="shared" si="86"/>
        <v>1</v>
      </c>
      <c r="P504" s="924"/>
      <c r="Q504" s="51">
        <f t="shared" si="87"/>
        <v>1</v>
      </c>
      <c r="R504" s="467">
        <f t="shared" si="88"/>
        <v>0</v>
      </c>
      <c r="S504" s="765">
        <f t="shared" si="89"/>
        <v>0</v>
      </c>
    </row>
    <row r="505" spans="1:19">
      <c r="A505" s="926"/>
      <c r="B505" s="132"/>
      <c r="C505" s="51">
        <f t="shared" si="80"/>
        <v>1</v>
      </c>
      <c r="D505" s="924"/>
      <c r="E505" s="51">
        <f t="shared" si="81"/>
        <v>1</v>
      </c>
      <c r="F505" s="924"/>
      <c r="G505" s="51">
        <f t="shared" si="82"/>
        <v>1</v>
      </c>
      <c r="H505" s="924"/>
      <c r="I505" s="51">
        <f t="shared" si="83"/>
        <v>1</v>
      </c>
      <c r="J505" s="924"/>
      <c r="K505" s="51">
        <f t="shared" si="84"/>
        <v>1</v>
      </c>
      <c r="L505" s="924"/>
      <c r="M505" s="51">
        <f t="shared" si="85"/>
        <v>1</v>
      </c>
      <c r="N505" s="924"/>
      <c r="O505" s="51">
        <f t="shared" si="86"/>
        <v>1</v>
      </c>
      <c r="P505" s="924"/>
      <c r="Q505" s="51">
        <f t="shared" si="87"/>
        <v>1</v>
      </c>
      <c r="R505" s="467">
        <f t="shared" si="88"/>
        <v>0</v>
      </c>
      <c r="S505" s="765">
        <f t="shared" si="89"/>
        <v>0</v>
      </c>
    </row>
    <row r="506" spans="1:19">
      <c r="A506" s="926"/>
      <c r="B506" s="132"/>
      <c r="C506" s="51">
        <f t="shared" si="80"/>
        <v>1</v>
      </c>
      <c r="D506" s="924"/>
      <c r="E506" s="51">
        <f t="shared" si="81"/>
        <v>1</v>
      </c>
      <c r="F506" s="924"/>
      <c r="G506" s="51">
        <f t="shared" si="82"/>
        <v>1</v>
      </c>
      <c r="H506" s="924"/>
      <c r="I506" s="51">
        <f t="shared" si="83"/>
        <v>1</v>
      </c>
      <c r="J506" s="924"/>
      <c r="K506" s="51">
        <f t="shared" si="84"/>
        <v>1</v>
      </c>
      <c r="L506" s="924"/>
      <c r="M506" s="51">
        <f t="shared" si="85"/>
        <v>1</v>
      </c>
      <c r="N506" s="924"/>
      <c r="O506" s="51">
        <f t="shared" si="86"/>
        <v>1</v>
      </c>
      <c r="P506" s="924"/>
      <c r="Q506" s="51">
        <f t="shared" si="87"/>
        <v>1</v>
      </c>
      <c r="R506" s="467">
        <f t="shared" si="88"/>
        <v>0</v>
      </c>
      <c r="S506" s="765">
        <f t="shared" si="89"/>
        <v>0</v>
      </c>
    </row>
    <row r="507" spans="1:19">
      <c r="A507" s="926"/>
      <c r="B507" s="132"/>
      <c r="C507" s="51">
        <f t="shared" si="80"/>
        <v>1</v>
      </c>
      <c r="D507" s="924"/>
      <c r="E507" s="51">
        <f t="shared" si="81"/>
        <v>1</v>
      </c>
      <c r="F507" s="924"/>
      <c r="G507" s="51">
        <f t="shared" si="82"/>
        <v>1</v>
      </c>
      <c r="H507" s="924"/>
      <c r="I507" s="51">
        <f t="shared" si="83"/>
        <v>1</v>
      </c>
      <c r="J507" s="924"/>
      <c r="K507" s="51">
        <f t="shared" si="84"/>
        <v>1</v>
      </c>
      <c r="L507" s="924"/>
      <c r="M507" s="51">
        <f t="shared" si="85"/>
        <v>1</v>
      </c>
      <c r="N507" s="924"/>
      <c r="O507" s="51">
        <f t="shared" si="86"/>
        <v>1</v>
      </c>
      <c r="P507" s="924"/>
      <c r="Q507" s="51">
        <f t="shared" si="87"/>
        <v>1</v>
      </c>
      <c r="R507" s="467">
        <f t="shared" si="88"/>
        <v>0</v>
      </c>
      <c r="S507" s="765">
        <f t="shared" si="89"/>
        <v>0</v>
      </c>
    </row>
    <row r="508" spans="1:19">
      <c r="A508" s="926"/>
      <c r="B508" s="132"/>
      <c r="C508" s="51">
        <f t="shared" si="80"/>
        <v>1</v>
      </c>
      <c r="D508" s="924"/>
      <c r="E508" s="51">
        <f t="shared" si="81"/>
        <v>1</v>
      </c>
      <c r="F508" s="924"/>
      <c r="G508" s="51">
        <f t="shared" si="82"/>
        <v>1</v>
      </c>
      <c r="H508" s="924"/>
      <c r="I508" s="51">
        <f t="shared" si="83"/>
        <v>1</v>
      </c>
      <c r="J508" s="924"/>
      <c r="K508" s="51">
        <f t="shared" si="84"/>
        <v>1</v>
      </c>
      <c r="L508" s="924"/>
      <c r="M508" s="51">
        <f t="shared" si="85"/>
        <v>1</v>
      </c>
      <c r="N508" s="924"/>
      <c r="O508" s="51">
        <f t="shared" si="86"/>
        <v>1</v>
      </c>
      <c r="P508" s="924"/>
      <c r="Q508" s="51">
        <f t="shared" si="87"/>
        <v>1</v>
      </c>
      <c r="R508" s="467">
        <f t="shared" si="88"/>
        <v>0</v>
      </c>
      <c r="S508" s="765">
        <f t="shared" si="89"/>
        <v>0</v>
      </c>
    </row>
    <row r="509" spans="1:19">
      <c r="A509" s="926"/>
      <c r="B509" s="132"/>
      <c r="C509" s="51">
        <f t="shared" si="80"/>
        <v>1</v>
      </c>
      <c r="D509" s="924"/>
      <c r="E509" s="51">
        <f t="shared" si="81"/>
        <v>1</v>
      </c>
      <c r="F509" s="924"/>
      <c r="G509" s="51">
        <f t="shared" si="82"/>
        <v>1</v>
      </c>
      <c r="H509" s="924"/>
      <c r="I509" s="51">
        <f t="shared" si="83"/>
        <v>1</v>
      </c>
      <c r="J509" s="924"/>
      <c r="K509" s="51">
        <f t="shared" si="84"/>
        <v>1</v>
      </c>
      <c r="L509" s="924"/>
      <c r="M509" s="51">
        <f t="shared" si="85"/>
        <v>1</v>
      </c>
      <c r="N509" s="924"/>
      <c r="O509" s="51">
        <f t="shared" si="86"/>
        <v>1</v>
      </c>
      <c r="P509" s="924"/>
      <c r="Q509" s="51">
        <f t="shared" si="87"/>
        <v>1</v>
      </c>
      <c r="R509" s="467">
        <f t="shared" si="88"/>
        <v>0</v>
      </c>
      <c r="S509" s="765">
        <f t="shared" si="89"/>
        <v>0</v>
      </c>
    </row>
    <row r="510" spans="1:19">
      <c r="A510" s="926"/>
      <c r="B510" s="132"/>
      <c r="C510" s="51">
        <f t="shared" si="80"/>
        <v>1</v>
      </c>
      <c r="D510" s="924"/>
      <c r="E510" s="51">
        <f t="shared" si="81"/>
        <v>1</v>
      </c>
      <c r="F510" s="924"/>
      <c r="G510" s="51">
        <f t="shared" si="82"/>
        <v>1</v>
      </c>
      <c r="H510" s="924"/>
      <c r="I510" s="51">
        <f t="shared" si="83"/>
        <v>1</v>
      </c>
      <c r="J510" s="924"/>
      <c r="K510" s="51">
        <f t="shared" si="84"/>
        <v>1</v>
      </c>
      <c r="L510" s="924"/>
      <c r="M510" s="51">
        <f t="shared" si="85"/>
        <v>1</v>
      </c>
      <c r="N510" s="924"/>
      <c r="O510" s="51">
        <f t="shared" si="86"/>
        <v>1</v>
      </c>
      <c r="P510" s="924"/>
      <c r="Q510" s="51">
        <f t="shared" si="87"/>
        <v>1</v>
      </c>
      <c r="R510" s="467">
        <f t="shared" si="88"/>
        <v>0</v>
      </c>
      <c r="S510" s="765">
        <f t="shared" si="89"/>
        <v>0</v>
      </c>
    </row>
    <row r="511" spans="1:19">
      <c r="A511" s="926"/>
      <c r="B511" s="132"/>
      <c r="C511" s="51">
        <f t="shared" si="80"/>
        <v>1</v>
      </c>
      <c r="D511" s="924"/>
      <c r="E511" s="51">
        <f t="shared" si="81"/>
        <v>1</v>
      </c>
      <c r="F511" s="924"/>
      <c r="G511" s="51">
        <f t="shared" si="82"/>
        <v>1</v>
      </c>
      <c r="H511" s="924"/>
      <c r="I511" s="51">
        <f t="shared" si="83"/>
        <v>1</v>
      </c>
      <c r="J511" s="924"/>
      <c r="K511" s="51">
        <f t="shared" si="84"/>
        <v>1</v>
      </c>
      <c r="L511" s="924"/>
      <c r="M511" s="51">
        <f t="shared" si="85"/>
        <v>1</v>
      </c>
      <c r="N511" s="924"/>
      <c r="O511" s="51">
        <f t="shared" si="86"/>
        <v>1</v>
      </c>
      <c r="P511" s="924"/>
      <c r="Q511" s="51">
        <f t="shared" si="87"/>
        <v>1</v>
      </c>
      <c r="R511" s="467">
        <f t="shared" si="88"/>
        <v>0</v>
      </c>
      <c r="S511" s="765">
        <f t="shared" si="89"/>
        <v>0</v>
      </c>
    </row>
    <row r="512" spans="1:19">
      <c r="A512" s="926"/>
      <c r="B512" s="132"/>
      <c r="C512" s="51">
        <f t="shared" si="80"/>
        <v>1</v>
      </c>
      <c r="D512" s="924"/>
      <c r="E512" s="51">
        <f t="shared" si="81"/>
        <v>1</v>
      </c>
      <c r="F512" s="924"/>
      <c r="G512" s="51">
        <f t="shared" si="82"/>
        <v>1</v>
      </c>
      <c r="H512" s="924"/>
      <c r="I512" s="51">
        <f t="shared" si="83"/>
        <v>1</v>
      </c>
      <c r="J512" s="924"/>
      <c r="K512" s="51">
        <f t="shared" si="84"/>
        <v>1</v>
      </c>
      <c r="L512" s="924"/>
      <c r="M512" s="51">
        <f t="shared" si="85"/>
        <v>1</v>
      </c>
      <c r="N512" s="924"/>
      <c r="O512" s="51">
        <f t="shared" si="86"/>
        <v>1</v>
      </c>
      <c r="P512" s="924"/>
      <c r="Q512" s="51">
        <f t="shared" si="87"/>
        <v>1</v>
      </c>
      <c r="R512" s="467">
        <f t="shared" si="88"/>
        <v>0</v>
      </c>
      <c r="S512" s="765">
        <f t="shared" si="89"/>
        <v>0</v>
      </c>
    </row>
    <row r="513" spans="1:19">
      <c r="A513" s="926"/>
      <c r="B513" s="132"/>
      <c r="C513" s="51">
        <f t="shared" si="80"/>
        <v>1</v>
      </c>
      <c r="D513" s="924"/>
      <c r="E513" s="51">
        <f t="shared" si="81"/>
        <v>1</v>
      </c>
      <c r="F513" s="924"/>
      <c r="G513" s="51">
        <f t="shared" si="82"/>
        <v>1</v>
      </c>
      <c r="H513" s="924"/>
      <c r="I513" s="51">
        <f t="shared" si="83"/>
        <v>1</v>
      </c>
      <c r="J513" s="924"/>
      <c r="K513" s="51">
        <f t="shared" si="84"/>
        <v>1</v>
      </c>
      <c r="L513" s="924"/>
      <c r="M513" s="51">
        <f t="shared" si="85"/>
        <v>1</v>
      </c>
      <c r="N513" s="924"/>
      <c r="O513" s="51">
        <f t="shared" si="86"/>
        <v>1</v>
      </c>
      <c r="P513" s="924"/>
      <c r="Q513" s="51">
        <f t="shared" si="87"/>
        <v>1</v>
      </c>
      <c r="R513" s="467">
        <f t="shared" si="88"/>
        <v>0</v>
      </c>
      <c r="S513" s="765">
        <f t="shared" si="89"/>
        <v>0</v>
      </c>
    </row>
    <row r="514" spans="1:19">
      <c r="A514" s="926"/>
      <c r="B514" s="132"/>
      <c r="C514" s="51">
        <f t="shared" si="80"/>
        <v>1</v>
      </c>
      <c r="D514" s="924"/>
      <c r="E514" s="51">
        <f t="shared" si="81"/>
        <v>1</v>
      </c>
      <c r="F514" s="924"/>
      <c r="G514" s="51">
        <f t="shared" si="82"/>
        <v>1</v>
      </c>
      <c r="H514" s="924"/>
      <c r="I514" s="51">
        <f t="shared" si="83"/>
        <v>1</v>
      </c>
      <c r="J514" s="924"/>
      <c r="K514" s="51">
        <f t="shared" si="84"/>
        <v>1</v>
      </c>
      <c r="L514" s="924"/>
      <c r="M514" s="51">
        <f t="shared" si="85"/>
        <v>1</v>
      </c>
      <c r="N514" s="924"/>
      <c r="O514" s="51">
        <f t="shared" si="86"/>
        <v>1</v>
      </c>
      <c r="P514" s="924"/>
      <c r="Q514" s="51">
        <f t="shared" si="87"/>
        <v>1</v>
      </c>
      <c r="R514" s="467">
        <f t="shared" si="88"/>
        <v>0</v>
      </c>
      <c r="S514" s="765">
        <f t="shared" si="89"/>
        <v>0</v>
      </c>
    </row>
    <row r="515" spans="1:19">
      <c r="A515" s="926"/>
      <c r="B515" s="132"/>
      <c r="C515" s="51">
        <f t="shared" si="80"/>
        <v>1</v>
      </c>
      <c r="D515" s="924"/>
      <c r="E515" s="51">
        <f t="shared" si="81"/>
        <v>1</v>
      </c>
      <c r="F515" s="924"/>
      <c r="G515" s="51">
        <f t="shared" si="82"/>
        <v>1</v>
      </c>
      <c r="H515" s="924"/>
      <c r="I515" s="51">
        <f t="shared" si="83"/>
        <v>1</v>
      </c>
      <c r="J515" s="924"/>
      <c r="K515" s="51">
        <f t="shared" si="84"/>
        <v>1</v>
      </c>
      <c r="L515" s="924"/>
      <c r="M515" s="51">
        <f t="shared" si="85"/>
        <v>1</v>
      </c>
      <c r="N515" s="924"/>
      <c r="O515" s="51">
        <f t="shared" si="86"/>
        <v>1</v>
      </c>
      <c r="P515" s="924"/>
      <c r="Q515" s="51">
        <f t="shared" si="87"/>
        <v>1</v>
      </c>
      <c r="R515" s="467">
        <f t="shared" si="88"/>
        <v>0</v>
      </c>
      <c r="S515" s="765">
        <f t="shared" si="89"/>
        <v>0</v>
      </c>
    </row>
    <row r="516" spans="1:19">
      <c r="A516" s="926"/>
      <c r="B516" s="132"/>
      <c r="C516" s="51">
        <f t="shared" si="80"/>
        <v>1</v>
      </c>
      <c r="D516" s="924"/>
      <c r="E516" s="51">
        <f t="shared" si="81"/>
        <v>1</v>
      </c>
      <c r="F516" s="924"/>
      <c r="G516" s="51">
        <f t="shared" si="82"/>
        <v>1</v>
      </c>
      <c r="H516" s="924"/>
      <c r="I516" s="51">
        <f t="shared" si="83"/>
        <v>1</v>
      </c>
      <c r="J516" s="924"/>
      <c r="K516" s="51">
        <f t="shared" si="84"/>
        <v>1</v>
      </c>
      <c r="L516" s="924"/>
      <c r="M516" s="51">
        <f t="shared" si="85"/>
        <v>1</v>
      </c>
      <c r="N516" s="924"/>
      <c r="O516" s="51">
        <f t="shared" si="86"/>
        <v>1</v>
      </c>
      <c r="P516" s="924"/>
      <c r="Q516" s="51">
        <f t="shared" si="87"/>
        <v>1</v>
      </c>
      <c r="R516" s="467">
        <f t="shared" si="88"/>
        <v>0</v>
      </c>
      <c r="S516" s="765">
        <f t="shared" si="89"/>
        <v>0</v>
      </c>
    </row>
    <row r="517" spans="1:19">
      <c r="A517" s="926"/>
      <c r="B517" s="132"/>
      <c r="C517" s="51">
        <f t="shared" si="80"/>
        <v>1</v>
      </c>
      <c r="D517" s="924"/>
      <c r="E517" s="51">
        <f t="shared" si="81"/>
        <v>1</v>
      </c>
      <c r="F517" s="924"/>
      <c r="G517" s="51">
        <f t="shared" si="82"/>
        <v>1</v>
      </c>
      <c r="H517" s="924"/>
      <c r="I517" s="51">
        <f t="shared" si="83"/>
        <v>1</v>
      </c>
      <c r="J517" s="924"/>
      <c r="K517" s="51">
        <f t="shared" si="84"/>
        <v>1</v>
      </c>
      <c r="L517" s="924"/>
      <c r="M517" s="51">
        <f t="shared" si="85"/>
        <v>1</v>
      </c>
      <c r="N517" s="924"/>
      <c r="O517" s="51">
        <f t="shared" si="86"/>
        <v>1</v>
      </c>
      <c r="P517" s="924"/>
      <c r="Q517" s="51">
        <f t="shared" si="87"/>
        <v>1</v>
      </c>
      <c r="R517" s="467">
        <f t="shared" si="88"/>
        <v>0</v>
      </c>
      <c r="S517" s="765">
        <f t="shared" si="89"/>
        <v>0</v>
      </c>
    </row>
    <row r="518" spans="1:19">
      <c r="A518" s="926"/>
      <c r="B518" s="132"/>
      <c r="C518" s="51">
        <f t="shared" si="80"/>
        <v>1</v>
      </c>
      <c r="D518" s="924"/>
      <c r="E518" s="51">
        <f t="shared" si="81"/>
        <v>1</v>
      </c>
      <c r="F518" s="924"/>
      <c r="G518" s="51">
        <f t="shared" si="82"/>
        <v>1</v>
      </c>
      <c r="H518" s="924"/>
      <c r="I518" s="51">
        <f t="shared" si="83"/>
        <v>1</v>
      </c>
      <c r="J518" s="924"/>
      <c r="K518" s="51">
        <f t="shared" si="84"/>
        <v>1</v>
      </c>
      <c r="L518" s="924"/>
      <c r="M518" s="51">
        <f t="shared" si="85"/>
        <v>1</v>
      </c>
      <c r="N518" s="924"/>
      <c r="O518" s="51">
        <f t="shared" si="86"/>
        <v>1</v>
      </c>
      <c r="P518" s="924"/>
      <c r="Q518" s="51">
        <f t="shared" si="87"/>
        <v>1</v>
      </c>
      <c r="R518" s="467">
        <f t="shared" si="88"/>
        <v>0</v>
      </c>
      <c r="S518" s="765">
        <f t="shared" si="89"/>
        <v>0</v>
      </c>
    </row>
    <row r="519" spans="1:19">
      <c r="A519" s="926"/>
      <c r="B519" s="132"/>
      <c r="C519" s="51">
        <f t="shared" si="80"/>
        <v>1</v>
      </c>
      <c r="D519" s="924"/>
      <c r="E519" s="51">
        <f t="shared" si="81"/>
        <v>1</v>
      </c>
      <c r="F519" s="924"/>
      <c r="G519" s="51">
        <f t="shared" si="82"/>
        <v>1</v>
      </c>
      <c r="H519" s="924"/>
      <c r="I519" s="51">
        <f t="shared" si="83"/>
        <v>1</v>
      </c>
      <c r="J519" s="924"/>
      <c r="K519" s="51">
        <f t="shared" si="84"/>
        <v>1</v>
      </c>
      <c r="L519" s="924"/>
      <c r="M519" s="51">
        <f t="shared" si="85"/>
        <v>1</v>
      </c>
      <c r="N519" s="924"/>
      <c r="O519" s="51">
        <f t="shared" si="86"/>
        <v>1</v>
      </c>
      <c r="P519" s="924"/>
      <c r="Q519" s="51">
        <f t="shared" si="87"/>
        <v>1</v>
      </c>
      <c r="R519" s="467">
        <f t="shared" si="88"/>
        <v>0</v>
      </c>
      <c r="S519" s="765">
        <f t="shared" si="89"/>
        <v>0</v>
      </c>
    </row>
    <row r="520" spans="1:19">
      <c r="A520" s="926"/>
      <c r="B520" s="132"/>
      <c r="C520" s="51">
        <f t="shared" si="80"/>
        <v>1</v>
      </c>
      <c r="D520" s="924"/>
      <c r="E520" s="51">
        <f t="shared" si="81"/>
        <v>1</v>
      </c>
      <c r="F520" s="924"/>
      <c r="G520" s="51">
        <f t="shared" si="82"/>
        <v>1</v>
      </c>
      <c r="H520" s="924"/>
      <c r="I520" s="51">
        <f t="shared" si="83"/>
        <v>1</v>
      </c>
      <c r="J520" s="924"/>
      <c r="K520" s="51">
        <f t="shared" si="84"/>
        <v>1</v>
      </c>
      <c r="L520" s="924"/>
      <c r="M520" s="51">
        <f t="shared" si="85"/>
        <v>1</v>
      </c>
      <c r="N520" s="924"/>
      <c r="O520" s="51">
        <f t="shared" si="86"/>
        <v>1</v>
      </c>
      <c r="P520" s="924"/>
      <c r="Q520" s="51">
        <f t="shared" si="87"/>
        <v>1</v>
      </c>
      <c r="R520" s="467">
        <f t="shared" si="88"/>
        <v>0</v>
      </c>
      <c r="S520" s="765">
        <f t="shared" si="89"/>
        <v>0</v>
      </c>
    </row>
    <row r="521" spans="1:19">
      <c r="A521" s="926"/>
      <c r="B521" s="132"/>
      <c r="C521" s="51">
        <f t="shared" si="80"/>
        <v>1</v>
      </c>
      <c r="D521" s="924"/>
      <c r="E521" s="51">
        <f t="shared" si="81"/>
        <v>1</v>
      </c>
      <c r="F521" s="924"/>
      <c r="G521" s="51">
        <f t="shared" si="82"/>
        <v>1</v>
      </c>
      <c r="H521" s="924"/>
      <c r="I521" s="51">
        <f t="shared" si="83"/>
        <v>1</v>
      </c>
      <c r="J521" s="924"/>
      <c r="K521" s="51">
        <f t="shared" si="84"/>
        <v>1</v>
      </c>
      <c r="L521" s="924"/>
      <c r="M521" s="51">
        <f t="shared" si="85"/>
        <v>1</v>
      </c>
      <c r="N521" s="924"/>
      <c r="O521" s="51">
        <f t="shared" si="86"/>
        <v>1</v>
      </c>
      <c r="P521" s="924"/>
      <c r="Q521" s="51">
        <f t="shared" si="87"/>
        <v>1</v>
      </c>
      <c r="R521" s="467">
        <f t="shared" si="88"/>
        <v>0</v>
      </c>
      <c r="S521" s="765">
        <f t="shared" si="89"/>
        <v>0</v>
      </c>
    </row>
    <row r="522" spans="1:19">
      <c r="A522" s="926"/>
      <c r="B522" s="132"/>
      <c r="C522" s="51">
        <f t="shared" si="80"/>
        <v>1</v>
      </c>
      <c r="D522" s="924"/>
      <c r="E522" s="51">
        <f t="shared" si="81"/>
        <v>1</v>
      </c>
      <c r="F522" s="924"/>
      <c r="G522" s="51">
        <f t="shared" si="82"/>
        <v>1</v>
      </c>
      <c r="H522" s="924"/>
      <c r="I522" s="51">
        <f t="shared" si="83"/>
        <v>1</v>
      </c>
      <c r="J522" s="924"/>
      <c r="K522" s="51">
        <f t="shared" si="84"/>
        <v>1</v>
      </c>
      <c r="L522" s="924"/>
      <c r="M522" s="51">
        <f t="shared" si="85"/>
        <v>1</v>
      </c>
      <c r="N522" s="924"/>
      <c r="O522" s="51">
        <f t="shared" si="86"/>
        <v>1</v>
      </c>
      <c r="P522" s="924"/>
      <c r="Q522" s="51">
        <f t="shared" si="87"/>
        <v>1</v>
      </c>
      <c r="R522" s="467">
        <f t="shared" si="88"/>
        <v>0</v>
      </c>
      <c r="S522" s="765">
        <f t="shared" si="89"/>
        <v>0</v>
      </c>
    </row>
    <row r="523" spans="1:19">
      <c r="A523" s="926"/>
      <c r="B523" s="132"/>
      <c r="C523" s="51">
        <f t="shared" si="80"/>
        <v>1</v>
      </c>
      <c r="D523" s="924"/>
      <c r="E523" s="51">
        <f t="shared" si="81"/>
        <v>1</v>
      </c>
      <c r="F523" s="924"/>
      <c r="G523" s="51">
        <f t="shared" si="82"/>
        <v>1</v>
      </c>
      <c r="H523" s="924"/>
      <c r="I523" s="51">
        <f t="shared" si="83"/>
        <v>1</v>
      </c>
      <c r="J523" s="924"/>
      <c r="K523" s="51">
        <f t="shared" si="84"/>
        <v>1</v>
      </c>
      <c r="L523" s="924"/>
      <c r="M523" s="51">
        <f t="shared" si="85"/>
        <v>1</v>
      </c>
      <c r="N523" s="924"/>
      <c r="O523" s="51">
        <f t="shared" si="86"/>
        <v>1</v>
      </c>
      <c r="P523" s="924"/>
      <c r="Q523" s="51">
        <f t="shared" si="87"/>
        <v>1</v>
      </c>
      <c r="R523" s="467">
        <f t="shared" si="88"/>
        <v>0</v>
      </c>
      <c r="S523" s="765">
        <f t="shared" si="89"/>
        <v>0</v>
      </c>
    </row>
    <row r="524" spans="1:19">
      <c r="A524" s="926"/>
      <c r="B524" s="132"/>
      <c r="C524" s="51">
        <f t="shared" si="80"/>
        <v>1</v>
      </c>
      <c r="D524" s="924"/>
      <c r="E524" s="51">
        <f t="shared" si="81"/>
        <v>1</v>
      </c>
      <c r="F524" s="924"/>
      <c r="G524" s="51">
        <f t="shared" si="82"/>
        <v>1</v>
      </c>
      <c r="H524" s="924"/>
      <c r="I524" s="51">
        <f t="shared" si="83"/>
        <v>1</v>
      </c>
      <c r="J524" s="924"/>
      <c r="K524" s="51">
        <f t="shared" si="84"/>
        <v>1</v>
      </c>
      <c r="L524" s="924"/>
      <c r="M524" s="51">
        <f t="shared" si="85"/>
        <v>1</v>
      </c>
      <c r="N524" s="924"/>
      <c r="O524" s="51">
        <f t="shared" si="86"/>
        <v>1</v>
      </c>
      <c r="P524" s="924"/>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3"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2065</v>
      </c>
      <c r="C1" s="2481">
        <f>项目基本情况!D3</f>
        <v>45175</v>
      </c>
      <c r="H1" s="2416">
        <f>IF(C1&gt;C13,0,MATCH(C1,C$13:C$111,-1))+IF(SUMIF(C13:C111,C1,D13:D111)=0,13,12)</f>
        <v>13</v>
      </c>
      <c r="I1" s="2416">
        <f>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2096</v>
      </c>
      <c r="C2" s="2482">
        <f>'数据-取费表'!B22</f>
        <v>2</v>
      </c>
      <c r="D2" s="2477" t="s">
        <v>2066</v>
      </c>
      <c r="E2" s="2480">
        <f ca="1">INDIRECT("I"&amp;$I$1)/100</f>
        <v>3.4500000000000003E-2</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0</v>
      </c>
      <c r="D3" s="2477" t="s">
        <v>2066</v>
      </c>
      <c r="E3" s="2480">
        <f ca="1">INDIRECT("J"&amp;$J$1)/100</f>
        <v>0</v>
      </c>
      <c r="G3" s="2420" t="s">
        <v>2069</v>
      </c>
      <c r="H3" s="2421">
        <v>0</v>
      </c>
      <c r="I3" s="2422">
        <f ca="1">INDIRECT("d"&amp;$H$1)</f>
        <v>3.45</v>
      </c>
      <c r="J3" s="2422">
        <f ca="1">INDIRECT("d"&amp;$H$1)</f>
        <v>3.45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3.45</v>
      </c>
      <c r="J4" s="2428">
        <f ca="1">INDIRECT("e"&amp;$H$1)</f>
        <v>3.45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3.45</v>
      </c>
      <c r="J5" s="2428">
        <f ca="1">INDIRECT("f"&amp;$H$1)</f>
        <v>3.45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3.45</v>
      </c>
      <c r="J6" s="2428">
        <f ca="1">INDIRECT("g"&amp;$H$1)</f>
        <v>3.45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2073</v>
      </c>
      <c r="H7" s="2432">
        <v>5</v>
      </c>
      <c r="I7" s="2433">
        <f ca="1">INDIRECT("h"&amp;$H$1)</f>
        <v>4.2</v>
      </c>
      <c r="J7" s="2433">
        <f ca="1">INDIRECT("h"&amp;$H$1)</f>
        <v>4.2</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2094</v>
      </c>
      <c r="C13" s="2463">
        <v>45159</v>
      </c>
      <c r="D13" s="2464">
        <v>3.45</v>
      </c>
      <c r="E13" s="2464">
        <f>D13</f>
        <v>3.45</v>
      </c>
      <c r="F13" s="2464">
        <f>D13</f>
        <v>3.45</v>
      </c>
      <c r="G13" s="2464">
        <f>D13</f>
        <v>3.45</v>
      </c>
      <c r="H13" s="2464">
        <v>4.2</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45097</v>
      </c>
      <c r="D14" s="2468">
        <v>3.55</v>
      </c>
      <c r="E14" s="2468">
        <f>D14</f>
        <v>3.55</v>
      </c>
      <c r="F14" s="2468">
        <f>D14</f>
        <v>3.55</v>
      </c>
      <c r="G14" s="2468">
        <f>D14</f>
        <v>3.55</v>
      </c>
      <c r="H14" s="2468">
        <v>4.2</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44795</v>
      </c>
      <c r="D15" s="2468">
        <v>3.65</v>
      </c>
      <c r="E15" s="2468">
        <v>3.65</v>
      </c>
      <c r="F15" s="2468">
        <v>3.65</v>
      </c>
      <c r="G15" s="2468">
        <v>3.65</v>
      </c>
      <c r="H15" s="2468">
        <v>4.3</v>
      </c>
      <c r="I15" s="2464"/>
      <c r="J15" s="2464"/>
      <c r="K15" s="2461"/>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44701</v>
      </c>
      <c r="D16" s="2468">
        <v>3.7</v>
      </c>
      <c r="E16" s="2468">
        <f>D16</f>
        <v>3.7</v>
      </c>
      <c r="F16" s="2468">
        <f>D16</f>
        <v>3.7</v>
      </c>
      <c r="G16" s="2468">
        <f>D16</f>
        <v>3.7</v>
      </c>
      <c r="H16" s="2468">
        <v>4.45</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2"/>
      <c r="C17" s="2469">
        <v>44581</v>
      </c>
      <c r="D17" s="2468">
        <v>3.7</v>
      </c>
      <c r="E17" s="2468">
        <f>D17</f>
        <v>3.7</v>
      </c>
      <c r="F17" s="2468">
        <f>D17</f>
        <v>3.7</v>
      </c>
      <c r="G17" s="2468">
        <f>D17</f>
        <v>3.7</v>
      </c>
      <c r="H17" s="2468">
        <v>4.5999999999999996</v>
      </c>
      <c r="I17" s="2464"/>
      <c r="J17" s="2464"/>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2"/>
      <c r="C18" s="2469">
        <v>44550</v>
      </c>
      <c r="D18" s="2468">
        <v>3.8</v>
      </c>
      <c r="E18" s="2468">
        <f>D18</f>
        <v>3.8</v>
      </c>
      <c r="F18" s="2468">
        <f>D18</f>
        <v>3.8</v>
      </c>
      <c r="G18" s="2468">
        <f>D18</f>
        <v>3.8</v>
      </c>
      <c r="H18" s="2468">
        <v>4.6500000000000004</v>
      </c>
      <c r="I18" s="2464"/>
      <c r="J18" s="2464"/>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2461"/>
      <c r="B19" s="2468"/>
      <c r="C19" s="2469">
        <v>43941</v>
      </c>
      <c r="D19" s="2468">
        <v>3.85</v>
      </c>
      <c r="E19" s="2468">
        <v>3.85</v>
      </c>
      <c r="F19" s="2468">
        <v>3.85</v>
      </c>
      <c r="G19" s="2468">
        <v>3.85</v>
      </c>
      <c r="H19" s="2468">
        <v>4.6500000000000004</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43881</v>
      </c>
      <c r="D20" s="2468">
        <v>4.05</v>
      </c>
      <c r="E20" s="2468">
        <v>4.05</v>
      </c>
      <c r="F20" s="2468">
        <v>4.05</v>
      </c>
      <c r="G20" s="2468">
        <v>4.05</v>
      </c>
      <c r="H20" s="2468">
        <v>4.75</v>
      </c>
      <c r="I20" s="2468"/>
      <c r="J20" s="2468"/>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8"/>
      <c r="C21" s="2469">
        <v>43789</v>
      </c>
      <c r="D21" s="2468">
        <v>4.1500000000000004</v>
      </c>
      <c r="E21" s="2468">
        <v>4.1500000000000004</v>
      </c>
      <c r="F21" s="2468">
        <v>4.1500000000000004</v>
      </c>
      <c r="G21" s="2468">
        <v>4.1500000000000004</v>
      </c>
      <c r="H21" s="2468">
        <v>4.8</v>
      </c>
      <c r="I21" s="2468"/>
      <c r="J21" s="2468"/>
      <c r="K21" s="2455"/>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2461"/>
      <c r="B22" s="2468"/>
      <c r="C22" s="2469">
        <v>43728</v>
      </c>
      <c r="D22" s="2468">
        <v>4.2</v>
      </c>
      <c r="E22" s="2468">
        <v>4.2</v>
      </c>
      <c r="F22" s="2468">
        <v>4.2</v>
      </c>
      <c r="G22" s="2468">
        <v>4.2</v>
      </c>
      <c r="H22" s="2468">
        <v>4.8499999999999996</v>
      </c>
      <c r="I22" s="2468"/>
      <c r="J22" s="2468"/>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ht="14.25">
      <c r="A23" s="3022"/>
      <c r="B23" s="2462" t="s">
        <v>2281</v>
      </c>
      <c r="C23" s="2470">
        <v>43697</v>
      </c>
      <c r="D23" s="3019">
        <v>4.25</v>
      </c>
      <c r="E23" s="3019">
        <v>4.25</v>
      </c>
      <c r="F23" s="3019">
        <v>4.25</v>
      </c>
      <c r="G23" s="3019">
        <v>4.25</v>
      </c>
      <c r="H23" s="3019">
        <v>4.8499999999999996</v>
      </c>
      <c r="I23" s="3019"/>
      <c r="J23" s="3019"/>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ht="14.25">
      <c r="B24" s="3023"/>
      <c r="C24" s="3024">
        <v>42301</v>
      </c>
      <c r="D24" s="3025">
        <v>4.3499999999999996</v>
      </c>
      <c r="E24" s="3025">
        <v>4.3499999999999996</v>
      </c>
      <c r="F24" s="3025">
        <v>4.75</v>
      </c>
      <c r="G24" s="3025">
        <v>4.75</v>
      </c>
      <c r="H24" s="3025">
        <v>4.9000000000000004</v>
      </c>
      <c r="I24" s="3025"/>
      <c r="J24" s="3025"/>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42242</v>
      </c>
      <c r="D25" s="2468">
        <v>4.5999999999999996</v>
      </c>
      <c r="E25" s="2468">
        <v>4.5999999999999996</v>
      </c>
      <c r="F25" s="2468">
        <v>5</v>
      </c>
      <c r="G25" s="2468">
        <v>5</v>
      </c>
      <c r="H25" s="2468">
        <v>5.15</v>
      </c>
      <c r="I25" s="2468">
        <v>2.75</v>
      </c>
      <c r="J25" s="2468">
        <v>3.25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42183</v>
      </c>
      <c r="D26" s="2468">
        <v>4.8499999999999996</v>
      </c>
      <c r="E26" s="2468">
        <v>4.8499999999999996</v>
      </c>
      <c r="F26" s="2468">
        <v>5.25</v>
      </c>
      <c r="G26" s="2468">
        <v>5.25</v>
      </c>
      <c r="H26" s="2468">
        <v>5.4</v>
      </c>
      <c r="I26" s="2468">
        <v>3</v>
      </c>
      <c r="J26" s="2468">
        <v>3.5</v>
      </c>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42135</v>
      </c>
      <c r="D27" s="2468">
        <v>5.0999999999999996</v>
      </c>
      <c r="E27" s="2468">
        <v>5.0999999999999996</v>
      </c>
      <c r="F27" s="2468">
        <v>5.5</v>
      </c>
      <c r="G27" s="2468">
        <v>5.5</v>
      </c>
      <c r="H27" s="2468">
        <v>5.65</v>
      </c>
      <c r="I27" s="2468">
        <v>3.25</v>
      </c>
      <c r="J27" s="2468">
        <v>3.75</v>
      </c>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42064</v>
      </c>
      <c r="D28" s="2468">
        <v>5.35</v>
      </c>
      <c r="E28" s="2468">
        <v>5.35</v>
      </c>
      <c r="F28" s="2468">
        <v>5.75</v>
      </c>
      <c r="G28" s="2468">
        <v>5.75</v>
      </c>
      <c r="H28" s="2468">
        <v>5.9</v>
      </c>
      <c r="I28" s="2468"/>
      <c r="J28" s="2468"/>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41965</v>
      </c>
      <c r="D29" s="2468">
        <v>5.6</v>
      </c>
      <c r="E29" s="2468">
        <v>5.6</v>
      </c>
      <c r="F29" s="2468">
        <v>6</v>
      </c>
      <c r="G29" s="2468">
        <v>6</v>
      </c>
      <c r="H29" s="2468">
        <v>6.15</v>
      </c>
      <c r="I29" s="2468"/>
      <c r="J29" s="2468"/>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41096</v>
      </c>
      <c r="D30" s="2468">
        <v>5.6</v>
      </c>
      <c r="E30" s="2468">
        <v>6</v>
      </c>
      <c r="F30" s="2468">
        <v>6.15</v>
      </c>
      <c r="G30" s="2468">
        <v>6.4</v>
      </c>
      <c r="H30" s="2468">
        <v>6.55</v>
      </c>
      <c r="I30" s="2468">
        <v>4</v>
      </c>
      <c r="J30" s="2468">
        <v>4.5</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41068</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40731</v>
      </c>
      <c r="D32" s="2468">
        <v>6.1</v>
      </c>
      <c r="E32" s="2468">
        <v>6.56</v>
      </c>
      <c r="F32" s="2468">
        <v>6.65</v>
      </c>
      <c r="G32" s="2468">
        <v>6.9</v>
      </c>
      <c r="H32" s="2468">
        <v>7.05</v>
      </c>
      <c r="I32" s="2468">
        <v>4.45</v>
      </c>
      <c r="J32" s="2468">
        <v>4.9000000000000004</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40639</v>
      </c>
      <c r="D33" s="2468">
        <v>5.85</v>
      </c>
      <c r="E33" s="2468">
        <v>6.31</v>
      </c>
      <c r="F33" s="2468">
        <v>6.4</v>
      </c>
      <c r="G33" s="2468">
        <v>6.65</v>
      </c>
      <c r="H33" s="2468">
        <v>6.8</v>
      </c>
      <c r="I33" s="2468">
        <v>4.2</v>
      </c>
      <c r="J33" s="2468">
        <v>4.7</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40583</v>
      </c>
      <c r="D34" s="2468">
        <v>5.6</v>
      </c>
      <c r="E34" s="2468">
        <v>6.06</v>
      </c>
      <c r="F34" s="2468">
        <v>6.1</v>
      </c>
      <c r="G34" s="2468">
        <v>6.45</v>
      </c>
      <c r="H34" s="2468">
        <v>6.6</v>
      </c>
      <c r="I34" s="2468">
        <v>4</v>
      </c>
      <c r="J34" s="2468">
        <v>4.5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40538</v>
      </c>
      <c r="D35" s="2468">
        <v>5.35</v>
      </c>
      <c r="E35" s="2468">
        <v>5.81</v>
      </c>
      <c r="F35" s="2468">
        <v>5.85</v>
      </c>
      <c r="G35" s="2468">
        <v>6.22</v>
      </c>
      <c r="H35" s="2468">
        <v>6.4</v>
      </c>
      <c r="I35" s="2468">
        <v>3.75</v>
      </c>
      <c r="J35" s="2468">
        <v>4.3</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40471</v>
      </c>
      <c r="D36" s="2468">
        <v>5.0999999999999996</v>
      </c>
      <c r="E36" s="2468">
        <v>5.56</v>
      </c>
      <c r="F36" s="2468">
        <v>5.6</v>
      </c>
      <c r="G36" s="2468">
        <v>5.96</v>
      </c>
      <c r="H36" s="2468">
        <v>6.14</v>
      </c>
      <c r="I36" s="2468">
        <v>3.5</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39805</v>
      </c>
      <c r="D37" s="2468">
        <v>4.8600000000000003</v>
      </c>
      <c r="E37" s="2468">
        <v>5.31</v>
      </c>
      <c r="F37" s="2468">
        <v>5.4</v>
      </c>
      <c r="G37" s="2468">
        <v>5.76</v>
      </c>
      <c r="H37" s="2468">
        <v>5.94</v>
      </c>
      <c r="I37" s="2468">
        <v>3.33</v>
      </c>
      <c r="J37" s="2468">
        <v>3.87</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69">
        <v>39779</v>
      </c>
      <c r="D38" s="2468">
        <v>5.04</v>
      </c>
      <c r="E38" s="2468">
        <v>5.58</v>
      </c>
      <c r="F38" s="2468">
        <v>5.67</v>
      </c>
      <c r="G38" s="2468">
        <v>5.94</v>
      </c>
      <c r="H38" s="2468">
        <v>6.12</v>
      </c>
      <c r="I38" s="2468">
        <v>3.51</v>
      </c>
      <c r="J38" s="2468">
        <v>4.05</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39751</v>
      </c>
      <c r="D39" s="2468">
        <v>6.03</v>
      </c>
      <c r="E39" s="2468">
        <v>6.66</v>
      </c>
      <c r="F39" s="2468">
        <v>6.75</v>
      </c>
      <c r="G39" s="2468">
        <v>7.02</v>
      </c>
      <c r="H39" s="2468">
        <v>7.2</v>
      </c>
      <c r="I39" s="2468">
        <v>4.05</v>
      </c>
      <c r="J39" s="2468">
        <v>4.59</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70">
        <v>39748</v>
      </c>
      <c r="D40" s="2468">
        <v>6.12</v>
      </c>
      <c r="E40" s="2468">
        <v>6.93</v>
      </c>
      <c r="F40" s="2468">
        <v>7.02</v>
      </c>
      <c r="G40" s="2468">
        <v>7.29</v>
      </c>
      <c r="H40" s="2468">
        <v>7.47</v>
      </c>
      <c r="I40" s="2468">
        <v>4.05</v>
      </c>
      <c r="J40" s="2468">
        <v>4.59</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39730</v>
      </c>
      <c r="D41" s="2468">
        <v>6.12</v>
      </c>
      <c r="E41" s="2468">
        <v>6.93</v>
      </c>
      <c r="F41" s="2468">
        <v>7.02</v>
      </c>
      <c r="G41" s="2468">
        <v>7.29</v>
      </c>
      <c r="H41" s="2468">
        <v>7.47</v>
      </c>
      <c r="I41" s="2468">
        <v>4.32</v>
      </c>
      <c r="J41" s="2468">
        <v>4.8600000000000003</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39707</v>
      </c>
      <c r="D42" s="2468">
        <v>6.21</v>
      </c>
      <c r="E42" s="2468">
        <v>7.2</v>
      </c>
      <c r="F42" s="2468">
        <v>7.29</v>
      </c>
      <c r="G42" s="2468">
        <v>7.56</v>
      </c>
      <c r="H42" s="2468">
        <v>7.74</v>
      </c>
      <c r="I42" s="2468">
        <v>4.59</v>
      </c>
      <c r="J42" s="2468">
        <v>5.13</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39437</v>
      </c>
      <c r="D43" s="2468">
        <v>6.57</v>
      </c>
      <c r="E43" s="2468">
        <v>7.47</v>
      </c>
      <c r="F43" s="2468">
        <v>7.56</v>
      </c>
      <c r="G43" s="2468">
        <v>7.74</v>
      </c>
      <c r="H43" s="2468">
        <v>7.83</v>
      </c>
      <c r="I43" s="2468">
        <v>4.7699999999999996</v>
      </c>
      <c r="J43" s="2468">
        <v>5.22</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69">
        <v>39340</v>
      </c>
      <c r="D44" s="2468">
        <v>6.48</v>
      </c>
      <c r="E44" s="2468">
        <v>7.29</v>
      </c>
      <c r="F44" s="2468">
        <v>7.47</v>
      </c>
      <c r="G44" s="2468">
        <v>7.65</v>
      </c>
      <c r="H44" s="2468">
        <v>7.83</v>
      </c>
      <c r="I44" s="2468">
        <v>4.7699999999999996</v>
      </c>
      <c r="J44" s="2468">
        <v>5.22</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39316</v>
      </c>
      <c r="D45" s="2468">
        <v>6.21</v>
      </c>
      <c r="E45" s="2468">
        <v>7.02</v>
      </c>
      <c r="F45" s="2468">
        <v>7.2</v>
      </c>
      <c r="G45" s="2468">
        <v>7.38</v>
      </c>
      <c r="H45" s="2468">
        <v>7.56</v>
      </c>
      <c r="I45" s="2468">
        <v>4.59</v>
      </c>
      <c r="J45" s="2468">
        <v>5.04</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39284</v>
      </c>
      <c r="D46" s="2468">
        <v>6.03</v>
      </c>
      <c r="E46" s="2468">
        <v>6.84</v>
      </c>
      <c r="F46" s="2468">
        <v>7.02</v>
      </c>
      <c r="G46" s="2468">
        <v>7.2</v>
      </c>
      <c r="H46" s="2468">
        <v>7.38</v>
      </c>
      <c r="I46" s="2468">
        <v>4.5</v>
      </c>
      <c r="J46" s="2468">
        <v>4.95</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39221</v>
      </c>
      <c r="D47" s="2468">
        <v>5.85</v>
      </c>
      <c r="E47" s="2468">
        <v>6.57</v>
      </c>
      <c r="F47" s="2468">
        <v>6.75</v>
      </c>
      <c r="G47" s="2468">
        <v>6.93</v>
      </c>
      <c r="H47" s="2468">
        <v>7.2</v>
      </c>
      <c r="I47" s="2468">
        <v>4.41</v>
      </c>
      <c r="J47" s="2468">
        <v>4.8600000000000003</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39159</v>
      </c>
      <c r="D48" s="2468">
        <v>5.67</v>
      </c>
      <c r="E48" s="2468">
        <v>6.39</v>
      </c>
      <c r="F48" s="2468">
        <v>6.57</v>
      </c>
      <c r="G48" s="2468">
        <v>6.75</v>
      </c>
      <c r="H48" s="2468">
        <v>7.11</v>
      </c>
      <c r="I48" s="2468">
        <v>4.32</v>
      </c>
      <c r="J48" s="2468">
        <v>4.7699999999999996</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38948</v>
      </c>
      <c r="D49" s="2468">
        <v>5.58</v>
      </c>
      <c r="E49" s="2468">
        <v>6.12</v>
      </c>
      <c r="F49" s="2468">
        <v>6.3</v>
      </c>
      <c r="G49" s="2468">
        <v>6.48</v>
      </c>
      <c r="H49" s="2468">
        <v>6.84</v>
      </c>
      <c r="I49" s="2468">
        <v>4.1399999999999997</v>
      </c>
      <c r="J49" s="2468">
        <v>4.59</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38835</v>
      </c>
      <c r="D50" s="2468">
        <v>5.4</v>
      </c>
      <c r="E50" s="2468">
        <v>5.85</v>
      </c>
      <c r="F50" s="2468">
        <v>6.03</v>
      </c>
      <c r="G50" s="2468">
        <v>6.12</v>
      </c>
      <c r="H50" s="2468">
        <v>6.39</v>
      </c>
      <c r="I50" s="2468">
        <v>4.1399999999999997</v>
      </c>
      <c r="J50" s="2468">
        <v>4.59</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38428</v>
      </c>
      <c r="D51" s="2468">
        <v>5.22</v>
      </c>
      <c r="E51" s="2468">
        <v>5.58</v>
      </c>
      <c r="F51" s="2468">
        <v>5.76</v>
      </c>
      <c r="G51" s="2468">
        <v>5.85</v>
      </c>
      <c r="H51" s="2468">
        <v>6.12</v>
      </c>
      <c r="I51" s="2468">
        <v>3.96</v>
      </c>
      <c r="J51" s="2468">
        <v>4.41</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38289</v>
      </c>
      <c r="D52" s="2468">
        <v>5.22</v>
      </c>
      <c r="E52" s="2468">
        <v>5.58</v>
      </c>
      <c r="F52" s="2468">
        <v>5.76</v>
      </c>
      <c r="G52" s="2468">
        <v>5.85</v>
      </c>
      <c r="H52" s="2468">
        <v>6.12</v>
      </c>
      <c r="I52" s="2468">
        <v>3.78</v>
      </c>
      <c r="J52" s="2468">
        <v>4.2300000000000004</v>
      </c>
      <c r="L52" s="2468"/>
      <c r="M52" s="2469"/>
      <c r="N52" s="2468"/>
      <c r="O52" s="2468"/>
      <c r="P52" s="2468"/>
      <c r="Q52" s="2468"/>
      <c r="R52" s="2468"/>
      <c r="S52" s="2468"/>
      <c r="T52" s="2468"/>
      <c r="U52" s="2468"/>
      <c r="V52" s="2468"/>
      <c r="W52" s="2468"/>
      <c r="X52" s="2468"/>
      <c r="Y52" s="2468"/>
      <c r="Z52" s="2468"/>
    </row>
    <row r="53" spans="2:26">
      <c r="B53" s="2468"/>
      <c r="C53" s="2469">
        <v>37308</v>
      </c>
      <c r="D53" s="2468">
        <v>5.04</v>
      </c>
      <c r="E53" s="2468">
        <v>5.31</v>
      </c>
      <c r="F53" s="2468">
        <v>5.49</v>
      </c>
      <c r="G53" s="2468">
        <v>5.58</v>
      </c>
      <c r="H53" s="2468">
        <v>5.76</v>
      </c>
      <c r="I53" s="2468">
        <v>3.6</v>
      </c>
      <c r="J53" s="2468">
        <v>4.05</v>
      </c>
      <c r="L53" s="2468"/>
      <c r="M53" s="2469"/>
      <c r="N53" s="2468"/>
      <c r="O53" s="2468"/>
      <c r="P53" s="2468"/>
      <c r="Q53" s="2468"/>
      <c r="R53" s="2468"/>
      <c r="S53" s="2468"/>
      <c r="T53" s="2468"/>
      <c r="U53" s="2468"/>
      <c r="V53" s="2468"/>
      <c r="W53" s="2468"/>
      <c r="X53" s="2468"/>
      <c r="Y53" s="2468"/>
      <c r="Z53" s="2468"/>
    </row>
    <row r="54" spans="2:26">
      <c r="B54" s="2468"/>
      <c r="C54" s="2469">
        <v>36321</v>
      </c>
      <c r="D54" s="2468">
        <v>5.58</v>
      </c>
      <c r="E54" s="2468">
        <v>5.85</v>
      </c>
      <c r="F54" s="2468">
        <v>5.94</v>
      </c>
      <c r="G54" s="2468">
        <v>6.03</v>
      </c>
      <c r="H54" s="2468">
        <v>6.21</v>
      </c>
      <c r="I54" s="2468">
        <v>4.1399999999999997</v>
      </c>
      <c r="J54" s="2468">
        <v>4.59</v>
      </c>
      <c r="L54" s="2468"/>
      <c r="M54" s="2469"/>
      <c r="N54" s="2468"/>
      <c r="O54" s="2468"/>
      <c r="P54" s="2468"/>
      <c r="Q54" s="2468"/>
      <c r="R54" s="2468"/>
      <c r="S54" s="2468"/>
      <c r="T54" s="2468"/>
      <c r="U54" s="2468"/>
      <c r="V54" s="2468"/>
      <c r="W54" s="2468"/>
      <c r="X54" s="2468"/>
      <c r="Y54" s="2468"/>
      <c r="Z54" s="2468"/>
    </row>
    <row r="55" spans="2:26">
      <c r="B55" s="2468"/>
      <c r="C55" s="2469">
        <v>36136</v>
      </c>
      <c r="D55" s="2468">
        <v>6.12</v>
      </c>
      <c r="E55" s="2468">
        <v>6.39</v>
      </c>
      <c r="F55" s="2468">
        <v>6.66</v>
      </c>
      <c r="G55" s="2468">
        <v>7.2</v>
      </c>
      <c r="H55" s="2468">
        <v>7.56</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35977</v>
      </c>
      <c r="D56" s="2468">
        <v>6.57</v>
      </c>
      <c r="E56" s="2468">
        <v>6.93</v>
      </c>
      <c r="F56" s="2468">
        <v>7.11</v>
      </c>
      <c r="G56" s="2468">
        <v>7.65</v>
      </c>
      <c r="H56" s="2468">
        <v>8.01</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35879</v>
      </c>
      <c r="D57" s="2468">
        <v>7.02</v>
      </c>
      <c r="E57" s="2468">
        <v>7.92</v>
      </c>
      <c r="F57" s="2468">
        <v>9</v>
      </c>
      <c r="G57" s="2468">
        <v>9.7200000000000006</v>
      </c>
      <c r="H57" s="2468">
        <v>10.35</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35726</v>
      </c>
      <c r="D58" s="2468">
        <v>7.65</v>
      </c>
      <c r="E58" s="2468">
        <v>8.64</v>
      </c>
      <c r="F58" s="2468">
        <v>9.36</v>
      </c>
      <c r="G58" s="2468">
        <v>9.9</v>
      </c>
      <c r="H58" s="2468">
        <v>10.53</v>
      </c>
      <c r="I58" s="2468">
        <v>0</v>
      </c>
      <c r="J58" s="2468">
        <v>0</v>
      </c>
    </row>
    <row r="59" spans="2:26">
      <c r="B59" s="2468"/>
      <c r="C59" s="2469">
        <v>35300</v>
      </c>
      <c r="D59" s="2468">
        <v>9.18</v>
      </c>
      <c r="E59" s="2468">
        <v>10.08</v>
      </c>
      <c r="F59" s="2468">
        <v>10.98</v>
      </c>
      <c r="G59" s="2468">
        <v>11.7</v>
      </c>
      <c r="H59" s="2468">
        <v>12.42</v>
      </c>
      <c r="I59" s="2468">
        <v>0</v>
      </c>
      <c r="J59" s="2468">
        <v>0</v>
      </c>
    </row>
    <row r="60" spans="2:26">
      <c r="B60" s="2468"/>
      <c r="C60" s="2469">
        <v>35186</v>
      </c>
      <c r="D60" s="2468">
        <v>9.7200000000000006</v>
      </c>
      <c r="E60" s="2468">
        <v>10.98</v>
      </c>
      <c r="F60" s="2468">
        <v>13.14</v>
      </c>
      <c r="G60" s="2468">
        <v>14.94</v>
      </c>
      <c r="H60" s="2468">
        <v>15.12</v>
      </c>
      <c r="I60" s="2468">
        <v>0</v>
      </c>
      <c r="J60" s="2468">
        <v>0</v>
      </c>
    </row>
    <row r="61" spans="2:26">
      <c r="B61" s="2468"/>
      <c r="C61" s="2469">
        <v>34881</v>
      </c>
      <c r="D61" s="2468">
        <v>10.08</v>
      </c>
      <c r="E61" s="2468">
        <v>12.06</v>
      </c>
      <c r="F61" s="2468">
        <v>13.5</v>
      </c>
      <c r="G61" s="2468">
        <v>15.12</v>
      </c>
      <c r="H61" s="2468">
        <v>15.3</v>
      </c>
      <c r="I61" s="2468">
        <v>0</v>
      </c>
      <c r="J61" s="2468">
        <v>0</v>
      </c>
    </row>
    <row r="62" spans="2:26">
      <c r="B62" s="2468"/>
      <c r="C62" s="2469">
        <v>34700</v>
      </c>
      <c r="D62" s="2468">
        <v>9</v>
      </c>
      <c r="E62" s="2468">
        <v>10.98</v>
      </c>
      <c r="F62" s="2468">
        <v>12.96</v>
      </c>
      <c r="G62" s="2468">
        <v>14.58</v>
      </c>
      <c r="H62" s="2468">
        <v>14.76</v>
      </c>
      <c r="I62" s="2468">
        <v>0</v>
      </c>
      <c r="J62" s="2468">
        <v>0</v>
      </c>
    </row>
    <row r="63" spans="2:26">
      <c r="B63" s="2468"/>
      <c r="C63" s="2469">
        <v>34161</v>
      </c>
      <c r="D63" s="2468">
        <v>9</v>
      </c>
      <c r="E63" s="2468">
        <v>10.98</v>
      </c>
      <c r="F63" s="2468">
        <v>12.24</v>
      </c>
      <c r="G63" s="2468">
        <v>13.86</v>
      </c>
      <c r="H63" s="2468">
        <v>14.04</v>
      </c>
      <c r="I63" s="2468">
        <v>0</v>
      </c>
      <c r="J63" s="2468">
        <v>0</v>
      </c>
    </row>
    <row r="64" spans="2:26">
      <c r="B64" s="2468"/>
      <c r="C64" s="2469">
        <v>34104</v>
      </c>
      <c r="D64" s="2468">
        <v>8.82</v>
      </c>
      <c r="E64" s="2468">
        <v>9.36</v>
      </c>
      <c r="F64" s="2468">
        <v>10.8</v>
      </c>
      <c r="G64" s="2468">
        <v>12.06</v>
      </c>
      <c r="H64" s="2468">
        <v>12.24</v>
      </c>
      <c r="I64" s="2468">
        <v>0</v>
      </c>
      <c r="J64" s="2468">
        <v>0</v>
      </c>
    </row>
    <row r="65" spans="2:10">
      <c r="B65" s="2468"/>
      <c r="C65" s="2469">
        <v>33349</v>
      </c>
      <c r="D65" s="2468">
        <v>8.1</v>
      </c>
      <c r="E65" s="2468">
        <v>8.64</v>
      </c>
      <c r="F65" s="2468">
        <v>9</v>
      </c>
      <c r="G65" s="2468">
        <v>9.5399999999999991</v>
      </c>
      <c r="H65" s="2468">
        <v>9.7200000000000006</v>
      </c>
      <c r="I65" s="2468">
        <v>0</v>
      </c>
      <c r="J65" s="2468">
        <v>0</v>
      </c>
    </row>
    <row r="66" spans="2:10">
      <c r="B66" s="2468"/>
      <c r="C66" s="2469">
        <v>33318</v>
      </c>
      <c r="D66" s="2468">
        <v>9</v>
      </c>
      <c r="E66" s="2468">
        <v>10.08</v>
      </c>
      <c r="F66" s="2468">
        <v>10.8</v>
      </c>
      <c r="G66" s="2468">
        <v>11.52</v>
      </c>
      <c r="H66" s="2468">
        <v>11.88</v>
      </c>
      <c r="I66" s="2468" t="s">
        <v>2095</v>
      </c>
      <c r="J66" s="2468" t="s">
        <v>2095</v>
      </c>
    </row>
    <row r="67" spans="2:10">
      <c r="B67" s="2468"/>
      <c r="C67" s="2469">
        <v>33106</v>
      </c>
      <c r="D67" s="2468">
        <v>8.64</v>
      </c>
      <c r="E67" s="2468">
        <v>9.36</v>
      </c>
      <c r="F67" s="2468">
        <v>10.08</v>
      </c>
      <c r="G67" s="2468">
        <v>10.8</v>
      </c>
      <c r="H67" s="2468">
        <v>11.16</v>
      </c>
      <c r="I67" s="2468">
        <v>0</v>
      </c>
      <c r="J67" s="2468">
        <v>0</v>
      </c>
    </row>
    <row r="68" spans="2:10">
      <c r="B68" s="2468"/>
      <c r="C68" s="2469">
        <v>32540</v>
      </c>
      <c r="D68" s="2468">
        <v>11.34</v>
      </c>
      <c r="E68" s="2468">
        <v>11.34</v>
      </c>
      <c r="F68" s="2468">
        <v>12.78</v>
      </c>
      <c r="G68" s="2468">
        <v>14.4</v>
      </c>
      <c r="H68" s="2468">
        <v>19.260000000000002</v>
      </c>
      <c r="I68" s="2468">
        <v>0</v>
      </c>
      <c r="J68" s="2468">
        <v>0</v>
      </c>
    </row>
    <row r="69" spans="2:10">
      <c r="B69" s="2468"/>
      <c r="C69" s="2469"/>
      <c r="D69" s="2468"/>
      <c r="E69" s="2468"/>
      <c r="F69" s="2468"/>
      <c r="G69" s="2468"/>
      <c r="H69" s="2468"/>
      <c r="I69" s="2468"/>
      <c r="J69" s="2468"/>
    </row>
    <row r="70" spans="2:10">
      <c r="B70" s="2471"/>
      <c r="C70" s="2472"/>
      <c r="D70" s="2471"/>
      <c r="E70" s="2471"/>
      <c r="F70" s="2471"/>
      <c r="G70" s="2471"/>
      <c r="H70" s="2471"/>
      <c r="I70" s="2471"/>
      <c r="J70" s="2471"/>
    </row>
    <row r="71" spans="2:10">
      <c r="B71" s="2471"/>
      <c r="C71" s="2472"/>
      <c r="D71" s="2471"/>
      <c r="E71" s="2471"/>
      <c r="F71" s="2471"/>
      <c r="G71" s="2471"/>
      <c r="H71" s="2471"/>
      <c r="I71" s="2471"/>
      <c r="J71" s="2471"/>
    </row>
    <row r="72" spans="2:10">
      <c r="B72" s="2471"/>
      <c r="C72" s="2472"/>
      <c r="D72" s="2471"/>
      <c r="E72" s="2471"/>
      <c r="F72" s="2471"/>
      <c r="G72" s="2471"/>
      <c r="H72" s="2471"/>
      <c r="I72" s="2471"/>
      <c r="J72" s="2471"/>
    </row>
    <row r="73" spans="2:10">
      <c r="B73" s="2419"/>
      <c r="C73" s="2419"/>
      <c r="D73" s="2419"/>
      <c r="E73" s="2419"/>
      <c r="F73" s="2419"/>
      <c r="G73" s="2419"/>
      <c r="H73" s="2419"/>
      <c r="I73" s="2419"/>
      <c r="J73" s="2419"/>
    </row>
    <row r="74" spans="2:10">
      <c r="B74" s="2419"/>
      <c r="C74" s="2419"/>
      <c r="D74" s="2419"/>
      <c r="E74" s="2419"/>
      <c r="F74" s="2419"/>
      <c r="G74" s="2419"/>
      <c r="H74" s="2419"/>
      <c r="I74" s="2419"/>
      <c r="J74" s="2419"/>
    </row>
  </sheetData>
  <sheetProtection password="CEE9" sheet="1" objects="1" scenarios="1"/>
  <phoneticPr fontId="22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M32" sqref="M32"/>
    </sheetView>
  </sheetViews>
  <sheetFormatPr defaultRowHeight="13.5"/>
  <sheetData/>
  <phoneticPr fontId="22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5" sqref="N25"/>
    </sheetView>
  </sheetViews>
  <sheetFormatPr defaultRowHeight="13.5"/>
  <sheetData/>
  <phoneticPr fontId="224" type="noConversion"/>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6:N17"/>
  <sheetViews>
    <sheetView topLeftCell="H1" workbookViewId="0">
      <selection activeCell="R16" sqref="R16"/>
    </sheetView>
  </sheetViews>
  <sheetFormatPr defaultRowHeight="13.5"/>
  <cols>
    <col min="12" max="12" width="11.625" bestFit="1" customWidth="1"/>
    <col min="13" max="13" width="10.5" bestFit="1" customWidth="1"/>
    <col min="14" max="14" width="11.625" bestFit="1" customWidth="1"/>
  </cols>
  <sheetData>
    <row r="6" spans="12:14">
      <c r="L6" s="2989" t="s">
        <v>3326</v>
      </c>
      <c r="M6" s="2989" t="s">
        <v>3327</v>
      </c>
    </row>
    <row r="7" spans="12:14">
      <c r="L7">
        <v>2285293000</v>
      </c>
      <c r="M7">
        <v>670000000</v>
      </c>
    </row>
    <row r="8" spans="12:14">
      <c r="L8">
        <v>862707000</v>
      </c>
    </row>
    <row r="10" spans="12:14">
      <c r="L10">
        <f>L7+L8</f>
        <v>3148000000</v>
      </c>
      <c r="M10">
        <f>M7+M8</f>
        <v>670000000</v>
      </c>
      <c r="N10">
        <f>M10+L10</f>
        <v>3818000000</v>
      </c>
    </row>
    <row r="12" spans="12:14">
      <c r="L12" s="2989" t="s">
        <v>3328</v>
      </c>
    </row>
    <row r="13" spans="12:14">
      <c r="L13">
        <v>114540000</v>
      </c>
    </row>
    <row r="17" spans="12:12">
      <c r="L17">
        <f>L13/0.03</f>
        <v>3818000000</v>
      </c>
    </row>
  </sheetData>
  <phoneticPr fontId="224" type="noConversion"/>
  <pageMargins left="0.7" right="0.7" top="0.75" bottom="0.75" header="0.3" footer="0.3"/>
  <pageSetup paperSize="9" orientation="portrait" horizontalDpi="300" verticalDpi="3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1"/>
  <sheetViews>
    <sheetView workbookViewId="0">
      <pane ySplit="1" topLeftCell="A2" activePane="bottomLeft" state="frozen"/>
      <selection activeCell="D1" sqref="D1"/>
      <selection pane="bottomLeft" activeCell="A3" sqref="A3"/>
    </sheetView>
  </sheetViews>
  <sheetFormatPr defaultRowHeight="13.5"/>
  <cols>
    <col min="1" max="1" width="179.625" bestFit="1" customWidth="1"/>
    <col min="2" max="2" width="7.25" bestFit="1" customWidth="1"/>
    <col min="3" max="3" width="29.375" bestFit="1" customWidth="1"/>
    <col min="4" max="4" width="7.25" bestFit="1" customWidth="1"/>
    <col min="5" max="5" width="8.125" bestFit="1" customWidth="1"/>
    <col min="6" max="6" width="18.375" bestFit="1" customWidth="1"/>
    <col min="7" max="7" width="70.75" bestFit="1" customWidth="1"/>
    <col min="8" max="8" width="18.5" bestFit="1" customWidth="1"/>
    <col min="9" max="10" width="19.375" bestFit="1" customWidth="1"/>
    <col min="11" max="11" width="113.5" bestFit="1" customWidth="1"/>
    <col min="12" max="12" width="13" bestFit="1" customWidth="1"/>
    <col min="13" max="13" width="11" bestFit="1" customWidth="1"/>
    <col min="14" max="14" width="79.375" bestFit="1" customWidth="1"/>
    <col min="15" max="15" width="15.5" bestFit="1" customWidth="1"/>
    <col min="16" max="16" width="14.25" bestFit="1" customWidth="1"/>
    <col min="17" max="17" width="111.75" bestFit="1" customWidth="1"/>
    <col min="18" max="18" width="122.125" bestFit="1" customWidth="1"/>
    <col min="19" max="19" width="66.625" bestFit="1" customWidth="1"/>
    <col min="20" max="20" width="40.5" bestFit="1" customWidth="1"/>
    <col min="21" max="21" width="52.875" bestFit="1" customWidth="1"/>
    <col min="22" max="22" width="16.375" bestFit="1" customWidth="1"/>
    <col min="23" max="26" width="21.375" bestFit="1" customWidth="1"/>
    <col min="27" max="30" width="11.625" bestFit="1" customWidth="1"/>
    <col min="31" max="31" width="33.875" bestFit="1" customWidth="1"/>
    <col min="32" max="32" width="11" bestFit="1" customWidth="1"/>
    <col min="33" max="33" width="97.625" bestFit="1" customWidth="1"/>
    <col min="34" max="34" width="40.25" bestFit="1" customWidth="1"/>
    <col min="35" max="35" width="41.375" bestFit="1" customWidth="1"/>
    <col min="36" max="37" width="15.125" bestFit="1" customWidth="1"/>
    <col min="38" max="38" width="18.375" bestFit="1" customWidth="1"/>
    <col min="39" max="39" width="15.125" bestFit="1" customWidth="1"/>
    <col min="40" max="43" width="22.5" bestFit="1" customWidth="1"/>
    <col min="44" max="45" width="20.5" bestFit="1" customWidth="1"/>
    <col min="46" max="47" width="31" bestFit="1" customWidth="1"/>
    <col min="48" max="48" width="12.125" bestFit="1" customWidth="1"/>
    <col min="49" max="49" width="33.375" bestFit="1" customWidth="1"/>
    <col min="50" max="50" width="15.125" bestFit="1" customWidth="1"/>
    <col min="51" max="51" width="13" bestFit="1" customWidth="1"/>
    <col min="52" max="52" width="22.625" bestFit="1" customWidth="1"/>
    <col min="53" max="53" width="20.5" bestFit="1" customWidth="1"/>
    <col min="54" max="54" width="16.25" bestFit="1" customWidth="1"/>
    <col min="55" max="55" width="18.375" bestFit="1" customWidth="1"/>
    <col min="56" max="56" width="20.5" bestFit="1" customWidth="1"/>
    <col min="57" max="57" width="11" bestFit="1" customWidth="1"/>
  </cols>
  <sheetData>
    <row r="1" spans="1:57">
      <c r="A1" s="3987" t="s">
        <v>3329</v>
      </c>
      <c r="B1" s="3987" t="s">
        <v>3330</v>
      </c>
      <c r="C1" s="3987" t="s">
        <v>3331</v>
      </c>
      <c r="D1" s="3987" t="s">
        <v>3332</v>
      </c>
      <c r="E1" s="3987" t="s">
        <v>3333</v>
      </c>
      <c r="F1" s="3987" t="s">
        <v>3334</v>
      </c>
      <c r="G1" s="3987" t="s">
        <v>3335</v>
      </c>
      <c r="H1" s="3987" t="s">
        <v>3336</v>
      </c>
      <c r="I1" s="3987" t="s">
        <v>3337</v>
      </c>
      <c r="J1" s="3987" t="s">
        <v>3338</v>
      </c>
      <c r="K1" s="3987" t="s">
        <v>1550</v>
      </c>
      <c r="L1" s="3987" t="s">
        <v>3339</v>
      </c>
      <c r="M1" s="3987" t="s">
        <v>3340</v>
      </c>
      <c r="N1" s="3987" t="s">
        <v>3341</v>
      </c>
      <c r="O1" s="3987" t="s">
        <v>3342</v>
      </c>
      <c r="P1" s="3987" t="s">
        <v>3343</v>
      </c>
      <c r="Q1" s="3987" t="s">
        <v>3344</v>
      </c>
      <c r="R1" s="3987" t="s">
        <v>3345</v>
      </c>
      <c r="S1" s="3987" t="s">
        <v>3346</v>
      </c>
      <c r="T1" s="3987" t="s">
        <v>3347</v>
      </c>
      <c r="U1" s="3987" t="s">
        <v>3348</v>
      </c>
      <c r="V1" s="3987" t="s">
        <v>3349</v>
      </c>
      <c r="W1" s="3987" t="s">
        <v>3350</v>
      </c>
      <c r="X1" s="3987" t="s">
        <v>3351</v>
      </c>
      <c r="Y1" s="3987" t="s">
        <v>3352</v>
      </c>
      <c r="Z1" s="3987" t="s">
        <v>3353</v>
      </c>
      <c r="AA1" s="3987" t="s">
        <v>3354</v>
      </c>
      <c r="AB1" s="3987" t="s">
        <v>3355</v>
      </c>
      <c r="AC1" s="3987" t="s">
        <v>3356</v>
      </c>
      <c r="AD1" s="3987" t="s">
        <v>3357</v>
      </c>
      <c r="AE1" s="3987" t="s">
        <v>3358</v>
      </c>
      <c r="AF1" s="3987" t="s">
        <v>3359</v>
      </c>
      <c r="AG1" s="3987" t="s">
        <v>3360</v>
      </c>
      <c r="AH1" s="3987" t="s">
        <v>3361</v>
      </c>
      <c r="AI1" s="3987" t="s">
        <v>3362</v>
      </c>
      <c r="AJ1" s="3987" t="s">
        <v>3363</v>
      </c>
      <c r="AK1" s="3987" t="s">
        <v>3364</v>
      </c>
      <c r="AL1" s="3987" t="s">
        <v>3365</v>
      </c>
      <c r="AM1" s="3987" t="s">
        <v>3366</v>
      </c>
      <c r="AN1" s="3987" t="s">
        <v>3367</v>
      </c>
      <c r="AO1" s="3987" t="s">
        <v>3368</v>
      </c>
      <c r="AP1" s="3987" t="s">
        <v>3369</v>
      </c>
      <c r="AQ1" s="3987" t="s">
        <v>3370</v>
      </c>
      <c r="AR1" s="3987" t="s">
        <v>3371</v>
      </c>
      <c r="AS1" s="3987" t="s">
        <v>3372</v>
      </c>
      <c r="AT1" s="3987" t="s">
        <v>3373</v>
      </c>
      <c r="AU1" s="3987" t="s">
        <v>3374</v>
      </c>
      <c r="AV1" s="3987" t="s">
        <v>3375</v>
      </c>
      <c r="AW1" s="3987" t="s">
        <v>3376</v>
      </c>
      <c r="AX1" s="3987" t="s">
        <v>3377</v>
      </c>
      <c r="AY1" s="3987" t="s">
        <v>3378</v>
      </c>
      <c r="AZ1" s="3987" t="s">
        <v>3379</v>
      </c>
      <c r="BA1" s="3987" t="s">
        <v>3380</v>
      </c>
      <c r="BB1" s="3987" t="s">
        <v>3381</v>
      </c>
      <c r="BC1" s="3987" t="s">
        <v>3382</v>
      </c>
      <c r="BD1" s="3987" t="s">
        <v>3383</v>
      </c>
      <c r="BE1" s="3987" t="s">
        <v>3384</v>
      </c>
    </row>
    <row r="2" spans="1:57">
      <c r="A2" s="3987" t="s">
        <v>3385</v>
      </c>
      <c r="B2" s="3987" t="s">
        <v>1465</v>
      </c>
      <c r="C2" s="3987" t="s">
        <v>3386</v>
      </c>
      <c r="D2" s="3987" t="s">
        <v>3387</v>
      </c>
      <c r="E2" s="3987" t="s">
        <v>3388</v>
      </c>
      <c r="F2" s="3987" t="s">
        <v>3389</v>
      </c>
      <c r="G2" s="3987" t="s">
        <v>3390</v>
      </c>
      <c r="H2" s="3987" t="s">
        <v>3391</v>
      </c>
      <c r="I2" s="3987">
        <v>64837.47</v>
      </c>
      <c r="J2" s="3987">
        <v>124634.93</v>
      </c>
      <c r="K2" s="3987" t="s">
        <v>3392</v>
      </c>
      <c r="L2" s="3987">
        <v>2</v>
      </c>
      <c r="M2" s="3987" t="s">
        <v>3393</v>
      </c>
      <c r="N2" s="3987" t="s">
        <v>3394</v>
      </c>
      <c r="O2" s="3987" t="s">
        <v>3395</v>
      </c>
      <c r="P2" s="3987" t="s">
        <v>3396</v>
      </c>
      <c r="Q2" s="3987">
        <v>0.3</v>
      </c>
      <c r="R2" s="3987" t="s">
        <v>3397</v>
      </c>
      <c r="S2" s="3987" t="s">
        <v>3398</v>
      </c>
      <c r="T2" s="3987" t="s">
        <v>3399</v>
      </c>
      <c r="U2" s="3987" t="s">
        <v>3400</v>
      </c>
      <c r="V2" s="3987" t="s">
        <v>3400</v>
      </c>
      <c r="W2" s="3987" t="s">
        <v>3400</v>
      </c>
      <c r="X2" s="3987" t="s">
        <v>3400</v>
      </c>
      <c r="Y2" s="3987">
        <v>0</v>
      </c>
      <c r="Z2" s="3987">
        <v>0</v>
      </c>
      <c r="AA2" s="3988">
        <v>45107.000497685185</v>
      </c>
      <c r="AB2" s="3988">
        <v>45127.000497685185</v>
      </c>
      <c r="AC2" s="3988">
        <v>45141.000497685185</v>
      </c>
      <c r="AD2" s="3988">
        <v>45141.000497685185</v>
      </c>
      <c r="AE2" s="3987" t="s">
        <v>3401</v>
      </c>
      <c r="AF2" s="3987" t="s">
        <v>3402</v>
      </c>
      <c r="AG2" s="3987" t="s">
        <v>3403</v>
      </c>
      <c r="AH2" s="3987" t="s">
        <v>3404</v>
      </c>
      <c r="AI2" s="3987" t="s">
        <v>3405</v>
      </c>
      <c r="AJ2" s="3987">
        <v>332000</v>
      </c>
      <c r="AK2" s="3987">
        <v>67000</v>
      </c>
      <c r="AL2" s="3987" t="s">
        <v>2095</v>
      </c>
      <c r="AM2" s="3987">
        <v>381800</v>
      </c>
      <c r="AN2" s="3987">
        <v>51204.959999999999</v>
      </c>
      <c r="AO2" s="3987">
        <v>58885.7</v>
      </c>
      <c r="AP2" s="3987">
        <v>3413.66</v>
      </c>
      <c r="AQ2" s="3987">
        <v>3925.71</v>
      </c>
      <c r="AR2" s="3987">
        <v>26638</v>
      </c>
      <c r="AS2" s="3987">
        <v>30633</v>
      </c>
      <c r="AT2" s="3987" t="s">
        <v>3400</v>
      </c>
      <c r="AU2" s="3987" t="s">
        <v>3400</v>
      </c>
      <c r="AV2" s="3987">
        <v>15</v>
      </c>
      <c r="AW2" s="3987" t="s">
        <v>3406</v>
      </c>
      <c r="AX2" s="3987">
        <v>381800</v>
      </c>
      <c r="AY2" s="3987" t="s">
        <v>3407</v>
      </c>
      <c r="AZ2" s="3987">
        <v>59000</v>
      </c>
      <c r="BA2" s="3987">
        <v>30633</v>
      </c>
      <c r="BB2" s="3987">
        <v>15</v>
      </c>
      <c r="BC2" s="3987">
        <v>27517</v>
      </c>
      <c r="BD2" s="3987">
        <v>59000</v>
      </c>
      <c r="BE2" s="3987" t="s">
        <v>3408</v>
      </c>
    </row>
    <row r="3" spans="1:57" s="3991" customFormat="1">
      <c r="A3" s="3989" t="s">
        <v>3409</v>
      </c>
      <c r="B3" s="3989" t="s">
        <v>1465</v>
      </c>
      <c r="C3" s="3989" t="s">
        <v>3410</v>
      </c>
      <c r="D3" s="3989" t="s">
        <v>3387</v>
      </c>
      <c r="E3" s="3989" t="s">
        <v>3388</v>
      </c>
      <c r="F3" s="3989" t="s">
        <v>3411</v>
      </c>
      <c r="G3" s="3989" t="s">
        <v>3390</v>
      </c>
      <c r="H3" s="3989" t="s">
        <v>3412</v>
      </c>
      <c r="I3" s="3989">
        <v>45954.22</v>
      </c>
      <c r="J3" s="3989">
        <v>91908.44</v>
      </c>
      <c r="K3" s="3989">
        <v>2</v>
      </c>
      <c r="L3" s="3989">
        <v>2</v>
      </c>
      <c r="M3" s="3989" t="s">
        <v>3393</v>
      </c>
      <c r="N3" s="3989" t="s">
        <v>3413</v>
      </c>
      <c r="O3" s="3989" t="s">
        <v>3395</v>
      </c>
      <c r="P3" s="3989" t="s">
        <v>3396</v>
      </c>
      <c r="Q3" s="3989">
        <v>0.3</v>
      </c>
      <c r="R3" s="3989" t="s">
        <v>3414</v>
      </c>
      <c r="S3" s="3989" t="s">
        <v>3398</v>
      </c>
      <c r="T3" s="3989" t="s">
        <v>3399</v>
      </c>
      <c r="U3" s="3989" t="s">
        <v>3400</v>
      </c>
      <c r="V3" s="3989" t="s">
        <v>3400</v>
      </c>
      <c r="W3" s="3989" t="s">
        <v>3400</v>
      </c>
      <c r="X3" s="3989" t="s">
        <v>3400</v>
      </c>
      <c r="Y3" s="3989">
        <v>0</v>
      </c>
      <c r="Z3" s="3989">
        <v>0</v>
      </c>
      <c r="AA3" s="3990">
        <v>45107.000497685185</v>
      </c>
      <c r="AB3" s="3990">
        <v>45127.000497685185</v>
      </c>
      <c r="AC3" s="3990">
        <v>45141.000497685185</v>
      </c>
      <c r="AD3" s="3990">
        <v>45141.000497685185</v>
      </c>
      <c r="AE3" s="3989" t="s">
        <v>3415</v>
      </c>
      <c r="AF3" s="3989" t="s">
        <v>3402</v>
      </c>
      <c r="AG3" s="3989" t="s">
        <v>3416</v>
      </c>
      <c r="AH3" s="3989" t="s">
        <v>3417</v>
      </c>
      <c r="AI3" s="3989" t="s">
        <v>3418</v>
      </c>
      <c r="AJ3" s="3989">
        <v>250000</v>
      </c>
      <c r="AK3" s="3989">
        <v>50000</v>
      </c>
      <c r="AL3" s="3989" t="s">
        <v>2095</v>
      </c>
      <c r="AM3" s="3989">
        <v>287500</v>
      </c>
      <c r="AN3" s="3989">
        <v>54401.97</v>
      </c>
      <c r="AO3" s="3989">
        <v>62562.26</v>
      </c>
      <c r="AP3" s="3989">
        <v>3626.8</v>
      </c>
      <c r="AQ3" s="3989">
        <v>4170.82</v>
      </c>
      <c r="AR3" s="3989">
        <v>27201</v>
      </c>
      <c r="AS3" s="3989">
        <v>31281</v>
      </c>
      <c r="AT3" s="3989" t="s">
        <v>3400</v>
      </c>
      <c r="AU3" s="3989" t="s">
        <v>3400</v>
      </c>
      <c r="AV3" s="3989">
        <v>15</v>
      </c>
      <c r="AW3" s="3989" t="s">
        <v>3406</v>
      </c>
      <c r="AX3" s="3989">
        <v>287500</v>
      </c>
      <c r="AY3" s="3989" t="s">
        <v>3407</v>
      </c>
      <c r="AZ3" s="3989">
        <v>59000</v>
      </c>
      <c r="BA3" s="3989">
        <v>31281</v>
      </c>
      <c r="BB3" s="3989">
        <v>15</v>
      </c>
      <c r="BC3" s="3989">
        <v>27718</v>
      </c>
      <c r="BD3" s="3989">
        <v>59000</v>
      </c>
      <c r="BE3" s="3989" t="s">
        <v>3408</v>
      </c>
    </row>
    <row r="4" spans="1:57">
      <c r="A4" s="3987" t="s">
        <v>3419</v>
      </c>
      <c r="B4" s="3987" t="s">
        <v>1465</v>
      </c>
      <c r="C4" s="3987" t="s">
        <v>3420</v>
      </c>
      <c r="D4" s="3987" t="s">
        <v>3387</v>
      </c>
      <c r="E4" s="3987" t="s">
        <v>3388</v>
      </c>
      <c r="F4" s="3987" t="s">
        <v>3421</v>
      </c>
      <c r="G4" s="3987" t="s">
        <v>3422</v>
      </c>
      <c r="H4" s="3987" t="s">
        <v>3412</v>
      </c>
      <c r="I4" s="3987">
        <v>57292.65</v>
      </c>
      <c r="J4" s="3987">
        <v>134221.63</v>
      </c>
      <c r="K4" s="3987" t="s">
        <v>3423</v>
      </c>
      <c r="L4" s="3987">
        <v>2.5</v>
      </c>
      <c r="M4" s="3987" t="s">
        <v>3393</v>
      </c>
      <c r="N4" s="3987" t="s">
        <v>3394</v>
      </c>
      <c r="O4" s="3987" t="s">
        <v>3395</v>
      </c>
      <c r="P4" s="3987" t="s">
        <v>3396</v>
      </c>
      <c r="Q4" s="3987" t="s">
        <v>3400</v>
      </c>
      <c r="R4" s="3987" t="s">
        <v>3424</v>
      </c>
      <c r="S4" s="3987" t="s">
        <v>3398</v>
      </c>
      <c r="T4" s="3987" t="s">
        <v>3398</v>
      </c>
      <c r="U4" s="3987" t="s">
        <v>3400</v>
      </c>
      <c r="V4" s="3987" t="s">
        <v>3400</v>
      </c>
      <c r="W4" s="3987" t="s">
        <v>3400</v>
      </c>
      <c r="X4" s="3987" t="s">
        <v>3400</v>
      </c>
      <c r="Y4" s="3987">
        <v>0</v>
      </c>
      <c r="Z4" s="3987">
        <v>0</v>
      </c>
      <c r="AA4" s="3988">
        <v>45098.000497685185</v>
      </c>
      <c r="AB4" s="3988">
        <v>45118.000497685185</v>
      </c>
      <c r="AC4" s="3988">
        <v>45132.000497685185</v>
      </c>
      <c r="AD4" s="3988">
        <v>45132.000497685185</v>
      </c>
      <c r="AE4" s="3987" t="s">
        <v>3425</v>
      </c>
      <c r="AF4" s="3987" t="s">
        <v>3402</v>
      </c>
      <c r="AG4" s="3987" t="s">
        <v>3426</v>
      </c>
      <c r="AH4" s="3987" t="s">
        <v>3427</v>
      </c>
      <c r="AI4" s="3987" t="s">
        <v>3418</v>
      </c>
      <c r="AJ4" s="3987">
        <v>470000</v>
      </c>
      <c r="AK4" s="3987">
        <v>94000</v>
      </c>
      <c r="AL4" s="3987" t="s">
        <v>3428</v>
      </c>
      <c r="AM4" s="3987">
        <v>540500</v>
      </c>
      <c r="AN4" s="3987">
        <v>82034.95</v>
      </c>
      <c r="AO4" s="3987">
        <v>94340.19</v>
      </c>
      <c r="AP4" s="3987">
        <v>5469</v>
      </c>
      <c r="AQ4" s="3987">
        <v>6289.35</v>
      </c>
      <c r="AR4" s="3987">
        <v>35017</v>
      </c>
      <c r="AS4" s="3987">
        <v>40269</v>
      </c>
      <c r="AT4" s="3987" t="s">
        <v>3400</v>
      </c>
      <c r="AU4" s="3987" t="s">
        <v>3400</v>
      </c>
      <c r="AV4" s="3987">
        <v>15</v>
      </c>
      <c r="AW4" s="3987" t="s">
        <v>3406</v>
      </c>
      <c r="AX4" s="3987">
        <v>540500</v>
      </c>
      <c r="AY4" s="3987" t="s">
        <v>3407</v>
      </c>
      <c r="AZ4" s="3987">
        <v>66000</v>
      </c>
      <c r="BA4" s="3987">
        <v>40269</v>
      </c>
      <c r="BB4" s="3987">
        <v>15</v>
      </c>
      <c r="BC4" s="3987">
        <v>24417</v>
      </c>
      <c r="BD4" s="3987">
        <v>66000</v>
      </c>
      <c r="BE4" s="3987" t="s">
        <v>3408</v>
      </c>
    </row>
    <row r="5" spans="1:57">
      <c r="A5" s="3987" t="s">
        <v>3429</v>
      </c>
      <c r="B5" s="3987" t="s">
        <v>1465</v>
      </c>
      <c r="C5" s="3987" t="s">
        <v>3430</v>
      </c>
      <c r="D5" s="3987" t="s">
        <v>3387</v>
      </c>
      <c r="E5" s="3987" t="s">
        <v>3388</v>
      </c>
      <c r="F5" s="3987" t="s">
        <v>3431</v>
      </c>
      <c r="G5" s="3987" t="s">
        <v>3390</v>
      </c>
      <c r="H5" s="3987" t="s">
        <v>3412</v>
      </c>
      <c r="I5" s="3987">
        <v>27822.39</v>
      </c>
      <c r="J5" s="3987">
        <v>44515.82</v>
      </c>
      <c r="K5" s="3987">
        <v>1.6</v>
      </c>
      <c r="L5" s="3987">
        <v>1.6</v>
      </c>
      <c r="M5" s="3987" t="s">
        <v>3393</v>
      </c>
      <c r="N5" s="3987" t="s">
        <v>3413</v>
      </c>
      <c r="O5" s="3987" t="s">
        <v>3395</v>
      </c>
      <c r="P5" s="3987" t="s">
        <v>3396</v>
      </c>
      <c r="Q5" s="3987" t="s">
        <v>3432</v>
      </c>
      <c r="R5" s="3987">
        <v>45</v>
      </c>
      <c r="S5" s="3987" t="s">
        <v>3398</v>
      </c>
      <c r="T5" s="3987" t="s">
        <v>3433</v>
      </c>
      <c r="U5" s="3987" t="s">
        <v>3400</v>
      </c>
      <c r="V5" s="3987" t="s">
        <v>3400</v>
      </c>
      <c r="W5" s="3987" t="s">
        <v>3400</v>
      </c>
      <c r="X5" s="3987" t="s">
        <v>3400</v>
      </c>
      <c r="Y5" s="3987">
        <v>0</v>
      </c>
      <c r="Z5" s="3987">
        <v>0</v>
      </c>
      <c r="AA5" s="3988">
        <v>45062.000497685185</v>
      </c>
      <c r="AB5" s="3988">
        <v>45083.000497685185</v>
      </c>
      <c r="AC5" s="3988">
        <v>45097.000497685185</v>
      </c>
      <c r="AD5" s="3988">
        <v>45097.000497685185</v>
      </c>
      <c r="AE5" s="3987" t="s">
        <v>3434</v>
      </c>
      <c r="AF5" s="3987" t="s">
        <v>3402</v>
      </c>
      <c r="AG5" s="3987" t="s">
        <v>3435</v>
      </c>
      <c r="AH5" s="3987" t="s">
        <v>3436</v>
      </c>
      <c r="AI5" s="3987" t="s">
        <v>3437</v>
      </c>
      <c r="AJ5" s="3987">
        <v>100000</v>
      </c>
      <c r="AK5" s="3987">
        <v>20000</v>
      </c>
      <c r="AL5" s="3987" t="s">
        <v>2095</v>
      </c>
      <c r="AM5" s="3987">
        <v>100000</v>
      </c>
      <c r="AN5" s="3987">
        <v>35942.269999999997</v>
      </c>
      <c r="AO5" s="3987">
        <v>35942.269999999997</v>
      </c>
      <c r="AP5" s="3987">
        <v>2396.15</v>
      </c>
      <c r="AQ5" s="3987">
        <v>2396.15</v>
      </c>
      <c r="AR5" s="3987">
        <v>22464</v>
      </c>
      <c r="AS5" s="3987">
        <v>22464</v>
      </c>
      <c r="AT5" s="3987" t="s">
        <v>3400</v>
      </c>
      <c r="AU5" s="3987" t="s">
        <v>3400</v>
      </c>
      <c r="AV5" s="3987">
        <v>0</v>
      </c>
      <c r="AW5" s="3987" t="s">
        <v>3438</v>
      </c>
      <c r="AX5" s="3987">
        <v>115000</v>
      </c>
      <c r="AY5" s="3987" t="s">
        <v>3439</v>
      </c>
      <c r="AZ5" s="3987">
        <v>50000</v>
      </c>
      <c r="BA5" s="3987">
        <v>25834</v>
      </c>
      <c r="BB5" s="3987">
        <v>15</v>
      </c>
      <c r="BC5" s="3987">
        <v>27151</v>
      </c>
      <c r="BD5" s="3987">
        <v>50000</v>
      </c>
      <c r="BE5" s="3987" t="s">
        <v>3408</v>
      </c>
    </row>
    <row r="6" spans="1:57">
      <c r="A6" s="3987" t="s">
        <v>3440</v>
      </c>
      <c r="B6" s="3987" t="s">
        <v>1465</v>
      </c>
      <c r="C6" s="3987" t="s">
        <v>3441</v>
      </c>
      <c r="D6" s="3987" t="s">
        <v>3387</v>
      </c>
      <c r="E6" s="3987" t="s">
        <v>3388</v>
      </c>
      <c r="F6" s="3987" t="s">
        <v>3442</v>
      </c>
      <c r="G6" s="3987" t="s">
        <v>3443</v>
      </c>
      <c r="H6" s="3987" t="s">
        <v>3412</v>
      </c>
      <c r="I6" s="3987">
        <v>77391.100000000006</v>
      </c>
      <c r="J6" s="3987">
        <v>177999.53</v>
      </c>
      <c r="K6" s="3987">
        <v>2.2999999999999998</v>
      </c>
      <c r="L6" s="3987">
        <v>2.2999999999999998</v>
      </c>
      <c r="M6" s="3987" t="s">
        <v>3393</v>
      </c>
      <c r="N6" s="3987" t="s">
        <v>3413</v>
      </c>
      <c r="O6" s="3987" t="s">
        <v>3395</v>
      </c>
      <c r="P6" s="3987" t="s">
        <v>3396</v>
      </c>
      <c r="Q6" s="3987" t="s">
        <v>3444</v>
      </c>
      <c r="R6" s="3987" t="s">
        <v>3445</v>
      </c>
      <c r="S6" s="3987" t="s">
        <v>3446</v>
      </c>
      <c r="T6" s="3987" t="s">
        <v>3447</v>
      </c>
      <c r="U6" s="3987" t="s">
        <v>3400</v>
      </c>
      <c r="V6" s="3987" t="s">
        <v>3400</v>
      </c>
      <c r="W6" s="3987" t="s">
        <v>3400</v>
      </c>
      <c r="X6" s="3987" t="s">
        <v>3400</v>
      </c>
      <c r="Y6" s="3987">
        <v>0</v>
      </c>
      <c r="Z6" s="3987">
        <v>0</v>
      </c>
      <c r="AA6" s="3988">
        <v>45058.000497685185</v>
      </c>
      <c r="AB6" s="3988">
        <v>45079.000497685185</v>
      </c>
      <c r="AC6" s="3988">
        <v>45093.000497685185</v>
      </c>
      <c r="AD6" s="3988">
        <v>45093.000497685185</v>
      </c>
      <c r="AE6" s="3987" t="s">
        <v>3448</v>
      </c>
      <c r="AF6" s="3987" t="s">
        <v>3402</v>
      </c>
      <c r="AG6" s="3987" t="s">
        <v>3449</v>
      </c>
      <c r="AH6" s="3987" t="s">
        <v>3450</v>
      </c>
      <c r="AI6" s="3987" t="s">
        <v>3451</v>
      </c>
      <c r="AJ6" s="3987">
        <v>688000</v>
      </c>
      <c r="AK6" s="3987">
        <v>138000</v>
      </c>
      <c r="AL6" s="3987" t="s">
        <v>2095</v>
      </c>
      <c r="AM6" s="3987">
        <v>791200</v>
      </c>
      <c r="AN6" s="3987">
        <v>88899.11</v>
      </c>
      <c r="AO6" s="3987">
        <v>102233.98</v>
      </c>
      <c r="AP6" s="3987">
        <v>5926.61</v>
      </c>
      <c r="AQ6" s="3987">
        <v>6815.6</v>
      </c>
      <c r="AR6" s="3987">
        <v>38652</v>
      </c>
      <c r="AS6" s="3987">
        <v>44450</v>
      </c>
      <c r="AT6" s="3987" t="s">
        <v>3400</v>
      </c>
      <c r="AU6" s="3987" t="s">
        <v>3400</v>
      </c>
      <c r="AV6" s="3987">
        <v>15</v>
      </c>
      <c r="AW6" s="3987" t="s">
        <v>3452</v>
      </c>
      <c r="AX6" s="3987">
        <v>791200</v>
      </c>
      <c r="AY6" s="3987" t="s">
        <v>3407</v>
      </c>
      <c r="AZ6" s="3987">
        <v>77000</v>
      </c>
      <c r="BA6" s="3987">
        <v>44450</v>
      </c>
      <c r="BB6" s="3987">
        <v>15</v>
      </c>
      <c r="BC6" s="3987">
        <v>31878</v>
      </c>
      <c r="BD6" s="3987">
        <v>77000</v>
      </c>
      <c r="BE6" s="3987" t="s">
        <v>3453</v>
      </c>
    </row>
    <row r="7" spans="1:57">
      <c r="A7" s="3987" t="s">
        <v>3454</v>
      </c>
      <c r="B7" s="3987" t="s">
        <v>1465</v>
      </c>
      <c r="C7" s="3987" t="s">
        <v>3455</v>
      </c>
      <c r="D7" s="3987" t="s">
        <v>3387</v>
      </c>
      <c r="E7" s="3987" t="s">
        <v>3388</v>
      </c>
      <c r="F7" s="3987" t="s">
        <v>3456</v>
      </c>
      <c r="G7" s="3987" t="s">
        <v>3457</v>
      </c>
      <c r="H7" s="3987" t="s">
        <v>3412</v>
      </c>
      <c r="I7" s="3987">
        <v>43400</v>
      </c>
      <c r="J7" s="3987">
        <v>86800</v>
      </c>
      <c r="K7" s="3987">
        <v>2</v>
      </c>
      <c r="L7" s="3987">
        <v>2</v>
      </c>
      <c r="M7" s="3987" t="s">
        <v>3393</v>
      </c>
      <c r="N7" s="3987" t="s">
        <v>3413</v>
      </c>
      <c r="O7" s="3987" t="s">
        <v>3395</v>
      </c>
      <c r="P7" s="3987" t="s">
        <v>3396</v>
      </c>
      <c r="Q7" s="3987">
        <v>0.3</v>
      </c>
      <c r="R7" s="3987">
        <v>45</v>
      </c>
      <c r="S7" s="3987" t="s">
        <v>3458</v>
      </c>
      <c r="T7" s="3987" t="s">
        <v>3459</v>
      </c>
      <c r="U7" s="3987" t="s">
        <v>3400</v>
      </c>
      <c r="V7" s="3987" t="s">
        <v>3400</v>
      </c>
      <c r="W7" s="3987" t="s">
        <v>3400</v>
      </c>
      <c r="X7" s="3987" t="s">
        <v>3400</v>
      </c>
      <c r="Y7" s="3987">
        <v>0</v>
      </c>
      <c r="Z7" s="3987">
        <v>0</v>
      </c>
      <c r="AA7" s="3988">
        <v>45044.000497685185</v>
      </c>
      <c r="AB7" s="3988">
        <v>45064.000497685185</v>
      </c>
      <c r="AC7" s="3988">
        <v>45078.000497685185</v>
      </c>
      <c r="AD7" s="3988">
        <v>45078.000497685185</v>
      </c>
      <c r="AE7" s="3987" t="s">
        <v>3460</v>
      </c>
      <c r="AF7" s="3987" t="s">
        <v>3402</v>
      </c>
      <c r="AG7" s="3987" t="s">
        <v>3461</v>
      </c>
      <c r="AH7" s="3987" t="s">
        <v>3462</v>
      </c>
      <c r="AI7" s="3987" t="s">
        <v>3418</v>
      </c>
      <c r="AJ7" s="3987">
        <v>287000</v>
      </c>
      <c r="AK7" s="3987">
        <v>58000</v>
      </c>
      <c r="AL7" s="3987" t="s">
        <v>2095</v>
      </c>
      <c r="AM7" s="3987">
        <v>330050</v>
      </c>
      <c r="AN7" s="3987">
        <v>66129.03</v>
      </c>
      <c r="AO7" s="3987">
        <v>76048.39</v>
      </c>
      <c r="AP7" s="3987">
        <v>4408.6000000000004</v>
      </c>
      <c r="AQ7" s="3987">
        <v>5069.8900000000003</v>
      </c>
      <c r="AR7" s="3987">
        <v>33065</v>
      </c>
      <c r="AS7" s="3987">
        <v>38024</v>
      </c>
      <c r="AT7" s="3987" t="s">
        <v>3400</v>
      </c>
      <c r="AU7" s="3987" t="s">
        <v>3400</v>
      </c>
      <c r="AV7" s="3987">
        <v>15</v>
      </c>
      <c r="AW7" s="3987" t="s">
        <v>3406</v>
      </c>
      <c r="AX7" s="3987">
        <v>330050</v>
      </c>
      <c r="AY7" s="3987" t="s">
        <v>3407</v>
      </c>
      <c r="AZ7" s="3987">
        <v>58000</v>
      </c>
      <c r="BA7" s="3987">
        <v>38024</v>
      </c>
      <c r="BB7" s="3987">
        <v>15</v>
      </c>
      <c r="BC7" s="3987">
        <v>19975</v>
      </c>
      <c r="BD7" s="3987">
        <v>58000</v>
      </c>
      <c r="BE7" s="3987" t="s">
        <v>3453</v>
      </c>
    </row>
    <row r="8" spans="1:57">
      <c r="A8" s="3987" t="s">
        <v>3463</v>
      </c>
      <c r="B8" s="3987" t="s">
        <v>1465</v>
      </c>
      <c r="C8" s="3987" t="s">
        <v>3464</v>
      </c>
      <c r="D8" s="3987" t="s">
        <v>3387</v>
      </c>
      <c r="E8" s="3987" t="s">
        <v>3388</v>
      </c>
      <c r="F8" s="3987" t="s">
        <v>3421</v>
      </c>
      <c r="G8" s="3987" t="s">
        <v>3465</v>
      </c>
      <c r="H8" s="3987" t="s">
        <v>3391</v>
      </c>
      <c r="I8" s="3987">
        <v>41091.4</v>
      </c>
      <c r="J8" s="3987">
        <v>93718.5</v>
      </c>
      <c r="K8" s="3987" t="s">
        <v>3466</v>
      </c>
      <c r="L8" s="3987">
        <v>0.8</v>
      </c>
      <c r="M8" s="3987" t="s">
        <v>3393</v>
      </c>
      <c r="N8" s="3987" t="s">
        <v>3394</v>
      </c>
      <c r="O8" s="3987" t="s">
        <v>3395</v>
      </c>
      <c r="P8" s="3987" t="s">
        <v>3396</v>
      </c>
      <c r="Q8" s="3987">
        <v>0.3</v>
      </c>
      <c r="R8" s="3987" t="s">
        <v>3400</v>
      </c>
      <c r="S8" s="3987" t="s">
        <v>3446</v>
      </c>
      <c r="T8" s="3987" t="s">
        <v>3447</v>
      </c>
      <c r="U8" s="3987" t="s">
        <v>3400</v>
      </c>
      <c r="V8" s="3987" t="s">
        <v>3400</v>
      </c>
      <c r="W8" s="3987" t="s">
        <v>3400</v>
      </c>
      <c r="X8" s="3987" t="s">
        <v>3400</v>
      </c>
      <c r="Y8" s="3987">
        <v>0</v>
      </c>
      <c r="Z8" s="3987">
        <v>0</v>
      </c>
      <c r="AA8" s="3988">
        <v>45016.000497685185</v>
      </c>
      <c r="AB8" s="3988">
        <v>45036.000497685185</v>
      </c>
      <c r="AC8" s="3988">
        <v>45052.000497685185</v>
      </c>
      <c r="AD8" s="3988">
        <v>45052.000497685185</v>
      </c>
      <c r="AE8" s="3987" t="s">
        <v>3467</v>
      </c>
      <c r="AF8" s="3987" t="s">
        <v>3402</v>
      </c>
      <c r="AG8" s="3987" t="s">
        <v>3468</v>
      </c>
      <c r="AH8" s="3987" t="s">
        <v>3469</v>
      </c>
      <c r="AI8" s="3987" t="s">
        <v>3470</v>
      </c>
      <c r="AJ8" s="3987">
        <v>324000</v>
      </c>
      <c r="AK8" s="3987">
        <v>65000</v>
      </c>
      <c r="AL8" s="3987" t="s">
        <v>2095</v>
      </c>
      <c r="AM8" s="3987">
        <v>372600</v>
      </c>
      <c r="AN8" s="3987">
        <v>78848.62</v>
      </c>
      <c r="AO8" s="3987">
        <v>90675.91</v>
      </c>
      <c r="AP8" s="3987">
        <v>5256.57</v>
      </c>
      <c r="AQ8" s="3987">
        <v>6045.06</v>
      </c>
      <c r="AR8" s="3987">
        <v>34572</v>
      </c>
      <c r="AS8" s="3987">
        <v>39757</v>
      </c>
      <c r="AT8" s="3987" t="s">
        <v>3400</v>
      </c>
      <c r="AU8" s="3987" t="s">
        <v>3400</v>
      </c>
      <c r="AV8" s="3987">
        <v>15</v>
      </c>
      <c r="AW8" s="3987" t="s">
        <v>3452</v>
      </c>
      <c r="AX8" s="3987">
        <v>372600</v>
      </c>
      <c r="AY8" s="3987" t="s">
        <v>3407</v>
      </c>
      <c r="AZ8" s="3987">
        <v>66000</v>
      </c>
      <c r="BA8" s="3987">
        <v>39757</v>
      </c>
      <c r="BB8" s="3987">
        <v>15</v>
      </c>
      <c r="BC8" s="3987">
        <v>24350</v>
      </c>
      <c r="BD8" s="3987">
        <v>66000</v>
      </c>
      <c r="BE8" s="3987" t="s">
        <v>3453</v>
      </c>
    </row>
    <row r="9" spans="1:57">
      <c r="A9" s="3987" t="s">
        <v>3471</v>
      </c>
      <c r="B9" s="3987" t="s">
        <v>1465</v>
      </c>
      <c r="C9" s="3987" t="s">
        <v>3472</v>
      </c>
      <c r="D9" s="3987" t="s">
        <v>3387</v>
      </c>
      <c r="E9" s="3987" t="s">
        <v>3388</v>
      </c>
      <c r="F9" s="3987" t="s">
        <v>3442</v>
      </c>
      <c r="G9" s="3987" t="s">
        <v>3473</v>
      </c>
      <c r="H9" s="3987" t="s">
        <v>3412</v>
      </c>
      <c r="I9" s="3987">
        <v>59523.360000000001</v>
      </c>
      <c r="J9" s="3987">
        <v>130951.38</v>
      </c>
      <c r="K9" s="3987">
        <v>2.2000000000000002</v>
      </c>
      <c r="L9" s="3987">
        <v>2.2000000000000002</v>
      </c>
      <c r="M9" s="3987" t="s">
        <v>3393</v>
      </c>
      <c r="N9" s="3987" t="s">
        <v>3474</v>
      </c>
      <c r="O9" s="3987" t="s">
        <v>3395</v>
      </c>
      <c r="P9" s="3987" t="s">
        <v>3396</v>
      </c>
      <c r="Q9" s="3987" t="s">
        <v>3400</v>
      </c>
      <c r="R9" s="3987" t="s">
        <v>3400</v>
      </c>
      <c r="S9" s="3987" t="s">
        <v>3400</v>
      </c>
      <c r="T9" s="3987" t="s">
        <v>3400</v>
      </c>
      <c r="U9" s="3987" t="s">
        <v>3400</v>
      </c>
      <c r="V9" s="3987" t="s">
        <v>3400</v>
      </c>
      <c r="W9" s="3987" t="s">
        <v>3400</v>
      </c>
      <c r="X9" s="3987" t="s">
        <v>3400</v>
      </c>
      <c r="Y9" s="3987">
        <v>0</v>
      </c>
      <c r="Z9" s="3987">
        <v>0</v>
      </c>
      <c r="AA9" s="3988">
        <v>45005.000497685185</v>
      </c>
      <c r="AB9" s="3988">
        <v>45027.000497685185</v>
      </c>
      <c r="AC9" s="3988">
        <v>45039.000497685185</v>
      </c>
      <c r="AD9" s="3988">
        <v>45039.000497685185</v>
      </c>
      <c r="AE9" s="3987" t="s">
        <v>3475</v>
      </c>
      <c r="AF9" s="3987" t="s">
        <v>3402</v>
      </c>
      <c r="AG9" s="3987" t="s">
        <v>3476</v>
      </c>
      <c r="AH9" s="3987" t="s">
        <v>3477</v>
      </c>
      <c r="AI9" s="3987" t="s">
        <v>3437</v>
      </c>
      <c r="AJ9" s="3987">
        <v>188205.82</v>
      </c>
      <c r="AK9" s="3987">
        <v>57000</v>
      </c>
      <c r="AL9" s="3987" t="s">
        <v>2095</v>
      </c>
      <c r="AM9" s="3987">
        <v>188205.82</v>
      </c>
      <c r="AN9" s="3987">
        <v>31618.81</v>
      </c>
      <c r="AO9" s="3987">
        <v>31618.81</v>
      </c>
      <c r="AP9" s="3987">
        <v>2107.92</v>
      </c>
      <c r="AQ9" s="3987">
        <v>2107.92</v>
      </c>
      <c r="AR9" s="3987">
        <v>14372</v>
      </c>
      <c r="AS9" s="3987">
        <v>14372</v>
      </c>
      <c r="AT9" s="3987" t="s">
        <v>3400</v>
      </c>
      <c r="AU9" s="3987" t="s">
        <v>3400</v>
      </c>
      <c r="AV9" s="3987">
        <v>0</v>
      </c>
      <c r="AW9" s="3987" t="s">
        <v>3478</v>
      </c>
      <c r="AX9" s="3987" t="s">
        <v>3396</v>
      </c>
      <c r="AY9" s="3987" t="s">
        <v>3400</v>
      </c>
      <c r="AZ9" s="3987">
        <v>29000</v>
      </c>
      <c r="BA9" s="3987" t="s">
        <v>3400</v>
      </c>
      <c r="BB9" s="3987" t="s">
        <v>3400</v>
      </c>
      <c r="BC9" s="3987">
        <v>14627</v>
      </c>
      <c r="BD9" s="3987">
        <v>29000</v>
      </c>
      <c r="BE9" s="3987" t="s">
        <v>3408</v>
      </c>
    </row>
    <row r="10" spans="1:57">
      <c r="A10" s="3987" t="s">
        <v>3479</v>
      </c>
      <c r="B10" s="3987" t="s">
        <v>1465</v>
      </c>
      <c r="C10" s="3987" t="s">
        <v>3480</v>
      </c>
      <c r="D10" s="3987" t="s">
        <v>3387</v>
      </c>
      <c r="E10" s="3987" t="s">
        <v>3388</v>
      </c>
      <c r="F10" s="3987" t="s">
        <v>3442</v>
      </c>
      <c r="G10" s="3987" t="s">
        <v>3481</v>
      </c>
      <c r="H10" s="3987" t="s">
        <v>3412</v>
      </c>
      <c r="I10" s="3987">
        <v>87287.8</v>
      </c>
      <c r="J10" s="3987">
        <v>192033.17</v>
      </c>
      <c r="K10" s="3987">
        <v>2.2000000000000002</v>
      </c>
      <c r="L10" s="3987">
        <v>2.2000000000000002</v>
      </c>
      <c r="M10" s="3987" t="s">
        <v>3393</v>
      </c>
      <c r="N10" s="3987" t="s">
        <v>3474</v>
      </c>
      <c r="O10" s="3987" t="s">
        <v>3395</v>
      </c>
      <c r="P10" s="3987" t="s">
        <v>3396</v>
      </c>
      <c r="Q10" s="3987" t="s">
        <v>3400</v>
      </c>
      <c r="R10" s="3987" t="s">
        <v>3400</v>
      </c>
      <c r="S10" s="3987" t="s">
        <v>3400</v>
      </c>
      <c r="T10" s="3987" t="s">
        <v>3400</v>
      </c>
      <c r="U10" s="3987" t="s">
        <v>3400</v>
      </c>
      <c r="V10" s="3987" t="s">
        <v>3400</v>
      </c>
      <c r="W10" s="3987" t="s">
        <v>3400</v>
      </c>
      <c r="X10" s="3987" t="s">
        <v>3400</v>
      </c>
      <c r="Y10" s="3987">
        <v>0</v>
      </c>
      <c r="Z10" s="3987">
        <v>0</v>
      </c>
      <c r="AA10" s="3988">
        <v>45005.000497685185</v>
      </c>
      <c r="AB10" s="3988">
        <v>45025.000497685185</v>
      </c>
      <c r="AC10" s="3988">
        <v>45040.000497685185</v>
      </c>
      <c r="AD10" s="3988">
        <v>45040.000497685185</v>
      </c>
      <c r="AE10" s="3987" t="s">
        <v>3482</v>
      </c>
      <c r="AF10" s="3987" t="s">
        <v>3402</v>
      </c>
      <c r="AG10" s="3987" t="s">
        <v>3483</v>
      </c>
      <c r="AH10" s="3987" t="s">
        <v>3484</v>
      </c>
      <c r="AI10" s="3987" t="s">
        <v>3451</v>
      </c>
      <c r="AJ10" s="3987">
        <v>275143.78999999998</v>
      </c>
      <c r="AK10" s="3987">
        <v>83000</v>
      </c>
      <c r="AL10" s="3987" t="s">
        <v>2095</v>
      </c>
      <c r="AM10" s="3987">
        <v>275143.78999999998</v>
      </c>
      <c r="AN10" s="3987">
        <v>31521.45</v>
      </c>
      <c r="AO10" s="3987">
        <v>31521.45</v>
      </c>
      <c r="AP10" s="3987">
        <v>2101.4299999999998</v>
      </c>
      <c r="AQ10" s="3987">
        <v>2101.4299999999998</v>
      </c>
      <c r="AR10" s="3987">
        <v>14328</v>
      </c>
      <c r="AS10" s="3987">
        <v>14328</v>
      </c>
      <c r="AT10" s="3987" t="s">
        <v>3400</v>
      </c>
      <c r="AU10" s="3987" t="s">
        <v>3400</v>
      </c>
      <c r="AV10" s="3987">
        <v>0</v>
      </c>
      <c r="AW10" s="3987" t="s">
        <v>3478</v>
      </c>
      <c r="AX10" s="3987" t="s">
        <v>3396</v>
      </c>
      <c r="AY10" s="3987" t="s">
        <v>3400</v>
      </c>
      <c r="AZ10" s="3987">
        <v>29000</v>
      </c>
      <c r="BA10" s="3987" t="s">
        <v>3400</v>
      </c>
      <c r="BB10" s="3987" t="s">
        <v>3400</v>
      </c>
      <c r="BC10" s="3987">
        <v>14673</v>
      </c>
      <c r="BD10" s="3987" t="s">
        <v>3400</v>
      </c>
      <c r="BE10" s="3987" t="s">
        <v>3408</v>
      </c>
    </row>
    <row r="11" spans="1:57">
      <c r="A11" s="3987" t="s">
        <v>3485</v>
      </c>
      <c r="B11" s="3987" t="s">
        <v>1465</v>
      </c>
      <c r="C11" s="3987" t="s">
        <v>3486</v>
      </c>
      <c r="D11" s="3987" t="s">
        <v>3387</v>
      </c>
      <c r="E11" s="3987" t="s">
        <v>3388</v>
      </c>
      <c r="F11" s="3987" t="s">
        <v>3487</v>
      </c>
      <c r="G11" s="3987" t="s">
        <v>3488</v>
      </c>
      <c r="H11" s="3987" t="s">
        <v>3412</v>
      </c>
      <c r="I11" s="3987">
        <v>52499.519999999997</v>
      </c>
      <c r="J11" s="3987">
        <v>115498.94</v>
      </c>
      <c r="K11" s="3987">
        <v>2.2000000000000002</v>
      </c>
      <c r="L11" s="3987">
        <v>2.2000000000000002</v>
      </c>
      <c r="M11" s="3987" t="s">
        <v>3393</v>
      </c>
      <c r="N11" s="3987" t="s">
        <v>3489</v>
      </c>
      <c r="O11" s="3987" t="s">
        <v>3395</v>
      </c>
      <c r="P11" s="3987" t="s">
        <v>3396</v>
      </c>
      <c r="Q11" s="3987" t="s">
        <v>3400</v>
      </c>
      <c r="R11" s="3987" t="s">
        <v>3400</v>
      </c>
      <c r="S11" s="3987" t="s">
        <v>3400</v>
      </c>
      <c r="T11" s="3987" t="s">
        <v>3400</v>
      </c>
      <c r="U11" s="3987" t="s">
        <v>3400</v>
      </c>
      <c r="V11" s="3987" t="s">
        <v>3400</v>
      </c>
      <c r="W11" s="3987" t="s">
        <v>3400</v>
      </c>
      <c r="X11" s="3987" t="s">
        <v>3400</v>
      </c>
      <c r="Y11" s="3987">
        <v>0</v>
      </c>
      <c r="Z11" s="3987">
        <v>0</v>
      </c>
      <c r="AA11" s="3988">
        <v>44945.000497685185</v>
      </c>
      <c r="AB11" s="3988">
        <v>44964.000497685185</v>
      </c>
      <c r="AC11" s="3988">
        <v>44975.000497685185</v>
      </c>
      <c r="AD11" s="3987" t="s">
        <v>3400</v>
      </c>
      <c r="AE11" s="3987" t="s">
        <v>3490</v>
      </c>
      <c r="AF11" s="3987" t="s">
        <v>3491</v>
      </c>
      <c r="AG11" s="3987" t="s">
        <v>3396</v>
      </c>
      <c r="AH11" s="3987" t="s">
        <v>3400</v>
      </c>
      <c r="AI11" s="3987" t="s">
        <v>3400</v>
      </c>
      <c r="AJ11" s="3987">
        <v>139616.76999999999</v>
      </c>
      <c r="AK11" s="3987">
        <v>42000</v>
      </c>
      <c r="AL11" s="3987" t="s">
        <v>2095</v>
      </c>
      <c r="AM11" s="3987" t="s">
        <v>3400</v>
      </c>
      <c r="AN11" s="3987">
        <v>26593.91</v>
      </c>
      <c r="AO11" s="3987" t="s">
        <v>3400</v>
      </c>
      <c r="AP11" s="3987">
        <v>1772.93</v>
      </c>
      <c r="AQ11" s="3987" t="s">
        <v>3400</v>
      </c>
      <c r="AR11" s="3987">
        <v>12088</v>
      </c>
      <c r="AS11" s="3987" t="s">
        <v>3400</v>
      </c>
      <c r="AT11" s="3987" t="s">
        <v>3400</v>
      </c>
      <c r="AU11" s="3987" t="s">
        <v>3400</v>
      </c>
      <c r="AV11" s="3987">
        <v>0</v>
      </c>
      <c r="AW11" s="3987" t="s">
        <v>3478</v>
      </c>
      <c r="AX11" s="3987" t="s">
        <v>3396</v>
      </c>
      <c r="AY11" s="3987" t="s">
        <v>3400</v>
      </c>
      <c r="AZ11" s="3987">
        <v>28000</v>
      </c>
      <c r="BA11" s="3987" t="s">
        <v>3400</v>
      </c>
      <c r="BB11" s="3987" t="s">
        <v>3400</v>
      </c>
      <c r="BC11" s="3987" t="s">
        <v>3400</v>
      </c>
      <c r="BD11" s="3987" t="s">
        <v>3400</v>
      </c>
      <c r="BE11" s="3987" t="s">
        <v>3453</v>
      </c>
    </row>
    <row r="12" spans="1:57">
      <c r="A12" s="3987" t="s">
        <v>3492</v>
      </c>
      <c r="B12" s="3987" t="s">
        <v>1465</v>
      </c>
      <c r="C12" s="3987" t="s">
        <v>3493</v>
      </c>
      <c r="D12" s="3987" t="s">
        <v>3387</v>
      </c>
      <c r="E12" s="3987" t="s">
        <v>3388</v>
      </c>
      <c r="F12" s="3987" t="s">
        <v>3456</v>
      </c>
      <c r="G12" s="3987" t="s">
        <v>3494</v>
      </c>
      <c r="H12" s="3987" t="s">
        <v>3391</v>
      </c>
      <c r="I12" s="3987">
        <v>71668</v>
      </c>
      <c r="J12" s="3987">
        <v>194641.99</v>
      </c>
      <c r="K12" s="3987" t="s">
        <v>3495</v>
      </c>
      <c r="L12" s="3987">
        <v>3.5</v>
      </c>
      <c r="M12" s="3987" t="s">
        <v>3393</v>
      </c>
      <c r="N12" s="3987" t="s">
        <v>3496</v>
      </c>
      <c r="O12" s="3987" t="s">
        <v>3497</v>
      </c>
      <c r="P12" s="3987" t="s">
        <v>3396</v>
      </c>
      <c r="Q12" s="3987" t="s">
        <v>3498</v>
      </c>
      <c r="R12" s="3987" t="s">
        <v>3499</v>
      </c>
      <c r="S12" s="3987" t="s">
        <v>3500</v>
      </c>
      <c r="T12" s="3987" t="s">
        <v>3433</v>
      </c>
      <c r="U12" s="3987" t="s">
        <v>3400</v>
      </c>
      <c r="V12" s="3987" t="s">
        <v>3400</v>
      </c>
      <c r="W12" s="3987" t="s">
        <v>3400</v>
      </c>
      <c r="X12" s="3987" t="s">
        <v>3400</v>
      </c>
      <c r="Y12" s="3987">
        <v>0</v>
      </c>
      <c r="Z12" s="3987">
        <v>0</v>
      </c>
      <c r="AA12" s="3988">
        <v>44925.000497685185</v>
      </c>
      <c r="AB12" s="3988">
        <v>44945.000497685185</v>
      </c>
      <c r="AC12" s="3988">
        <v>44964.000497685185</v>
      </c>
      <c r="AD12" s="3988">
        <v>44964.000497685185</v>
      </c>
      <c r="AE12" s="3987" t="s">
        <v>3501</v>
      </c>
      <c r="AF12" s="3987" t="s">
        <v>3402</v>
      </c>
      <c r="AG12" s="3987" t="s">
        <v>3502</v>
      </c>
      <c r="AH12" s="3987" t="s">
        <v>3503</v>
      </c>
      <c r="AI12" s="3987" t="s">
        <v>3405</v>
      </c>
      <c r="AJ12" s="3987">
        <v>311200</v>
      </c>
      <c r="AK12" s="3987">
        <v>63000</v>
      </c>
      <c r="AL12" s="3987" t="s">
        <v>2095</v>
      </c>
      <c r="AM12" s="3987">
        <v>311200</v>
      </c>
      <c r="AN12" s="3987">
        <v>43422.45</v>
      </c>
      <c r="AO12" s="3987">
        <v>43422.45</v>
      </c>
      <c r="AP12" s="3987">
        <v>2894.83</v>
      </c>
      <c r="AQ12" s="3987">
        <v>2894.83</v>
      </c>
      <c r="AR12" s="3987">
        <v>15988</v>
      </c>
      <c r="AS12" s="3987">
        <v>15988</v>
      </c>
      <c r="AT12" s="3987" t="s">
        <v>3400</v>
      </c>
      <c r="AU12" s="3987" t="s">
        <v>3400</v>
      </c>
      <c r="AV12" s="3987">
        <v>0</v>
      </c>
      <c r="AW12" s="3987" t="s">
        <v>3504</v>
      </c>
      <c r="AX12" s="3987">
        <v>357880</v>
      </c>
      <c r="AY12" s="3987" t="s">
        <v>3439</v>
      </c>
      <c r="AZ12" s="3987">
        <v>58000</v>
      </c>
      <c r="BA12" s="3987">
        <v>18387</v>
      </c>
      <c r="BB12" s="3987">
        <v>15</v>
      </c>
      <c r="BC12" s="3987">
        <v>41600</v>
      </c>
      <c r="BD12" s="3987">
        <v>58000</v>
      </c>
      <c r="BE12" s="3987" t="s">
        <v>3453</v>
      </c>
    </row>
    <row r="13" spans="1:57">
      <c r="A13" s="3987" t="s">
        <v>3505</v>
      </c>
      <c r="B13" s="3987" t="s">
        <v>1465</v>
      </c>
      <c r="C13" s="3987" t="s">
        <v>3506</v>
      </c>
      <c r="D13" s="3987" t="s">
        <v>3387</v>
      </c>
      <c r="E13" s="3987" t="s">
        <v>3388</v>
      </c>
      <c r="F13" s="3987" t="s">
        <v>3456</v>
      </c>
      <c r="G13" s="3987" t="s">
        <v>3507</v>
      </c>
      <c r="H13" s="3987" t="s">
        <v>3412</v>
      </c>
      <c r="I13" s="3987">
        <v>21625</v>
      </c>
      <c r="J13" s="3987">
        <v>43250</v>
      </c>
      <c r="K13" s="3987" t="s">
        <v>3508</v>
      </c>
      <c r="L13" s="3987">
        <v>2</v>
      </c>
      <c r="M13" s="3987" t="s">
        <v>3393</v>
      </c>
      <c r="N13" s="3987" t="s">
        <v>3413</v>
      </c>
      <c r="O13" s="3987" t="s">
        <v>3509</v>
      </c>
      <c r="P13" s="3987" t="s">
        <v>3396</v>
      </c>
      <c r="Q13" s="3987">
        <v>0.3</v>
      </c>
      <c r="R13" s="3987" t="s">
        <v>3414</v>
      </c>
      <c r="S13" s="3987" t="s">
        <v>3510</v>
      </c>
      <c r="T13" s="3987" t="s">
        <v>3511</v>
      </c>
      <c r="U13" s="3987" t="s">
        <v>3400</v>
      </c>
      <c r="V13" s="3987" t="s">
        <v>3400</v>
      </c>
      <c r="W13" s="3987" t="s">
        <v>3400</v>
      </c>
      <c r="X13" s="3987" t="s">
        <v>3400</v>
      </c>
      <c r="Y13" s="3987">
        <v>0</v>
      </c>
      <c r="Z13" s="3987">
        <v>0</v>
      </c>
      <c r="AA13" s="3988">
        <v>44791.000497685185</v>
      </c>
      <c r="AB13" s="3988">
        <v>44811.000497685185</v>
      </c>
      <c r="AC13" s="3988">
        <v>44826.000497685185</v>
      </c>
      <c r="AD13" s="3988">
        <v>44826.000497685185</v>
      </c>
      <c r="AE13" s="3987" t="s">
        <v>3512</v>
      </c>
      <c r="AF13" s="3987" t="s">
        <v>3402</v>
      </c>
      <c r="AG13" s="3987" t="s">
        <v>3513</v>
      </c>
      <c r="AH13" s="3987" t="s">
        <v>3514</v>
      </c>
      <c r="AI13" s="3987" t="s">
        <v>3451</v>
      </c>
      <c r="AJ13" s="3987">
        <v>143000</v>
      </c>
      <c r="AK13" s="3987">
        <v>29000</v>
      </c>
      <c r="AL13" s="3987" t="s">
        <v>3515</v>
      </c>
      <c r="AM13" s="3987">
        <v>143000</v>
      </c>
      <c r="AN13" s="3987">
        <v>66127.16</v>
      </c>
      <c r="AO13" s="3987">
        <v>66127.16</v>
      </c>
      <c r="AP13" s="3987">
        <v>4408.4799999999996</v>
      </c>
      <c r="AQ13" s="3987">
        <v>4408.4799999999996</v>
      </c>
      <c r="AR13" s="3987">
        <v>33064</v>
      </c>
      <c r="AS13" s="3987">
        <v>33064</v>
      </c>
      <c r="AT13" s="3987" t="s">
        <v>3400</v>
      </c>
      <c r="AU13" s="3987" t="s">
        <v>3400</v>
      </c>
      <c r="AV13" s="3987">
        <v>0</v>
      </c>
      <c r="AW13" s="3987" t="s">
        <v>3438</v>
      </c>
      <c r="AX13" s="3987">
        <v>164450</v>
      </c>
      <c r="AY13" s="3987" t="s">
        <v>3439</v>
      </c>
      <c r="AZ13" s="3987" t="s">
        <v>3396</v>
      </c>
      <c r="BA13" s="3987">
        <v>38023</v>
      </c>
      <c r="BB13" s="3987">
        <v>15</v>
      </c>
      <c r="BC13" s="3987">
        <v>25936</v>
      </c>
      <c r="BD13" s="3987">
        <v>59000</v>
      </c>
      <c r="BE13" s="3987" t="s">
        <v>3408</v>
      </c>
    </row>
    <row r="14" spans="1:57" s="3991" customFormat="1">
      <c r="A14" s="3989" t="s">
        <v>3516</v>
      </c>
      <c r="B14" s="3989" t="s">
        <v>1465</v>
      </c>
      <c r="C14" s="3989" t="s">
        <v>3517</v>
      </c>
      <c r="D14" s="3989" t="s">
        <v>3387</v>
      </c>
      <c r="E14" s="3989" t="s">
        <v>3388</v>
      </c>
      <c r="F14" s="3989" t="s">
        <v>3421</v>
      </c>
      <c r="G14" s="3989" t="s">
        <v>3518</v>
      </c>
      <c r="H14" s="3989" t="s">
        <v>3391</v>
      </c>
      <c r="I14" s="3989">
        <v>27876.52</v>
      </c>
      <c r="J14" s="3989">
        <v>69691.3</v>
      </c>
      <c r="K14" s="3989">
        <v>2.5</v>
      </c>
      <c r="L14" s="3989">
        <v>2.5</v>
      </c>
      <c r="M14" s="3989" t="s">
        <v>3393</v>
      </c>
      <c r="N14" s="3989" t="s">
        <v>3519</v>
      </c>
      <c r="O14" s="3989" t="s">
        <v>3509</v>
      </c>
      <c r="P14" s="3989">
        <v>5.74</v>
      </c>
      <c r="Q14" s="3989" t="s">
        <v>3400</v>
      </c>
      <c r="R14" s="3989">
        <v>45</v>
      </c>
      <c r="S14" s="3989" t="s">
        <v>3520</v>
      </c>
      <c r="T14" s="3989" t="s">
        <v>3459</v>
      </c>
      <c r="U14" s="3989" t="s">
        <v>3400</v>
      </c>
      <c r="V14" s="3989" t="s">
        <v>3400</v>
      </c>
      <c r="W14" s="3989">
        <v>0</v>
      </c>
      <c r="X14" s="3989">
        <v>0</v>
      </c>
      <c r="Y14" s="3989">
        <v>0</v>
      </c>
      <c r="Z14" s="3989">
        <v>0</v>
      </c>
      <c r="AA14" s="3990">
        <v>44791.000497685185</v>
      </c>
      <c r="AB14" s="3990">
        <v>44811.000497685185</v>
      </c>
      <c r="AC14" s="3990">
        <v>44826.000497685185</v>
      </c>
      <c r="AD14" s="3990">
        <v>44826.000497685185</v>
      </c>
      <c r="AE14" s="3989" t="s">
        <v>3521</v>
      </c>
      <c r="AF14" s="3989" t="s">
        <v>3402</v>
      </c>
      <c r="AG14" s="3989" t="s">
        <v>3522</v>
      </c>
      <c r="AH14" s="3989" t="s">
        <v>3523</v>
      </c>
      <c r="AI14" s="3989" t="s">
        <v>3524</v>
      </c>
      <c r="AJ14" s="3989">
        <v>250000</v>
      </c>
      <c r="AK14" s="3989">
        <v>50000</v>
      </c>
      <c r="AL14" s="3989" t="s">
        <v>3515</v>
      </c>
      <c r="AM14" s="3989">
        <v>250000</v>
      </c>
      <c r="AN14" s="3989">
        <v>89681.21</v>
      </c>
      <c r="AO14" s="3989">
        <v>89681.21</v>
      </c>
      <c r="AP14" s="3989">
        <v>5978.75</v>
      </c>
      <c r="AQ14" s="3989">
        <v>5978.75</v>
      </c>
      <c r="AR14" s="3989">
        <v>35872</v>
      </c>
      <c r="AS14" s="3989">
        <v>35872</v>
      </c>
      <c r="AT14" s="3989" t="s">
        <v>3400</v>
      </c>
      <c r="AU14" s="3989" t="s">
        <v>3400</v>
      </c>
      <c r="AV14" s="3989">
        <v>0</v>
      </c>
      <c r="AW14" s="3989" t="s">
        <v>3525</v>
      </c>
      <c r="AX14" s="3989">
        <v>287500</v>
      </c>
      <c r="AY14" s="3989" t="s">
        <v>3439</v>
      </c>
      <c r="AZ14" s="3989" t="s">
        <v>3396</v>
      </c>
      <c r="BA14" s="3989">
        <v>41253</v>
      </c>
      <c r="BB14" s="3989">
        <v>15</v>
      </c>
      <c r="BC14" s="3989">
        <v>29911</v>
      </c>
      <c r="BD14" s="3989">
        <v>66000</v>
      </c>
      <c r="BE14" s="3989" t="s">
        <v>3408</v>
      </c>
    </row>
    <row r="15" spans="1:57">
      <c r="A15" s="3987" t="s">
        <v>3526</v>
      </c>
      <c r="B15" s="3987" t="s">
        <v>1465</v>
      </c>
      <c r="C15" s="3987" t="s">
        <v>3527</v>
      </c>
      <c r="D15" s="3987" t="s">
        <v>3387</v>
      </c>
      <c r="E15" s="3987" t="s">
        <v>3388</v>
      </c>
      <c r="F15" s="3987" t="s">
        <v>3456</v>
      </c>
      <c r="G15" s="3987" t="s">
        <v>3528</v>
      </c>
      <c r="H15" s="3987" t="s">
        <v>3412</v>
      </c>
      <c r="I15" s="3987">
        <v>22115.200000000001</v>
      </c>
      <c r="J15" s="3987">
        <v>44230.400000000001</v>
      </c>
      <c r="K15" s="3987">
        <v>2</v>
      </c>
      <c r="L15" s="3987">
        <v>2</v>
      </c>
      <c r="M15" s="3987" t="s">
        <v>3393</v>
      </c>
      <c r="N15" s="3987" t="s">
        <v>3413</v>
      </c>
      <c r="O15" s="3987" t="s">
        <v>3529</v>
      </c>
      <c r="P15" s="3987" t="s">
        <v>3396</v>
      </c>
      <c r="Q15" s="3987">
        <v>0.3</v>
      </c>
      <c r="R15" s="3987">
        <v>45</v>
      </c>
      <c r="S15" s="3987" t="s">
        <v>3530</v>
      </c>
      <c r="T15" s="3987" t="s">
        <v>3531</v>
      </c>
      <c r="U15" s="3987" t="s">
        <v>3400</v>
      </c>
      <c r="V15" s="3987" t="s">
        <v>3400</v>
      </c>
      <c r="W15" s="3987">
        <v>0</v>
      </c>
      <c r="X15" s="3987">
        <v>0</v>
      </c>
      <c r="Y15" s="3987">
        <v>0</v>
      </c>
      <c r="Z15" s="3987">
        <v>0</v>
      </c>
      <c r="AA15" s="3988">
        <v>44568.000497685185</v>
      </c>
      <c r="AB15" s="3988">
        <v>44589.000497685185</v>
      </c>
      <c r="AC15" s="3988">
        <v>44608.000497685185</v>
      </c>
      <c r="AD15" s="3988">
        <v>44609.000497685185</v>
      </c>
      <c r="AE15" s="3987" t="s">
        <v>3532</v>
      </c>
      <c r="AF15" s="3987" t="s">
        <v>3402</v>
      </c>
      <c r="AG15" s="3987" t="s">
        <v>3533</v>
      </c>
      <c r="AH15" s="3987" t="s">
        <v>3534</v>
      </c>
      <c r="AI15" s="3987" t="s">
        <v>3535</v>
      </c>
      <c r="AJ15" s="3987">
        <v>146000</v>
      </c>
      <c r="AK15" s="3987">
        <v>30000</v>
      </c>
      <c r="AL15" s="3987" t="s">
        <v>3536</v>
      </c>
      <c r="AM15" s="3987">
        <v>147600</v>
      </c>
      <c r="AN15" s="3987">
        <v>66017.94</v>
      </c>
      <c r="AO15" s="3987">
        <v>66741.429999999993</v>
      </c>
      <c r="AP15" s="3987">
        <v>4401.2</v>
      </c>
      <c r="AQ15" s="3987">
        <v>4449.43</v>
      </c>
      <c r="AR15" s="3987">
        <v>33009</v>
      </c>
      <c r="AS15" s="3987">
        <v>33371</v>
      </c>
      <c r="AT15" s="3987" t="s">
        <v>3400</v>
      </c>
      <c r="AU15" s="3987" t="s">
        <v>3400</v>
      </c>
      <c r="AV15" s="3987">
        <v>1.1000000000000001</v>
      </c>
      <c r="AW15" s="3987" t="s">
        <v>3478</v>
      </c>
      <c r="AX15" s="3987">
        <v>153300</v>
      </c>
      <c r="AY15" s="3987" t="s">
        <v>3439</v>
      </c>
      <c r="AZ15" s="3987">
        <v>58000</v>
      </c>
      <c r="BA15" s="3987">
        <v>34659</v>
      </c>
      <c r="BB15" s="3987">
        <v>5</v>
      </c>
      <c r="BC15" s="3987">
        <v>24629</v>
      </c>
      <c r="BD15" s="3987">
        <v>58000</v>
      </c>
      <c r="BE15" s="3987" t="s">
        <v>3408</v>
      </c>
    </row>
    <row r="16" spans="1:57">
      <c r="A16" s="3987" t="s">
        <v>3537</v>
      </c>
      <c r="B16" s="3987" t="s">
        <v>1465</v>
      </c>
      <c r="C16" s="3987" t="s">
        <v>3538</v>
      </c>
      <c r="D16" s="3987" t="s">
        <v>3387</v>
      </c>
      <c r="E16" s="3987" t="s">
        <v>3388</v>
      </c>
      <c r="F16" s="3987" t="s">
        <v>3539</v>
      </c>
      <c r="G16" s="3987" t="s">
        <v>3540</v>
      </c>
      <c r="H16" s="3987" t="s">
        <v>3412</v>
      </c>
      <c r="I16" s="3987">
        <v>23519.8</v>
      </c>
      <c r="J16" s="3987">
        <v>58799.5</v>
      </c>
      <c r="K16" s="3987">
        <v>2.5</v>
      </c>
      <c r="L16" s="3987">
        <v>2.5</v>
      </c>
      <c r="M16" s="3987" t="s">
        <v>3393</v>
      </c>
      <c r="N16" s="3987" t="s">
        <v>3413</v>
      </c>
      <c r="O16" s="3987" t="s">
        <v>3529</v>
      </c>
      <c r="P16" s="3987">
        <v>0</v>
      </c>
      <c r="Q16" s="3987" t="s">
        <v>3400</v>
      </c>
      <c r="R16" s="3987">
        <v>60</v>
      </c>
      <c r="S16" s="3987" t="s">
        <v>3541</v>
      </c>
      <c r="T16" s="3987" t="s">
        <v>3542</v>
      </c>
      <c r="U16" s="3987" t="s">
        <v>3400</v>
      </c>
      <c r="V16" s="3987" t="s">
        <v>3400</v>
      </c>
      <c r="W16" s="3987" t="s">
        <v>3400</v>
      </c>
      <c r="X16" s="3987">
        <v>0</v>
      </c>
      <c r="Y16" s="3987">
        <v>0</v>
      </c>
      <c r="Z16" s="3987">
        <v>0</v>
      </c>
      <c r="AA16" s="3988">
        <v>44568.000497685185</v>
      </c>
      <c r="AB16" s="3988">
        <v>44589.000497685185</v>
      </c>
      <c r="AC16" s="3988">
        <v>44608.000497685185</v>
      </c>
      <c r="AD16" s="3988">
        <v>44609.000497685185</v>
      </c>
      <c r="AE16" s="3987" t="s">
        <v>3543</v>
      </c>
      <c r="AF16" s="3987" t="s">
        <v>3402</v>
      </c>
      <c r="AG16" s="3987" t="s">
        <v>3544</v>
      </c>
      <c r="AH16" s="3987" t="s">
        <v>3545</v>
      </c>
      <c r="AI16" s="3987" t="s">
        <v>3418</v>
      </c>
      <c r="AJ16" s="3987">
        <v>223000</v>
      </c>
      <c r="AK16" s="3987">
        <v>45000</v>
      </c>
      <c r="AL16" s="3987" t="s">
        <v>3536</v>
      </c>
      <c r="AM16" s="3987">
        <v>248000</v>
      </c>
      <c r="AN16" s="3987">
        <v>94813.73</v>
      </c>
      <c r="AO16" s="3987">
        <v>105443.07</v>
      </c>
      <c r="AP16" s="3987">
        <v>6320.92</v>
      </c>
      <c r="AQ16" s="3987">
        <v>7029.54</v>
      </c>
      <c r="AR16" s="3987">
        <v>37925</v>
      </c>
      <c r="AS16" s="3987">
        <v>42177</v>
      </c>
      <c r="AT16" s="3987" t="s">
        <v>3400</v>
      </c>
      <c r="AU16" s="3987" t="s">
        <v>3400</v>
      </c>
      <c r="AV16" s="3987">
        <v>11.21</v>
      </c>
      <c r="AW16" s="3987" t="s">
        <v>3478</v>
      </c>
      <c r="AX16" s="3987">
        <v>256450</v>
      </c>
      <c r="AY16" s="3987" t="s">
        <v>3439</v>
      </c>
      <c r="AZ16" s="3987">
        <v>73000</v>
      </c>
      <c r="BA16" s="3987">
        <v>43614</v>
      </c>
      <c r="BB16" s="3987">
        <v>15</v>
      </c>
      <c r="BC16" s="3987">
        <v>30822</v>
      </c>
      <c r="BD16" s="3987">
        <v>73000</v>
      </c>
      <c r="BE16" s="3987" t="s">
        <v>3408</v>
      </c>
    </row>
    <row r="17" spans="1:57">
      <c r="A17" s="3987" t="s">
        <v>3546</v>
      </c>
      <c r="B17" s="3987" t="s">
        <v>1465</v>
      </c>
      <c r="C17" s="3987" t="s">
        <v>3547</v>
      </c>
      <c r="D17" s="3987" t="s">
        <v>3387</v>
      </c>
      <c r="E17" s="3987" t="s">
        <v>3388</v>
      </c>
      <c r="F17" s="3987" t="s">
        <v>3389</v>
      </c>
      <c r="G17" s="3987" t="s">
        <v>3390</v>
      </c>
      <c r="H17" s="3987" t="s">
        <v>3391</v>
      </c>
      <c r="I17" s="3987">
        <v>78176.460000000006</v>
      </c>
      <c r="J17" s="3987">
        <v>178342.9</v>
      </c>
      <c r="K17" s="3987" t="s">
        <v>3548</v>
      </c>
      <c r="L17" s="3987">
        <v>2.5</v>
      </c>
      <c r="M17" s="3987" t="s">
        <v>3393</v>
      </c>
      <c r="N17" s="3987" t="s">
        <v>3549</v>
      </c>
      <c r="O17" s="3987" t="s">
        <v>3529</v>
      </c>
      <c r="P17" s="3987">
        <v>0</v>
      </c>
      <c r="Q17" s="3987">
        <v>0.3</v>
      </c>
      <c r="R17" s="3987" t="s">
        <v>3550</v>
      </c>
      <c r="S17" s="3987" t="s">
        <v>3551</v>
      </c>
      <c r="T17" s="3987" t="s">
        <v>3542</v>
      </c>
      <c r="U17" s="3987" t="s">
        <v>3400</v>
      </c>
      <c r="V17" s="3987" t="s">
        <v>3400</v>
      </c>
      <c r="W17" s="3987" t="s">
        <v>3400</v>
      </c>
      <c r="X17" s="3987">
        <v>0</v>
      </c>
      <c r="Y17" s="3987">
        <v>0</v>
      </c>
      <c r="Z17" s="3987">
        <v>0</v>
      </c>
      <c r="AA17" s="3988">
        <v>44568.000497685185</v>
      </c>
      <c r="AB17" s="3988">
        <v>44589.000497685185</v>
      </c>
      <c r="AC17" s="3988">
        <v>44608.000497685185</v>
      </c>
      <c r="AD17" s="3988">
        <v>44608.000497685185</v>
      </c>
      <c r="AE17" s="3987" t="s">
        <v>3552</v>
      </c>
      <c r="AF17" s="3987" t="s">
        <v>3402</v>
      </c>
      <c r="AG17" s="3987" t="s">
        <v>3553</v>
      </c>
      <c r="AH17" s="3987" t="s">
        <v>3554</v>
      </c>
      <c r="AI17" s="3987" t="s">
        <v>3555</v>
      </c>
      <c r="AJ17" s="3987">
        <v>482000</v>
      </c>
      <c r="AK17" s="3987">
        <v>97000</v>
      </c>
      <c r="AL17" s="3987" t="s">
        <v>3536</v>
      </c>
      <c r="AM17" s="3987">
        <v>482000</v>
      </c>
      <c r="AN17" s="3987">
        <v>61655.38</v>
      </c>
      <c r="AO17" s="3987">
        <v>61655.38</v>
      </c>
      <c r="AP17" s="3987">
        <v>4110.3599999999997</v>
      </c>
      <c r="AQ17" s="3987">
        <v>4110.3599999999997</v>
      </c>
      <c r="AR17" s="3987">
        <v>27027</v>
      </c>
      <c r="AS17" s="3987">
        <v>27027</v>
      </c>
      <c r="AT17" s="3987" t="s">
        <v>3400</v>
      </c>
      <c r="AU17" s="3987" t="s">
        <v>3400</v>
      </c>
      <c r="AV17" s="3987">
        <v>0</v>
      </c>
      <c r="AW17" s="3987" t="s">
        <v>3556</v>
      </c>
      <c r="AX17" s="3987">
        <v>554300</v>
      </c>
      <c r="AY17" s="3987" t="s">
        <v>3439</v>
      </c>
      <c r="AZ17" s="3987">
        <v>59000</v>
      </c>
      <c r="BA17" s="3987">
        <v>31081</v>
      </c>
      <c r="BB17" s="3987">
        <v>15</v>
      </c>
      <c r="BC17" s="3987">
        <v>31110</v>
      </c>
      <c r="BD17" s="3987">
        <v>59000</v>
      </c>
      <c r="BE17" s="3987" t="s">
        <v>3408</v>
      </c>
    </row>
    <row r="18" spans="1:57">
      <c r="A18" s="3987" t="s">
        <v>3557</v>
      </c>
      <c r="B18" s="3987" t="s">
        <v>1465</v>
      </c>
      <c r="C18" s="3987" t="s">
        <v>3558</v>
      </c>
      <c r="D18" s="3987" t="s">
        <v>3387</v>
      </c>
      <c r="E18" s="3987" t="s">
        <v>3388</v>
      </c>
      <c r="F18" s="3987" t="s">
        <v>3421</v>
      </c>
      <c r="G18" s="3987" t="s">
        <v>3518</v>
      </c>
      <c r="H18" s="3987" t="s">
        <v>3391</v>
      </c>
      <c r="I18" s="3987">
        <v>104108.28</v>
      </c>
      <c r="J18" s="3987">
        <v>211367.4</v>
      </c>
      <c r="K18" s="3987" t="s">
        <v>3559</v>
      </c>
      <c r="L18" s="3987">
        <v>2.1</v>
      </c>
      <c r="M18" s="3987" t="s">
        <v>3393</v>
      </c>
      <c r="N18" s="3987" t="s">
        <v>3560</v>
      </c>
      <c r="O18" s="3987" t="s">
        <v>3529</v>
      </c>
      <c r="P18" s="3987" t="s">
        <v>3396</v>
      </c>
      <c r="Q18" s="3987" t="s">
        <v>3561</v>
      </c>
      <c r="R18" s="3987" t="s">
        <v>3562</v>
      </c>
      <c r="S18" s="3987" t="s">
        <v>3551</v>
      </c>
      <c r="T18" s="3987" t="s">
        <v>3542</v>
      </c>
      <c r="U18" s="3987" t="s">
        <v>3400</v>
      </c>
      <c r="V18" s="3987" t="s">
        <v>3400</v>
      </c>
      <c r="W18" s="3987">
        <v>0</v>
      </c>
      <c r="X18" s="3987">
        <v>0</v>
      </c>
      <c r="Y18" s="3987">
        <v>0</v>
      </c>
      <c r="Z18" s="3987">
        <v>0</v>
      </c>
      <c r="AA18" s="3988">
        <v>44568.000497685185</v>
      </c>
      <c r="AB18" s="3988">
        <v>44589.000497685185</v>
      </c>
      <c r="AC18" s="3988">
        <v>44608.000497685185</v>
      </c>
      <c r="AD18" s="3988">
        <v>44608.000497685185</v>
      </c>
      <c r="AE18" s="3987" t="s">
        <v>3563</v>
      </c>
      <c r="AF18" s="3987" t="s">
        <v>3402</v>
      </c>
      <c r="AG18" s="3987" t="s">
        <v>3564</v>
      </c>
      <c r="AH18" s="3987" t="s">
        <v>3565</v>
      </c>
      <c r="AI18" s="3987" t="s">
        <v>3566</v>
      </c>
      <c r="AJ18" s="3987">
        <v>357000</v>
      </c>
      <c r="AK18" s="3987">
        <v>72000</v>
      </c>
      <c r="AL18" s="3987" t="s">
        <v>3536</v>
      </c>
      <c r="AM18" s="3987">
        <v>357000</v>
      </c>
      <c r="AN18" s="3987">
        <v>34291.22</v>
      </c>
      <c r="AO18" s="3987">
        <v>34291.22</v>
      </c>
      <c r="AP18" s="3987">
        <v>2286.08</v>
      </c>
      <c r="AQ18" s="3987">
        <v>2286.08</v>
      </c>
      <c r="AR18" s="3987">
        <v>16890</v>
      </c>
      <c r="AS18" s="3987">
        <v>16890</v>
      </c>
      <c r="AT18" s="3987" t="s">
        <v>3400</v>
      </c>
      <c r="AU18" s="3987" t="s">
        <v>3400</v>
      </c>
      <c r="AV18" s="3987">
        <v>0</v>
      </c>
      <c r="AW18" s="3987" t="s">
        <v>3567</v>
      </c>
      <c r="AX18" s="3987">
        <v>410550</v>
      </c>
      <c r="AY18" s="3987" t="s">
        <v>3439</v>
      </c>
      <c r="AZ18" s="3987">
        <v>66000</v>
      </c>
      <c r="BA18" s="3987">
        <v>19424</v>
      </c>
      <c r="BB18" s="3987">
        <v>15</v>
      </c>
      <c r="BC18" s="3987">
        <v>48911</v>
      </c>
      <c r="BD18" s="3987">
        <v>66000</v>
      </c>
      <c r="BE18" s="3987" t="s">
        <v>3408</v>
      </c>
    </row>
    <row r="19" spans="1:57">
      <c r="A19" s="3987" t="s">
        <v>3568</v>
      </c>
      <c r="B19" s="3987" t="s">
        <v>1465</v>
      </c>
      <c r="C19" s="3987" t="s">
        <v>3569</v>
      </c>
      <c r="D19" s="3987" t="s">
        <v>3387</v>
      </c>
      <c r="E19" s="3987" t="s">
        <v>3388</v>
      </c>
      <c r="F19" s="3987" t="s">
        <v>3442</v>
      </c>
      <c r="G19" s="3987" t="s">
        <v>3570</v>
      </c>
      <c r="H19" s="3987" t="s">
        <v>3412</v>
      </c>
      <c r="I19" s="3987">
        <v>40082.199999999997</v>
      </c>
      <c r="J19" s="3987">
        <v>60123.3</v>
      </c>
      <c r="K19" s="3987">
        <v>1.5</v>
      </c>
      <c r="L19" s="3987">
        <v>1.5</v>
      </c>
      <c r="M19" s="3987" t="s">
        <v>3393</v>
      </c>
      <c r="N19" s="3987" t="s">
        <v>3571</v>
      </c>
      <c r="O19" s="3987" t="s">
        <v>3395</v>
      </c>
      <c r="P19" s="3987" t="s">
        <v>3396</v>
      </c>
      <c r="Q19" s="3987">
        <v>30</v>
      </c>
      <c r="R19" s="3987" t="s">
        <v>3400</v>
      </c>
      <c r="S19" s="3987" t="s">
        <v>3400</v>
      </c>
      <c r="T19" s="3987" t="s">
        <v>3400</v>
      </c>
      <c r="U19" s="3987" t="s">
        <v>3400</v>
      </c>
      <c r="V19" s="3987" t="s">
        <v>3400</v>
      </c>
      <c r="W19" s="3987" t="s">
        <v>3400</v>
      </c>
      <c r="X19" s="3987" t="s">
        <v>3400</v>
      </c>
      <c r="Y19" s="3987">
        <v>0</v>
      </c>
      <c r="Z19" s="3987">
        <v>0</v>
      </c>
      <c r="AA19" s="3988">
        <v>44516.000497685185</v>
      </c>
      <c r="AB19" s="3988">
        <v>44536.000497685185</v>
      </c>
      <c r="AC19" s="3988">
        <v>44550.000497685185</v>
      </c>
      <c r="AD19" s="3988">
        <v>44550.000497685185</v>
      </c>
      <c r="AE19" s="3987" t="s">
        <v>3572</v>
      </c>
      <c r="AF19" s="3987" t="s">
        <v>3402</v>
      </c>
      <c r="AG19" s="3987" t="s">
        <v>3573</v>
      </c>
      <c r="AH19" s="3987" t="s">
        <v>3574</v>
      </c>
      <c r="AI19" s="3987" t="s">
        <v>3451</v>
      </c>
      <c r="AJ19" s="3987">
        <v>81924.009999999995</v>
      </c>
      <c r="AK19" s="3987">
        <v>16400</v>
      </c>
      <c r="AL19" s="3987" t="s">
        <v>2095</v>
      </c>
      <c r="AM19" s="3987">
        <v>81924.009999999995</v>
      </c>
      <c r="AN19" s="3987">
        <v>20439</v>
      </c>
      <c r="AO19" s="3987">
        <v>20439</v>
      </c>
      <c r="AP19" s="3987">
        <v>1362.6</v>
      </c>
      <c r="AQ19" s="3987">
        <v>1362.6</v>
      </c>
      <c r="AR19" s="3987">
        <v>13626</v>
      </c>
      <c r="AS19" s="3987">
        <v>13626</v>
      </c>
      <c r="AT19" s="3987" t="s">
        <v>3400</v>
      </c>
      <c r="AU19" s="3987" t="s">
        <v>3400</v>
      </c>
      <c r="AV19" s="3987">
        <v>0</v>
      </c>
      <c r="AW19" s="3987">
        <v>50</v>
      </c>
      <c r="AX19" s="3987" t="s">
        <v>3396</v>
      </c>
      <c r="AY19" s="3987" t="s">
        <v>3400</v>
      </c>
      <c r="AZ19" s="3987" t="s">
        <v>3396</v>
      </c>
      <c r="BA19" s="3987" t="s">
        <v>3400</v>
      </c>
      <c r="BB19" s="3987" t="s">
        <v>3400</v>
      </c>
      <c r="BC19" s="3987" t="s">
        <v>3400</v>
      </c>
      <c r="BD19" s="3987" t="s">
        <v>3400</v>
      </c>
      <c r="BE19" s="3987" t="s">
        <v>3408</v>
      </c>
    </row>
    <row r="20" spans="1:57" s="3991" customFormat="1">
      <c r="A20" s="3989" t="s">
        <v>3575</v>
      </c>
      <c r="B20" s="3989" t="s">
        <v>1465</v>
      </c>
      <c r="C20" s="3989" t="s">
        <v>3576</v>
      </c>
      <c r="D20" s="3989" t="s">
        <v>3387</v>
      </c>
      <c r="E20" s="3989" t="s">
        <v>3388</v>
      </c>
      <c r="F20" s="3989" t="s">
        <v>3577</v>
      </c>
      <c r="G20" s="3989" t="s">
        <v>3390</v>
      </c>
      <c r="H20" s="3989" t="s">
        <v>3391</v>
      </c>
      <c r="I20" s="3989">
        <v>54389.09</v>
      </c>
      <c r="J20" s="3989">
        <v>123172</v>
      </c>
      <c r="K20" s="3989" t="s">
        <v>3578</v>
      </c>
      <c r="L20" s="3989">
        <v>2.5</v>
      </c>
      <c r="M20" s="3989" t="s">
        <v>3393</v>
      </c>
      <c r="N20" s="3989" t="s">
        <v>3579</v>
      </c>
      <c r="O20" s="3989" t="s">
        <v>3580</v>
      </c>
      <c r="P20" s="3989">
        <v>1.79</v>
      </c>
      <c r="Q20" s="3989" t="s">
        <v>3581</v>
      </c>
      <c r="R20" s="3989" t="s">
        <v>3582</v>
      </c>
      <c r="S20" s="3989" t="s">
        <v>3583</v>
      </c>
      <c r="T20" s="3989" t="s">
        <v>3584</v>
      </c>
      <c r="U20" s="3989" t="s">
        <v>3400</v>
      </c>
      <c r="V20" s="3989" t="s">
        <v>3400</v>
      </c>
      <c r="W20" s="3989" t="s">
        <v>3400</v>
      </c>
      <c r="X20" s="3989" t="s">
        <v>3400</v>
      </c>
      <c r="Y20" s="3989">
        <v>0</v>
      </c>
      <c r="Z20" s="3989">
        <v>0</v>
      </c>
      <c r="AA20" s="3990">
        <v>44438.000497685185</v>
      </c>
      <c r="AB20" s="3990">
        <v>44462.000497685185</v>
      </c>
      <c r="AC20" s="3990">
        <v>44482.000497685185</v>
      </c>
      <c r="AD20" s="3990">
        <v>44482.000497685185</v>
      </c>
      <c r="AE20" s="3989" t="s">
        <v>3585</v>
      </c>
      <c r="AF20" s="3989" t="s">
        <v>3402</v>
      </c>
      <c r="AG20" s="3989" t="s">
        <v>3586</v>
      </c>
      <c r="AH20" s="3989" t="s">
        <v>3587</v>
      </c>
      <c r="AI20" s="3989" t="s">
        <v>3437</v>
      </c>
      <c r="AJ20" s="3989">
        <v>344000</v>
      </c>
      <c r="AK20" s="3989">
        <v>69000</v>
      </c>
      <c r="AL20" s="3989" t="s">
        <v>3588</v>
      </c>
      <c r="AM20" s="3989">
        <v>378400</v>
      </c>
      <c r="AN20" s="3989">
        <v>63247.98</v>
      </c>
      <c r="AO20" s="3989">
        <v>69572.77</v>
      </c>
      <c r="AP20" s="3989">
        <v>4216.53</v>
      </c>
      <c r="AQ20" s="3989">
        <v>4638.1899999999996</v>
      </c>
      <c r="AR20" s="3989">
        <v>27928</v>
      </c>
      <c r="AS20" s="3989">
        <v>30721</v>
      </c>
      <c r="AT20" s="3989" t="s">
        <v>3400</v>
      </c>
      <c r="AU20" s="3989" t="s">
        <v>3400</v>
      </c>
      <c r="AV20" s="3989">
        <v>10</v>
      </c>
      <c r="AW20" s="3989" t="s">
        <v>3589</v>
      </c>
      <c r="AX20" s="3989">
        <v>378400</v>
      </c>
      <c r="AY20" s="3989" t="s">
        <v>3407</v>
      </c>
      <c r="AZ20" s="3989">
        <v>59000</v>
      </c>
      <c r="BA20" s="3989">
        <v>30721</v>
      </c>
      <c r="BB20" s="3989">
        <v>10</v>
      </c>
      <c r="BC20" s="3989">
        <v>25365</v>
      </c>
      <c r="BD20" s="3989">
        <v>59000</v>
      </c>
      <c r="BE20" s="3989" t="s">
        <v>3408</v>
      </c>
    </row>
    <row r="21" spans="1:57">
      <c r="A21" s="3987" t="s">
        <v>3590</v>
      </c>
      <c r="B21" s="3987" t="s">
        <v>1465</v>
      </c>
      <c r="C21" s="3987" t="s">
        <v>3591</v>
      </c>
      <c r="D21" s="3987" t="s">
        <v>3387</v>
      </c>
      <c r="E21" s="3987" t="s">
        <v>3388</v>
      </c>
      <c r="F21" s="3987" t="s">
        <v>3421</v>
      </c>
      <c r="G21" s="3987" t="s">
        <v>3518</v>
      </c>
      <c r="H21" s="3987" t="s">
        <v>3412</v>
      </c>
      <c r="I21" s="3987">
        <v>71316.899999999994</v>
      </c>
      <c r="J21" s="3987">
        <v>178292.25</v>
      </c>
      <c r="K21" s="3987" t="s">
        <v>3592</v>
      </c>
      <c r="L21" s="3987">
        <v>2.5</v>
      </c>
      <c r="M21" s="3987" t="s">
        <v>3393</v>
      </c>
      <c r="N21" s="3987" t="s">
        <v>3413</v>
      </c>
      <c r="O21" s="3987" t="s">
        <v>3580</v>
      </c>
      <c r="P21" s="3987" t="s">
        <v>3396</v>
      </c>
      <c r="Q21" s="3987" t="s">
        <v>3581</v>
      </c>
      <c r="R21" s="3987" t="s">
        <v>3593</v>
      </c>
      <c r="S21" s="3987" t="s">
        <v>3594</v>
      </c>
      <c r="T21" s="3987" t="s">
        <v>3542</v>
      </c>
      <c r="U21" s="3987" t="s">
        <v>3595</v>
      </c>
      <c r="V21" s="3987" t="s">
        <v>3596</v>
      </c>
      <c r="W21" s="3987" t="s">
        <v>3400</v>
      </c>
      <c r="X21" s="3987" t="s">
        <v>3400</v>
      </c>
      <c r="Y21" s="3987">
        <v>0</v>
      </c>
      <c r="Z21" s="3987">
        <v>0</v>
      </c>
      <c r="AA21" s="3988">
        <v>44438.000497685185</v>
      </c>
      <c r="AB21" s="3988">
        <v>44462.000497685185</v>
      </c>
      <c r="AC21" s="3988">
        <v>44481.000497685185</v>
      </c>
      <c r="AD21" s="3988">
        <v>44481.000497685185</v>
      </c>
      <c r="AE21" s="3987" t="s">
        <v>3597</v>
      </c>
      <c r="AF21" s="3987" t="s">
        <v>3402</v>
      </c>
      <c r="AG21" s="3987" t="s">
        <v>3468</v>
      </c>
      <c r="AH21" s="3987" t="s">
        <v>3598</v>
      </c>
      <c r="AI21" s="3987" t="s">
        <v>3470</v>
      </c>
      <c r="AJ21" s="3987">
        <v>685000</v>
      </c>
      <c r="AK21" s="3987">
        <v>137000</v>
      </c>
      <c r="AL21" s="3987" t="s">
        <v>3588</v>
      </c>
      <c r="AM21" s="3987">
        <v>685000</v>
      </c>
      <c r="AN21" s="3987">
        <v>96050.16</v>
      </c>
      <c r="AO21" s="3987">
        <v>96050.16</v>
      </c>
      <c r="AP21" s="3987">
        <v>6403.34</v>
      </c>
      <c r="AQ21" s="3987">
        <v>6403.34</v>
      </c>
      <c r="AR21" s="3987">
        <v>38420</v>
      </c>
      <c r="AS21" s="3987">
        <v>38420</v>
      </c>
      <c r="AT21" s="3987" t="s">
        <v>3400</v>
      </c>
      <c r="AU21" s="3987" t="s">
        <v>3400</v>
      </c>
      <c r="AV21" s="3987">
        <v>0</v>
      </c>
      <c r="AW21" s="3987" t="s">
        <v>3599</v>
      </c>
      <c r="AX21" s="3987">
        <v>787750</v>
      </c>
      <c r="AY21" s="3987" t="s">
        <v>3439</v>
      </c>
      <c r="AZ21" s="3987">
        <v>66000</v>
      </c>
      <c r="BA21" s="3987">
        <v>44183</v>
      </c>
      <c r="BB21" s="3987">
        <v>15</v>
      </c>
      <c r="BC21" s="3987">
        <v>23318</v>
      </c>
      <c r="BD21" s="3987">
        <v>66000</v>
      </c>
      <c r="BE21" s="3987" t="s">
        <v>3408</v>
      </c>
    </row>
    <row r="22" spans="1:57">
      <c r="A22" s="3987" t="s">
        <v>3600</v>
      </c>
      <c r="B22" s="3987" t="s">
        <v>1465</v>
      </c>
      <c r="C22" s="3987" t="s">
        <v>3601</v>
      </c>
      <c r="D22" s="3987" t="s">
        <v>3387</v>
      </c>
      <c r="E22" s="3987" t="s">
        <v>3388</v>
      </c>
      <c r="F22" s="3987" t="s">
        <v>3421</v>
      </c>
      <c r="G22" s="3987" t="s">
        <v>3540</v>
      </c>
      <c r="H22" s="3987" t="s">
        <v>3391</v>
      </c>
      <c r="I22" s="3987">
        <v>94681.7</v>
      </c>
      <c r="J22" s="3987">
        <v>239024</v>
      </c>
      <c r="K22" s="3987" t="s">
        <v>3602</v>
      </c>
      <c r="L22" s="3987">
        <v>3</v>
      </c>
      <c r="M22" s="3987" t="s">
        <v>3393</v>
      </c>
      <c r="N22" s="3987" t="s">
        <v>3603</v>
      </c>
      <c r="O22" s="3987" t="s">
        <v>3580</v>
      </c>
      <c r="P22" s="3987">
        <v>11.08</v>
      </c>
      <c r="Q22" s="3987" t="s">
        <v>3604</v>
      </c>
      <c r="R22" s="3987">
        <v>6015</v>
      </c>
      <c r="S22" s="3987" t="s">
        <v>3605</v>
      </c>
      <c r="T22" s="3987" t="s">
        <v>3400</v>
      </c>
      <c r="U22" s="3987" t="s">
        <v>3606</v>
      </c>
      <c r="V22" s="3987" t="s">
        <v>3596</v>
      </c>
      <c r="W22" s="3987" t="s">
        <v>3400</v>
      </c>
      <c r="X22" s="3987" t="s">
        <v>3400</v>
      </c>
      <c r="Y22" s="3987">
        <v>0</v>
      </c>
      <c r="Z22" s="3987">
        <v>0</v>
      </c>
      <c r="AA22" s="3988">
        <v>44438.000497685185</v>
      </c>
      <c r="AB22" s="3988">
        <v>44462.000497685185</v>
      </c>
      <c r="AC22" s="3988">
        <v>44481.000497685185</v>
      </c>
      <c r="AD22" s="3987" t="s">
        <v>3400</v>
      </c>
      <c r="AE22" s="3987" t="s">
        <v>3607</v>
      </c>
      <c r="AF22" s="3987" t="s">
        <v>3608</v>
      </c>
      <c r="AG22" s="3987" t="s">
        <v>3396</v>
      </c>
      <c r="AH22" s="3987" t="s">
        <v>3400</v>
      </c>
      <c r="AI22" s="3987" t="s">
        <v>3400</v>
      </c>
      <c r="AJ22" s="3987">
        <v>565000</v>
      </c>
      <c r="AK22" s="3987">
        <v>113000</v>
      </c>
      <c r="AL22" s="3987" t="s">
        <v>3588</v>
      </c>
      <c r="AM22" s="3987" t="s">
        <v>3400</v>
      </c>
      <c r="AN22" s="3987">
        <v>59673.62</v>
      </c>
      <c r="AO22" s="3987" t="s">
        <v>3400</v>
      </c>
      <c r="AP22" s="3987">
        <v>3978.24</v>
      </c>
      <c r="AQ22" s="3987" t="s">
        <v>3400</v>
      </c>
      <c r="AR22" s="3987">
        <v>23638</v>
      </c>
      <c r="AS22" s="3987" t="s">
        <v>3400</v>
      </c>
      <c r="AT22" s="3987" t="s">
        <v>3400</v>
      </c>
      <c r="AU22" s="3987" t="s">
        <v>3400</v>
      </c>
      <c r="AV22" s="3987">
        <v>0</v>
      </c>
      <c r="AW22" s="3987" t="s">
        <v>3452</v>
      </c>
      <c r="AX22" s="3987">
        <v>649750</v>
      </c>
      <c r="AY22" s="3987" t="s">
        <v>3400</v>
      </c>
      <c r="AZ22" s="3987">
        <v>70000</v>
      </c>
      <c r="BA22" s="3987">
        <v>27183</v>
      </c>
      <c r="BB22" s="3987">
        <v>15</v>
      </c>
      <c r="BC22" s="3987" t="s">
        <v>3400</v>
      </c>
      <c r="BD22" s="3987">
        <v>70000</v>
      </c>
      <c r="BE22" s="3987" t="s">
        <v>3453</v>
      </c>
    </row>
    <row r="23" spans="1:57">
      <c r="A23" s="3987" t="s">
        <v>3609</v>
      </c>
      <c r="B23" s="3987" t="s">
        <v>1465</v>
      </c>
      <c r="C23" s="3987" t="s">
        <v>3610</v>
      </c>
      <c r="D23" s="3987" t="s">
        <v>3387</v>
      </c>
      <c r="E23" s="3987" t="s">
        <v>3388</v>
      </c>
      <c r="F23" s="3987" t="s">
        <v>3411</v>
      </c>
      <c r="G23" s="3987" t="s">
        <v>3611</v>
      </c>
      <c r="H23" s="3987" t="s">
        <v>3391</v>
      </c>
      <c r="I23" s="3987">
        <v>94973.86</v>
      </c>
      <c r="J23" s="3987">
        <v>192900</v>
      </c>
      <c r="K23" s="3987" t="s">
        <v>3508</v>
      </c>
      <c r="L23" s="3987">
        <v>2</v>
      </c>
      <c r="M23" s="3987" t="s">
        <v>3393</v>
      </c>
      <c r="N23" s="3987" t="s">
        <v>3612</v>
      </c>
      <c r="O23" s="3987" t="s">
        <v>3613</v>
      </c>
      <c r="P23" s="3987" t="s">
        <v>3396</v>
      </c>
      <c r="Q23" s="3987" t="s">
        <v>3400</v>
      </c>
      <c r="R23" s="3987" t="s">
        <v>3614</v>
      </c>
      <c r="S23" s="3987" t="s">
        <v>3615</v>
      </c>
      <c r="T23" s="3987" t="s">
        <v>3616</v>
      </c>
      <c r="U23" s="3987" t="s">
        <v>3617</v>
      </c>
      <c r="V23" s="3987" t="s">
        <v>3618</v>
      </c>
      <c r="W23" s="3987" t="s">
        <v>3400</v>
      </c>
      <c r="X23" s="3987">
        <v>1000</v>
      </c>
      <c r="Y23" s="3987">
        <v>0</v>
      </c>
      <c r="Z23" s="3987">
        <v>0</v>
      </c>
      <c r="AA23" s="3988">
        <v>44286.000497685185</v>
      </c>
      <c r="AB23" s="3988">
        <v>44308.000497685185</v>
      </c>
      <c r="AC23" s="3988">
        <v>44324.000497685185</v>
      </c>
      <c r="AD23" s="3988">
        <v>44327.000497685185</v>
      </c>
      <c r="AE23" s="3987" t="s">
        <v>3619</v>
      </c>
      <c r="AF23" s="3987" t="s">
        <v>3402</v>
      </c>
      <c r="AG23" s="3987" t="s">
        <v>3620</v>
      </c>
      <c r="AH23" s="3987" t="s">
        <v>3621</v>
      </c>
      <c r="AI23" s="3987" t="s">
        <v>3418</v>
      </c>
      <c r="AJ23" s="3987">
        <v>595000</v>
      </c>
      <c r="AK23" s="3987">
        <v>119000</v>
      </c>
      <c r="AL23" s="3987" t="s">
        <v>3622</v>
      </c>
      <c r="AM23" s="3987">
        <v>625000</v>
      </c>
      <c r="AN23" s="3987">
        <v>62648.81</v>
      </c>
      <c r="AO23" s="3987">
        <v>65807.58</v>
      </c>
      <c r="AP23" s="3987">
        <v>4176.59</v>
      </c>
      <c r="AQ23" s="3987">
        <v>4387.17</v>
      </c>
      <c r="AR23" s="3987">
        <v>30845</v>
      </c>
      <c r="AS23" s="3987">
        <v>32400</v>
      </c>
      <c r="AT23" s="3987" t="s">
        <v>3400</v>
      </c>
      <c r="AU23" s="3987">
        <v>32569</v>
      </c>
      <c r="AV23" s="3987">
        <v>5.04</v>
      </c>
      <c r="AW23" s="3987" t="s">
        <v>3452</v>
      </c>
      <c r="AX23" s="3987">
        <v>625000</v>
      </c>
      <c r="AY23" s="3987" t="s">
        <v>3407</v>
      </c>
      <c r="AZ23" s="3987" t="s">
        <v>3396</v>
      </c>
      <c r="BA23" s="3987">
        <v>32400</v>
      </c>
      <c r="BB23" s="3987">
        <v>5.04</v>
      </c>
      <c r="BC23" s="3987" t="s">
        <v>3400</v>
      </c>
      <c r="BD23" s="3987" t="s">
        <v>3400</v>
      </c>
      <c r="BE23" s="3987" t="s">
        <v>3623</v>
      </c>
    </row>
    <row r="24" spans="1:57">
      <c r="A24" s="3987" t="s">
        <v>3624</v>
      </c>
      <c r="B24" s="3987" t="s">
        <v>1465</v>
      </c>
      <c r="C24" s="3987" t="s">
        <v>3625</v>
      </c>
      <c r="D24" s="3987" t="s">
        <v>3387</v>
      </c>
      <c r="E24" s="3987" t="s">
        <v>3388</v>
      </c>
      <c r="F24" s="3987" t="s">
        <v>3421</v>
      </c>
      <c r="G24" s="3987" t="s">
        <v>3626</v>
      </c>
      <c r="H24" s="3987" t="s">
        <v>3391</v>
      </c>
      <c r="I24" s="3987">
        <v>38598.46</v>
      </c>
      <c r="J24" s="3987">
        <v>82574</v>
      </c>
      <c r="K24" s="3987" t="s">
        <v>3627</v>
      </c>
      <c r="L24" s="3987">
        <v>2.5</v>
      </c>
      <c r="M24" s="3987" t="s">
        <v>3393</v>
      </c>
      <c r="N24" s="3987" t="s">
        <v>3628</v>
      </c>
      <c r="O24" s="3987" t="s">
        <v>3613</v>
      </c>
      <c r="P24" s="3987" t="s">
        <v>3396</v>
      </c>
      <c r="Q24" s="3987" t="s">
        <v>3629</v>
      </c>
      <c r="R24" s="3987" t="s">
        <v>3630</v>
      </c>
      <c r="S24" s="3987" t="s">
        <v>3631</v>
      </c>
      <c r="T24" s="3987" t="s">
        <v>3632</v>
      </c>
      <c r="U24" s="3987" t="s">
        <v>3617</v>
      </c>
      <c r="V24" s="3987" t="s">
        <v>3618</v>
      </c>
      <c r="W24" s="3987">
        <v>12810</v>
      </c>
      <c r="X24" s="3987">
        <v>12810</v>
      </c>
      <c r="Y24" s="3987">
        <v>0</v>
      </c>
      <c r="Z24" s="3987">
        <v>0</v>
      </c>
      <c r="AA24" s="3988">
        <v>44286.000497685185</v>
      </c>
      <c r="AB24" s="3988">
        <v>44308.000497685185</v>
      </c>
      <c r="AC24" s="3988">
        <v>44324.000497685185</v>
      </c>
      <c r="AD24" s="3988">
        <v>44327.000497685185</v>
      </c>
      <c r="AE24" s="3987" t="s">
        <v>3633</v>
      </c>
      <c r="AF24" s="3987" t="s">
        <v>3402</v>
      </c>
      <c r="AG24" s="3987" t="s">
        <v>3634</v>
      </c>
      <c r="AH24" s="3987" t="s">
        <v>3635</v>
      </c>
      <c r="AI24" s="3987" t="s">
        <v>3555</v>
      </c>
      <c r="AJ24" s="3987">
        <v>142000</v>
      </c>
      <c r="AK24" s="3987">
        <v>29000</v>
      </c>
      <c r="AL24" s="3987" t="s">
        <v>3622</v>
      </c>
      <c r="AM24" s="3987">
        <v>163000</v>
      </c>
      <c r="AN24" s="3987">
        <v>36789.03</v>
      </c>
      <c r="AO24" s="3987">
        <v>42229.66</v>
      </c>
      <c r="AP24" s="3987">
        <v>2452.6</v>
      </c>
      <c r="AQ24" s="3987">
        <v>2815.31</v>
      </c>
      <c r="AR24" s="3987">
        <v>17197</v>
      </c>
      <c r="AS24" s="3987">
        <v>19740</v>
      </c>
      <c r="AT24" s="3987">
        <v>20354</v>
      </c>
      <c r="AU24" s="3987">
        <v>23364</v>
      </c>
      <c r="AV24" s="3987">
        <v>14.79</v>
      </c>
      <c r="AW24" s="3987" t="s">
        <v>3452</v>
      </c>
      <c r="AX24" s="3987">
        <v>163000</v>
      </c>
      <c r="AY24" s="3987" t="s">
        <v>3407</v>
      </c>
      <c r="AZ24" s="3987" t="s">
        <v>3396</v>
      </c>
      <c r="BA24" s="3987">
        <v>19740</v>
      </c>
      <c r="BB24" s="3987">
        <v>14.79</v>
      </c>
      <c r="BC24" s="3987" t="s">
        <v>3400</v>
      </c>
      <c r="BD24" s="3987" t="s">
        <v>3400</v>
      </c>
      <c r="BE24" s="3987" t="s">
        <v>3408</v>
      </c>
    </row>
    <row r="25" spans="1:57">
      <c r="A25" s="3987" t="s">
        <v>3636</v>
      </c>
      <c r="B25" s="3987" t="s">
        <v>1465</v>
      </c>
      <c r="C25" s="3987" t="s">
        <v>3637</v>
      </c>
      <c r="D25" s="3987" t="s">
        <v>3387</v>
      </c>
      <c r="E25" s="3987" t="s">
        <v>3388</v>
      </c>
      <c r="F25" s="3987" t="s">
        <v>3411</v>
      </c>
      <c r="G25" s="3987" t="s">
        <v>3611</v>
      </c>
      <c r="H25" s="3987" t="s">
        <v>3391</v>
      </c>
      <c r="I25" s="3987">
        <v>108243.94</v>
      </c>
      <c r="J25" s="3987">
        <v>262360.75</v>
      </c>
      <c r="K25" s="3987" t="s">
        <v>3638</v>
      </c>
      <c r="L25" s="3987">
        <v>2.42</v>
      </c>
      <c r="M25" s="3987" t="s">
        <v>3393</v>
      </c>
      <c r="N25" s="3987" t="s">
        <v>3639</v>
      </c>
      <c r="O25" s="3987" t="s">
        <v>3613</v>
      </c>
      <c r="P25" s="3987">
        <v>5.28</v>
      </c>
      <c r="Q25" s="3987" t="s">
        <v>3400</v>
      </c>
      <c r="R25" s="3987" t="s">
        <v>3400</v>
      </c>
      <c r="S25" s="3987" t="s">
        <v>3615</v>
      </c>
      <c r="T25" s="3987" t="s">
        <v>3616</v>
      </c>
      <c r="U25" s="3987" t="s">
        <v>3617</v>
      </c>
      <c r="V25" s="3987" t="s">
        <v>3618</v>
      </c>
      <c r="W25" s="3987" t="s">
        <v>3400</v>
      </c>
      <c r="X25" s="3987">
        <v>0</v>
      </c>
      <c r="Y25" s="3987">
        <v>0</v>
      </c>
      <c r="Z25" s="3987">
        <v>0</v>
      </c>
      <c r="AA25" s="3988">
        <v>44286.000497685185</v>
      </c>
      <c r="AB25" s="3988">
        <v>44308.000497685185</v>
      </c>
      <c r="AC25" s="3988">
        <v>44324.000497685185</v>
      </c>
      <c r="AD25" s="3988">
        <v>44324.000497685185</v>
      </c>
      <c r="AE25" s="3987" t="s">
        <v>3640</v>
      </c>
      <c r="AF25" s="3987" t="s">
        <v>3402</v>
      </c>
      <c r="AG25" s="3987" t="s">
        <v>3641</v>
      </c>
      <c r="AH25" s="3987" t="s">
        <v>3642</v>
      </c>
      <c r="AI25" s="3987" t="s">
        <v>3643</v>
      </c>
      <c r="AJ25" s="3987">
        <v>452000</v>
      </c>
      <c r="AK25" s="3987">
        <v>91000</v>
      </c>
      <c r="AL25" s="3987" t="s">
        <v>3622</v>
      </c>
      <c r="AM25" s="3987">
        <v>452000</v>
      </c>
      <c r="AN25" s="3987">
        <v>41757.53</v>
      </c>
      <c r="AO25" s="3987">
        <v>41757.53</v>
      </c>
      <c r="AP25" s="3987">
        <v>2783.84</v>
      </c>
      <c r="AQ25" s="3987">
        <v>2783.84</v>
      </c>
      <c r="AR25" s="3987">
        <v>17228</v>
      </c>
      <c r="AS25" s="3987">
        <v>17228</v>
      </c>
      <c r="AT25" s="3987" t="s">
        <v>3400</v>
      </c>
      <c r="AU25" s="3987" t="s">
        <v>3400</v>
      </c>
      <c r="AV25" s="3987">
        <v>0</v>
      </c>
      <c r="AW25" s="3987" t="s">
        <v>3452</v>
      </c>
      <c r="AX25" s="3987">
        <v>497000</v>
      </c>
      <c r="AY25" s="3987" t="s">
        <v>3439</v>
      </c>
      <c r="AZ25" s="3987" t="s">
        <v>3396</v>
      </c>
      <c r="BA25" s="3987">
        <v>18943</v>
      </c>
      <c r="BB25" s="3987">
        <v>9.9600000000000009</v>
      </c>
      <c r="BC25" s="3987" t="s">
        <v>3400</v>
      </c>
      <c r="BD25" s="3987" t="s">
        <v>3400</v>
      </c>
      <c r="BE25" s="3987" t="s">
        <v>3408</v>
      </c>
    </row>
    <row r="26" spans="1:57">
      <c r="A26" s="3987" t="s">
        <v>3644</v>
      </c>
      <c r="B26" s="3987" t="s">
        <v>1465</v>
      </c>
      <c r="C26" s="3987" t="s">
        <v>3645</v>
      </c>
      <c r="D26" s="3987" t="s">
        <v>3387</v>
      </c>
      <c r="E26" s="3987" t="s">
        <v>3388</v>
      </c>
      <c r="F26" s="3987" t="s">
        <v>3646</v>
      </c>
      <c r="G26" s="3987" t="s">
        <v>3647</v>
      </c>
      <c r="H26" s="3987" t="s">
        <v>3412</v>
      </c>
      <c r="I26" s="3987">
        <v>48407.51</v>
      </c>
      <c r="J26" s="3987">
        <v>96815.01</v>
      </c>
      <c r="K26" s="3987" t="s">
        <v>3508</v>
      </c>
      <c r="L26" s="3987">
        <v>2</v>
      </c>
      <c r="M26" s="3987" t="s">
        <v>3393</v>
      </c>
      <c r="N26" s="3987" t="s">
        <v>3413</v>
      </c>
      <c r="O26" s="3987" t="s">
        <v>3613</v>
      </c>
      <c r="P26" s="3987" t="s">
        <v>3396</v>
      </c>
      <c r="Q26" s="3987" t="s">
        <v>3432</v>
      </c>
      <c r="R26" s="3987" t="s">
        <v>3414</v>
      </c>
      <c r="S26" s="3987" t="s">
        <v>3648</v>
      </c>
      <c r="T26" s="3987" t="s">
        <v>3459</v>
      </c>
      <c r="U26" s="3987" t="s">
        <v>3400</v>
      </c>
      <c r="V26" s="3987" t="s">
        <v>3400</v>
      </c>
      <c r="W26" s="3987">
        <v>0</v>
      </c>
      <c r="X26" s="3987">
        <v>0</v>
      </c>
      <c r="Y26" s="3987">
        <v>0</v>
      </c>
      <c r="Z26" s="3987">
        <v>0</v>
      </c>
      <c r="AA26" s="3988">
        <v>44286.000497685185</v>
      </c>
      <c r="AB26" s="3988">
        <v>44308.000497685185</v>
      </c>
      <c r="AC26" s="3988">
        <v>44324.000497685185</v>
      </c>
      <c r="AD26" s="3988">
        <v>44324.000497685185</v>
      </c>
      <c r="AE26" s="3987" t="s">
        <v>3649</v>
      </c>
      <c r="AF26" s="3987" t="s">
        <v>3402</v>
      </c>
      <c r="AG26" s="3987" t="s">
        <v>3650</v>
      </c>
      <c r="AH26" s="3987" t="s">
        <v>3651</v>
      </c>
      <c r="AI26" s="3987" t="s">
        <v>3652</v>
      </c>
      <c r="AJ26" s="3987">
        <v>145800</v>
      </c>
      <c r="AK26" s="3987">
        <v>30000</v>
      </c>
      <c r="AL26" s="3987" t="s">
        <v>3622</v>
      </c>
      <c r="AM26" s="3987">
        <v>145800</v>
      </c>
      <c r="AN26" s="3987">
        <v>30119.29</v>
      </c>
      <c r="AO26" s="3987">
        <v>30119.29</v>
      </c>
      <c r="AP26" s="3987">
        <v>2007.95</v>
      </c>
      <c r="AQ26" s="3987">
        <v>2007.95</v>
      </c>
      <c r="AR26" s="3987">
        <v>15060</v>
      </c>
      <c r="AS26" s="3987">
        <v>15060</v>
      </c>
      <c r="AT26" s="3987" t="s">
        <v>3400</v>
      </c>
      <c r="AU26" s="3987" t="s">
        <v>3400</v>
      </c>
      <c r="AV26" s="3987">
        <v>0</v>
      </c>
      <c r="AW26" s="3987" t="s">
        <v>3452</v>
      </c>
      <c r="AX26" s="3987">
        <v>167600</v>
      </c>
      <c r="AY26" s="3987" t="s">
        <v>3439</v>
      </c>
      <c r="AZ26" s="3987" t="s">
        <v>3396</v>
      </c>
      <c r="BA26" s="3987">
        <v>17311</v>
      </c>
      <c r="BB26" s="3987">
        <v>14.95</v>
      </c>
      <c r="BC26" s="3987" t="s">
        <v>3400</v>
      </c>
      <c r="BD26" s="3987" t="s">
        <v>3400</v>
      </c>
      <c r="BE26" s="3987" t="s">
        <v>3408</v>
      </c>
    </row>
    <row r="27" spans="1:57">
      <c r="A27" s="3987" t="s">
        <v>3653</v>
      </c>
      <c r="B27" s="3987" t="s">
        <v>1465</v>
      </c>
      <c r="C27" s="3987" t="s">
        <v>3654</v>
      </c>
      <c r="D27" s="3987" t="s">
        <v>3387</v>
      </c>
      <c r="E27" s="3987" t="s">
        <v>3388</v>
      </c>
      <c r="F27" s="3987" t="s">
        <v>3655</v>
      </c>
      <c r="G27" s="3987" t="s">
        <v>3540</v>
      </c>
      <c r="H27" s="3987" t="s">
        <v>3412</v>
      </c>
      <c r="I27" s="3987">
        <v>56860.73</v>
      </c>
      <c r="J27" s="3987">
        <v>133065.75</v>
      </c>
      <c r="K27" s="3987" t="s">
        <v>3656</v>
      </c>
      <c r="L27" s="3987">
        <v>2.2999999999999998</v>
      </c>
      <c r="M27" s="3987" t="s">
        <v>3393</v>
      </c>
      <c r="N27" s="3987" t="s">
        <v>3413</v>
      </c>
      <c r="O27" s="3987" t="s">
        <v>3395</v>
      </c>
      <c r="P27" s="3987" t="s">
        <v>3396</v>
      </c>
      <c r="Q27" s="3987" t="s">
        <v>3400</v>
      </c>
      <c r="R27" s="3987" t="s">
        <v>3400</v>
      </c>
      <c r="S27" s="3987" t="s">
        <v>3657</v>
      </c>
      <c r="T27" s="3987" t="s">
        <v>3459</v>
      </c>
      <c r="U27" s="3987" t="s">
        <v>3400</v>
      </c>
      <c r="V27" s="3987" t="s">
        <v>3400</v>
      </c>
      <c r="W27" s="3987" t="s">
        <v>3400</v>
      </c>
      <c r="X27" s="3987">
        <v>0</v>
      </c>
      <c r="Y27" s="3987">
        <v>0</v>
      </c>
      <c r="Z27" s="3987">
        <v>0</v>
      </c>
      <c r="AA27" s="3988">
        <v>44188.000497685185</v>
      </c>
      <c r="AB27" s="3988">
        <v>44208.000497685185</v>
      </c>
      <c r="AC27" s="3988">
        <v>44222.000497685185</v>
      </c>
      <c r="AD27" s="3988">
        <v>44222.000497685185</v>
      </c>
      <c r="AE27" s="3987" t="s">
        <v>3658</v>
      </c>
      <c r="AF27" s="3987" t="s">
        <v>3402</v>
      </c>
      <c r="AG27" s="3987" t="s">
        <v>3659</v>
      </c>
      <c r="AH27" s="3987" t="s">
        <v>3660</v>
      </c>
      <c r="AI27" s="3987" t="s">
        <v>3405</v>
      </c>
      <c r="AJ27" s="3987">
        <v>420000</v>
      </c>
      <c r="AK27" s="3987">
        <v>85000</v>
      </c>
      <c r="AL27" s="3987" t="s">
        <v>3661</v>
      </c>
      <c r="AM27" s="3987">
        <v>465700</v>
      </c>
      <c r="AN27" s="3987">
        <v>73864.69</v>
      </c>
      <c r="AO27" s="3987">
        <v>81901.87</v>
      </c>
      <c r="AP27" s="3987">
        <v>4924.3100000000004</v>
      </c>
      <c r="AQ27" s="3987">
        <v>5460.12</v>
      </c>
      <c r="AR27" s="3987">
        <v>31563</v>
      </c>
      <c r="AS27" s="3987">
        <v>34998</v>
      </c>
      <c r="AT27" s="3987" t="s">
        <v>3400</v>
      </c>
      <c r="AU27" s="3987" t="s">
        <v>3400</v>
      </c>
      <c r="AV27" s="3987">
        <v>10.88</v>
      </c>
      <c r="AW27" s="3987" t="s">
        <v>3452</v>
      </c>
      <c r="AX27" s="3987" t="s">
        <v>3396</v>
      </c>
      <c r="AY27" s="3987" t="s">
        <v>3400</v>
      </c>
      <c r="AZ27" s="3987" t="s">
        <v>3396</v>
      </c>
      <c r="BA27" s="3987" t="s">
        <v>3400</v>
      </c>
      <c r="BB27" s="3987" t="s">
        <v>3400</v>
      </c>
      <c r="BC27" s="3987" t="s">
        <v>3400</v>
      </c>
      <c r="BD27" s="3987" t="s">
        <v>3400</v>
      </c>
      <c r="BE27" s="3987" t="s">
        <v>3408</v>
      </c>
    </row>
    <row r="28" spans="1:57">
      <c r="A28" s="3987" t="s">
        <v>3662</v>
      </c>
      <c r="B28" s="3987" t="s">
        <v>1465</v>
      </c>
      <c r="C28" s="3987" t="s">
        <v>3663</v>
      </c>
      <c r="D28" s="3987" t="s">
        <v>3387</v>
      </c>
      <c r="E28" s="3987" t="s">
        <v>3388</v>
      </c>
      <c r="F28" s="3987" t="s">
        <v>3664</v>
      </c>
      <c r="G28" s="3987" t="s">
        <v>3665</v>
      </c>
      <c r="H28" s="3987" t="s">
        <v>3391</v>
      </c>
      <c r="I28" s="3987">
        <v>33783.57</v>
      </c>
      <c r="J28" s="3987">
        <v>84458.9</v>
      </c>
      <c r="K28" s="3987" t="s">
        <v>3666</v>
      </c>
      <c r="L28" s="3987">
        <v>2.5</v>
      </c>
      <c r="M28" s="3987" t="s">
        <v>3393</v>
      </c>
      <c r="N28" s="3987" t="s">
        <v>3667</v>
      </c>
      <c r="O28" s="3987" t="s">
        <v>3395</v>
      </c>
      <c r="P28" s="3987" t="s">
        <v>3396</v>
      </c>
      <c r="Q28" s="3987" t="s">
        <v>3400</v>
      </c>
      <c r="R28" s="3987" t="s">
        <v>3414</v>
      </c>
      <c r="S28" s="3987" t="s">
        <v>3400</v>
      </c>
      <c r="T28" s="3987" t="s">
        <v>3400</v>
      </c>
      <c r="U28" s="3987" t="s">
        <v>3400</v>
      </c>
      <c r="V28" s="3987" t="s">
        <v>3400</v>
      </c>
      <c r="W28" s="3987" t="s">
        <v>3400</v>
      </c>
      <c r="X28" s="3987" t="s">
        <v>3400</v>
      </c>
      <c r="Y28" s="3987">
        <v>0</v>
      </c>
      <c r="Z28" s="3987">
        <v>0</v>
      </c>
      <c r="AA28" s="3988">
        <v>44151.000497685185</v>
      </c>
      <c r="AB28" s="3988">
        <v>44172.000497685185</v>
      </c>
      <c r="AC28" s="3988">
        <v>44186.000497685185</v>
      </c>
      <c r="AD28" s="3987" t="s">
        <v>3400</v>
      </c>
      <c r="AE28" s="3987" t="s">
        <v>3668</v>
      </c>
      <c r="AF28" s="3987" t="s">
        <v>3491</v>
      </c>
      <c r="AG28" s="3987" t="s">
        <v>3396</v>
      </c>
      <c r="AH28" s="3987" t="s">
        <v>3400</v>
      </c>
      <c r="AI28" s="3987" t="s">
        <v>3400</v>
      </c>
      <c r="AJ28" s="3987">
        <v>110641.16</v>
      </c>
      <c r="AK28" s="3987">
        <v>40000</v>
      </c>
      <c r="AL28" s="3987" t="s">
        <v>2095</v>
      </c>
      <c r="AM28" s="3987" t="s">
        <v>3400</v>
      </c>
      <c r="AN28" s="3987">
        <v>32749.99</v>
      </c>
      <c r="AO28" s="3987" t="s">
        <v>3400</v>
      </c>
      <c r="AP28" s="3987">
        <v>2183.33</v>
      </c>
      <c r="AQ28" s="3987" t="s">
        <v>3400</v>
      </c>
      <c r="AR28" s="3987">
        <v>13100</v>
      </c>
      <c r="AS28" s="3987" t="s">
        <v>3400</v>
      </c>
      <c r="AT28" s="3987" t="s">
        <v>3400</v>
      </c>
      <c r="AU28" s="3987" t="s">
        <v>3400</v>
      </c>
      <c r="AV28" s="3987">
        <v>0</v>
      </c>
      <c r="AW28" s="3987" t="s">
        <v>3669</v>
      </c>
      <c r="AX28" s="3987" t="s">
        <v>3396</v>
      </c>
      <c r="AY28" s="3987" t="s">
        <v>3400</v>
      </c>
      <c r="AZ28" s="3987" t="s">
        <v>3396</v>
      </c>
      <c r="BA28" s="3987" t="s">
        <v>3400</v>
      </c>
      <c r="BB28" s="3987" t="s">
        <v>3400</v>
      </c>
      <c r="BC28" s="3987" t="s">
        <v>3400</v>
      </c>
      <c r="BD28" s="3987" t="s">
        <v>3400</v>
      </c>
      <c r="BE28" s="3987" t="s">
        <v>3453</v>
      </c>
    </row>
    <row r="29" spans="1:57">
      <c r="A29" s="3987" t="s">
        <v>3670</v>
      </c>
      <c r="B29" s="3987" t="s">
        <v>1465</v>
      </c>
      <c r="C29" s="3987" t="s">
        <v>3671</v>
      </c>
      <c r="D29" s="3987" t="s">
        <v>3387</v>
      </c>
      <c r="E29" s="3987" t="s">
        <v>3388</v>
      </c>
      <c r="F29" s="3987" t="s">
        <v>3431</v>
      </c>
      <c r="G29" s="3987" t="s">
        <v>3672</v>
      </c>
      <c r="H29" s="3987" t="s">
        <v>3391</v>
      </c>
      <c r="I29" s="3987">
        <v>43870.1</v>
      </c>
      <c r="J29" s="3987">
        <v>109675.25</v>
      </c>
      <c r="K29" s="3987" t="s">
        <v>3666</v>
      </c>
      <c r="L29" s="3987">
        <v>2.5</v>
      </c>
      <c r="M29" s="3987" t="s">
        <v>3393</v>
      </c>
      <c r="N29" s="3987" t="s">
        <v>3667</v>
      </c>
      <c r="O29" s="3987" t="s">
        <v>3395</v>
      </c>
      <c r="P29" s="3987" t="s">
        <v>3396</v>
      </c>
      <c r="Q29" s="3987" t="s">
        <v>3400</v>
      </c>
      <c r="R29" s="3987" t="s">
        <v>3414</v>
      </c>
      <c r="S29" s="3987" t="s">
        <v>3400</v>
      </c>
      <c r="T29" s="3987" t="s">
        <v>3400</v>
      </c>
      <c r="U29" s="3987" t="s">
        <v>3673</v>
      </c>
      <c r="V29" s="3987" t="s">
        <v>3674</v>
      </c>
      <c r="W29" s="3987">
        <v>0</v>
      </c>
      <c r="X29" s="3987">
        <v>0</v>
      </c>
      <c r="Y29" s="3987">
        <v>0</v>
      </c>
      <c r="Z29" s="3987">
        <v>0</v>
      </c>
      <c r="AA29" s="3988">
        <v>44151.000497685185</v>
      </c>
      <c r="AB29" s="3988">
        <v>44172.000497685185</v>
      </c>
      <c r="AC29" s="3988">
        <v>44187.000497685185</v>
      </c>
      <c r="AD29" s="3988">
        <v>44187.000497685185</v>
      </c>
      <c r="AE29" s="3987" t="s">
        <v>3675</v>
      </c>
      <c r="AF29" s="3987" t="s">
        <v>3402</v>
      </c>
      <c r="AG29" s="3987" t="s">
        <v>3676</v>
      </c>
      <c r="AH29" s="3987" t="s">
        <v>3677</v>
      </c>
      <c r="AI29" s="3987" t="s">
        <v>3405</v>
      </c>
      <c r="AJ29" s="3987">
        <v>148061.57999999999</v>
      </c>
      <c r="AK29" s="3987">
        <v>45000</v>
      </c>
      <c r="AL29" s="3987" t="s">
        <v>3678</v>
      </c>
      <c r="AM29" s="3987">
        <v>148061.57999999999</v>
      </c>
      <c r="AN29" s="3987">
        <v>33750</v>
      </c>
      <c r="AO29" s="3987">
        <v>33750</v>
      </c>
      <c r="AP29" s="3987">
        <v>2250</v>
      </c>
      <c r="AQ29" s="3987">
        <v>2250</v>
      </c>
      <c r="AR29" s="3987">
        <v>13500</v>
      </c>
      <c r="AS29" s="3987">
        <v>13500</v>
      </c>
      <c r="AT29" s="3987" t="s">
        <v>3400</v>
      </c>
      <c r="AU29" s="3987" t="s">
        <v>3400</v>
      </c>
      <c r="AV29" s="3987">
        <v>0</v>
      </c>
      <c r="AW29" s="3987" t="s">
        <v>3669</v>
      </c>
      <c r="AX29" s="3987" t="s">
        <v>3396</v>
      </c>
      <c r="AY29" s="3987" t="s">
        <v>3400</v>
      </c>
      <c r="AZ29" s="3987" t="s">
        <v>3396</v>
      </c>
      <c r="BA29" s="3987" t="s">
        <v>3400</v>
      </c>
      <c r="BB29" s="3987" t="s">
        <v>3400</v>
      </c>
      <c r="BC29" s="3987" t="s">
        <v>3400</v>
      </c>
      <c r="BD29" s="3987" t="s">
        <v>3400</v>
      </c>
      <c r="BE29" s="3987" t="s">
        <v>3623</v>
      </c>
    </row>
    <row r="30" spans="1:57">
      <c r="A30" s="3987" t="s">
        <v>3679</v>
      </c>
      <c r="B30" s="3987" t="s">
        <v>1465</v>
      </c>
      <c r="C30" s="3987" t="s">
        <v>3680</v>
      </c>
      <c r="D30" s="3987" t="s">
        <v>3387</v>
      </c>
      <c r="E30" s="3987" t="s">
        <v>3388</v>
      </c>
      <c r="F30" s="3987" t="s">
        <v>3442</v>
      </c>
      <c r="G30" s="3987" t="s">
        <v>3681</v>
      </c>
      <c r="H30" s="3987" t="s">
        <v>3391</v>
      </c>
      <c r="I30" s="3987">
        <v>85128.1</v>
      </c>
      <c r="J30" s="3987">
        <v>201473.8</v>
      </c>
      <c r="K30" s="3987" t="s">
        <v>3682</v>
      </c>
      <c r="L30" s="3987">
        <v>2.5</v>
      </c>
      <c r="M30" s="3987" t="s">
        <v>3393</v>
      </c>
      <c r="N30" s="3987" t="s">
        <v>3394</v>
      </c>
      <c r="O30" s="3987" t="s">
        <v>3395</v>
      </c>
      <c r="P30" s="3987" t="s">
        <v>3396</v>
      </c>
      <c r="Q30" s="3987" t="s">
        <v>3432</v>
      </c>
      <c r="R30" s="3987" t="s">
        <v>3683</v>
      </c>
      <c r="S30" s="3987" t="s">
        <v>3657</v>
      </c>
      <c r="T30" s="3987" t="s">
        <v>3459</v>
      </c>
      <c r="U30" s="3987" t="s">
        <v>3400</v>
      </c>
      <c r="V30" s="3987" t="s">
        <v>3400</v>
      </c>
      <c r="W30" s="3987">
        <v>0</v>
      </c>
      <c r="X30" s="3987">
        <v>0</v>
      </c>
      <c r="Y30" s="3987">
        <v>0</v>
      </c>
      <c r="Z30" s="3987">
        <v>0</v>
      </c>
      <c r="AA30" s="3988">
        <v>44012.000497685185</v>
      </c>
      <c r="AB30" s="3988">
        <v>44032.000497685185</v>
      </c>
      <c r="AC30" s="3988">
        <v>44046.000497685185</v>
      </c>
      <c r="AD30" s="3988">
        <v>44046.000497685185</v>
      </c>
      <c r="AE30" s="3987" t="s">
        <v>3684</v>
      </c>
      <c r="AF30" s="3987" t="s">
        <v>3402</v>
      </c>
      <c r="AG30" s="3987" t="s">
        <v>3685</v>
      </c>
      <c r="AH30" s="3987" t="s">
        <v>3545</v>
      </c>
      <c r="AI30" s="3987" t="s">
        <v>3418</v>
      </c>
      <c r="AJ30" s="3987">
        <v>640000</v>
      </c>
      <c r="AK30" s="3987">
        <v>128000</v>
      </c>
      <c r="AL30" s="3987" t="s">
        <v>3686</v>
      </c>
      <c r="AM30" s="3987">
        <v>790000</v>
      </c>
      <c r="AN30" s="3987">
        <v>75180.81</v>
      </c>
      <c r="AO30" s="3987">
        <v>92801.32</v>
      </c>
      <c r="AP30" s="3987">
        <v>5012.05</v>
      </c>
      <c r="AQ30" s="3987">
        <v>6186.75</v>
      </c>
      <c r="AR30" s="3987">
        <v>31766</v>
      </c>
      <c r="AS30" s="3987">
        <v>39211</v>
      </c>
      <c r="AT30" s="3987" t="s">
        <v>3400</v>
      </c>
      <c r="AU30" s="3987" t="s">
        <v>3400</v>
      </c>
      <c r="AV30" s="3987">
        <v>23.44</v>
      </c>
      <c r="AW30" s="3987" t="s">
        <v>3452</v>
      </c>
      <c r="AX30" s="3987" t="s">
        <v>3396</v>
      </c>
      <c r="AY30" s="3987" t="s">
        <v>3400</v>
      </c>
      <c r="AZ30" s="3987" t="s">
        <v>3396</v>
      </c>
      <c r="BA30" s="3987" t="s">
        <v>3400</v>
      </c>
      <c r="BB30" s="3987" t="s">
        <v>3400</v>
      </c>
      <c r="BC30" s="3987" t="s">
        <v>3400</v>
      </c>
      <c r="BD30" s="3987" t="s">
        <v>3400</v>
      </c>
      <c r="BE30" s="3987" t="s">
        <v>3623</v>
      </c>
    </row>
    <row r="31" spans="1:57">
      <c r="A31" s="3987" t="s">
        <v>3687</v>
      </c>
      <c r="B31" s="3987" t="s">
        <v>1465</v>
      </c>
      <c r="C31" s="3987" t="s">
        <v>3688</v>
      </c>
      <c r="D31" s="3987" t="s">
        <v>3387</v>
      </c>
      <c r="E31" s="3987" t="s">
        <v>3388</v>
      </c>
      <c r="F31" s="3987" t="s">
        <v>3689</v>
      </c>
      <c r="G31" s="3987" t="s">
        <v>3690</v>
      </c>
      <c r="H31" s="3987" t="s">
        <v>3391</v>
      </c>
      <c r="I31" s="3987">
        <v>76997.05</v>
      </c>
      <c r="J31" s="3987">
        <v>79371.899999999994</v>
      </c>
      <c r="K31" s="3987" t="s">
        <v>3691</v>
      </c>
      <c r="L31" s="3987">
        <v>1.05</v>
      </c>
      <c r="M31" s="3987" t="s">
        <v>3393</v>
      </c>
      <c r="N31" s="3987" t="s">
        <v>3692</v>
      </c>
      <c r="O31" s="3987" t="s">
        <v>3395</v>
      </c>
      <c r="P31" s="3987" t="s">
        <v>3396</v>
      </c>
      <c r="Q31" s="3987" t="s">
        <v>3432</v>
      </c>
      <c r="R31" s="3987" t="s">
        <v>3693</v>
      </c>
      <c r="S31" s="3987" t="s">
        <v>3657</v>
      </c>
      <c r="T31" s="3987" t="s">
        <v>3459</v>
      </c>
      <c r="U31" s="3987" t="s">
        <v>3400</v>
      </c>
      <c r="V31" s="3987" t="s">
        <v>3400</v>
      </c>
      <c r="W31" s="3987">
        <v>0</v>
      </c>
      <c r="X31" s="3987">
        <v>0</v>
      </c>
      <c r="Y31" s="3987">
        <v>0</v>
      </c>
      <c r="Z31" s="3987">
        <v>0</v>
      </c>
      <c r="AA31" s="3988">
        <v>43920.000497685185</v>
      </c>
      <c r="AB31" s="3988">
        <v>43950.000497685185</v>
      </c>
      <c r="AC31" s="3988">
        <v>43966.000497685185</v>
      </c>
      <c r="AD31" s="3988">
        <v>43966.000497685185</v>
      </c>
      <c r="AE31" s="3987" t="s">
        <v>3694</v>
      </c>
      <c r="AF31" s="3987" t="s">
        <v>3402</v>
      </c>
      <c r="AG31" s="3987" t="s">
        <v>3695</v>
      </c>
      <c r="AH31" s="3987" t="s">
        <v>3696</v>
      </c>
      <c r="AI31" s="3987" t="s">
        <v>3405</v>
      </c>
      <c r="AJ31" s="3987">
        <v>98500</v>
      </c>
      <c r="AK31" s="3987">
        <v>19800</v>
      </c>
      <c r="AL31" s="3987" t="s">
        <v>3697</v>
      </c>
      <c r="AM31" s="3987">
        <v>130000</v>
      </c>
      <c r="AN31" s="3987">
        <v>12792.69</v>
      </c>
      <c r="AO31" s="3987">
        <v>16883.759999999998</v>
      </c>
      <c r="AP31" s="3987">
        <v>852.85</v>
      </c>
      <c r="AQ31" s="3987">
        <v>1125.58</v>
      </c>
      <c r="AR31" s="3987">
        <v>12410</v>
      </c>
      <c r="AS31" s="3987">
        <v>16379</v>
      </c>
      <c r="AT31" s="3987" t="s">
        <v>3400</v>
      </c>
      <c r="AU31" s="3987" t="s">
        <v>3400</v>
      </c>
      <c r="AV31" s="3987">
        <v>31.98</v>
      </c>
      <c r="AW31" s="3987" t="s">
        <v>3452</v>
      </c>
      <c r="AX31" s="3987" t="s">
        <v>3396</v>
      </c>
      <c r="AY31" s="3987" t="s">
        <v>3400</v>
      </c>
      <c r="AZ31" s="3987" t="s">
        <v>3396</v>
      </c>
      <c r="BA31" s="3987" t="s">
        <v>3400</v>
      </c>
      <c r="BB31" s="3987" t="s">
        <v>3400</v>
      </c>
      <c r="BC31" s="3987" t="s">
        <v>3400</v>
      </c>
      <c r="BD31" s="3987" t="s">
        <v>3400</v>
      </c>
      <c r="BE31" s="3987" t="s">
        <v>3623</v>
      </c>
    </row>
    <row r="32" spans="1:57">
      <c r="A32" s="3987" t="s">
        <v>3698</v>
      </c>
      <c r="B32" s="3987" t="s">
        <v>1465</v>
      </c>
      <c r="C32" s="3987" t="s">
        <v>3699</v>
      </c>
      <c r="D32" s="3987" t="s">
        <v>3387</v>
      </c>
      <c r="E32" s="3987" t="s">
        <v>3388</v>
      </c>
      <c r="F32" s="3987" t="s">
        <v>3421</v>
      </c>
      <c r="G32" s="3987" t="s">
        <v>3518</v>
      </c>
      <c r="H32" s="3987" t="s">
        <v>3412</v>
      </c>
      <c r="I32" s="3987">
        <v>45081.99</v>
      </c>
      <c r="J32" s="3987">
        <v>94672</v>
      </c>
      <c r="K32" s="3987" t="s">
        <v>3700</v>
      </c>
      <c r="L32" s="3987">
        <v>2.1</v>
      </c>
      <c r="M32" s="3987" t="s">
        <v>3393</v>
      </c>
      <c r="N32" s="3987" t="s">
        <v>3413</v>
      </c>
      <c r="O32" s="3987" t="s">
        <v>3395</v>
      </c>
      <c r="P32" s="3987" t="s">
        <v>3396</v>
      </c>
      <c r="Q32" s="3987" t="s">
        <v>3432</v>
      </c>
      <c r="R32" s="3987" t="s">
        <v>3701</v>
      </c>
      <c r="S32" s="3987" t="s">
        <v>3702</v>
      </c>
      <c r="T32" s="3987" t="s">
        <v>3703</v>
      </c>
      <c r="U32" s="3987" t="s">
        <v>3400</v>
      </c>
      <c r="V32" s="3987" t="s">
        <v>3400</v>
      </c>
      <c r="W32" s="3987">
        <v>0</v>
      </c>
      <c r="X32" s="3987">
        <v>0</v>
      </c>
      <c r="Y32" s="3987">
        <v>0</v>
      </c>
      <c r="Z32" s="3987">
        <v>0</v>
      </c>
      <c r="AA32" s="3988">
        <v>43917.000497685185</v>
      </c>
      <c r="AB32" s="3988">
        <v>43937.000497685185</v>
      </c>
      <c r="AC32" s="3988">
        <v>43950.000497685185</v>
      </c>
      <c r="AD32" s="3988">
        <v>43950.000497685185</v>
      </c>
      <c r="AE32" s="3987" t="s">
        <v>3704</v>
      </c>
      <c r="AF32" s="3987" t="s">
        <v>3402</v>
      </c>
      <c r="AG32" s="3987" t="s">
        <v>3705</v>
      </c>
      <c r="AH32" s="3987" t="s">
        <v>3706</v>
      </c>
      <c r="AI32" s="3987" t="s">
        <v>3707</v>
      </c>
      <c r="AJ32" s="3987">
        <v>363000</v>
      </c>
      <c r="AK32" s="3987">
        <v>72600</v>
      </c>
      <c r="AL32" s="3987" t="s">
        <v>3708</v>
      </c>
      <c r="AM32" s="3987">
        <v>374000</v>
      </c>
      <c r="AN32" s="3987">
        <v>80519.960000000006</v>
      </c>
      <c r="AO32" s="3987">
        <v>82959.960000000006</v>
      </c>
      <c r="AP32" s="3987">
        <v>5368</v>
      </c>
      <c r="AQ32" s="3987">
        <v>5530.66</v>
      </c>
      <c r="AR32" s="3987">
        <v>38343</v>
      </c>
      <c r="AS32" s="3987">
        <v>39505</v>
      </c>
      <c r="AT32" s="3987" t="s">
        <v>3400</v>
      </c>
      <c r="AU32" s="3987" t="s">
        <v>3400</v>
      </c>
      <c r="AV32" s="3987">
        <v>3.03</v>
      </c>
      <c r="AW32" s="3987" t="s">
        <v>3599</v>
      </c>
      <c r="AX32" s="3987" t="s">
        <v>3396</v>
      </c>
      <c r="AY32" s="3987" t="s">
        <v>3400</v>
      </c>
      <c r="AZ32" s="3987">
        <v>64400</v>
      </c>
      <c r="BA32" s="3987" t="s">
        <v>3400</v>
      </c>
      <c r="BB32" s="3987" t="s">
        <v>3400</v>
      </c>
      <c r="BC32" s="3987">
        <v>24896</v>
      </c>
      <c r="BD32" s="3987" t="s">
        <v>3400</v>
      </c>
      <c r="BE32" s="3987" t="s">
        <v>3623</v>
      </c>
    </row>
    <row r="33" spans="1:57">
      <c r="A33" s="3987" t="s">
        <v>3709</v>
      </c>
      <c r="B33" s="3987" t="s">
        <v>1465</v>
      </c>
      <c r="C33" s="3987" t="s">
        <v>3710</v>
      </c>
      <c r="D33" s="3987" t="s">
        <v>3387</v>
      </c>
      <c r="E33" s="3987" t="s">
        <v>3388</v>
      </c>
      <c r="F33" s="3987" t="s">
        <v>3421</v>
      </c>
      <c r="G33" s="3987" t="s">
        <v>3518</v>
      </c>
      <c r="H33" s="3987" t="s">
        <v>3391</v>
      </c>
      <c r="I33" s="3987">
        <v>60977.68</v>
      </c>
      <c r="J33" s="3987">
        <v>128053</v>
      </c>
      <c r="K33" s="3987" t="s">
        <v>3711</v>
      </c>
      <c r="L33" s="3987">
        <v>2.1</v>
      </c>
      <c r="M33" s="3987" t="s">
        <v>3393</v>
      </c>
      <c r="N33" s="3987" t="s">
        <v>3712</v>
      </c>
      <c r="O33" s="3987" t="s">
        <v>3395</v>
      </c>
      <c r="P33" s="3987" t="s">
        <v>3396</v>
      </c>
      <c r="Q33" s="3987" t="s">
        <v>3432</v>
      </c>
      <c r="R33" s="3987" t="s">
        <v>3701</v>
      </c>
      <c r="S33" s="3987" t="s">
        <v>3713</v>
      </c>
      <c r="T33" s="3987" t="s">
        <v>3531</v>
      </c>
      <c r="U33" s="3987" t="s">
        <v>3400</v>
      </c>
      <c r="V33" s="3987" t="s">
        <v>3400</v>
      </c>
      <c r="W33" s="3987">
        <v>52520</v>
      </c>
      <c r="X33" s="3987">
        <v>52520</v>
      </c>
      <c r="Y33" s="3987">
        <v>0</v>
      </c>
      <c r="Z33" s="3987">
        <v>0</v>
      </c>
      <c r="AA33" s="3988">
        <v>43917.000497685185</v>
      </c>
      <c r="AB33" s="3988">
        <v>43937.000497685185</v>
      </c>
      <c r="AC33" s="3988">
        <v>43950.000497685185</v>
      </c>
      <c r="AD33" s="3988">
        <v>43950.000497685185</v>
      </c>
      <c r="AE33" s="3987" t="s">
        <v>3714</v>
      </c>
      <c r="AF33" s="3987" t="s">
        <v>3402</v>
      </c>
      <c r="AG33" s="3987" t="s">
        <v>3715</v>
      </c>
      <c r="AH33" s="3987" t="s">
        <v>3716</v>
      </c>
      <c r="AI33" s="3987" t="s">
        <v>3405</v>
      </c>
      <c r="AJ33" s="3987">
        <v>273800</v>
      </c>
      <c r="AK33" s="3987">
        <v>55000</v>
      </c>
      <c r="AL33" s="3987" t="s">
        <v>3708</v>
      </c>
      <c r="AM33" s="3987">
        <v>294000</v>
      </c>
      <c r="AN33" s="3987">
        <v>44901.67</v>
      </c>
      <c r="AO33" s="3987">
        <v>48214.36</v>
      </c>
      <c r="AP33" s="3987">
        <v>2993.45</v>
      </c>
      <c r="AQ33" s="3987">
        <v>3214.29</v>
      </c>
      <c r="AR33" s="3987">
        <v>21382</v>
      </c>
      <c r="AS33" s="3987">
        <v>22959</v>
      </c>
      <c r="AT33" s="3987">
        <v>36249</v>
      </c>
      <c r="AU33" s="3987">
        <v>38923</v>
      </c>
      <c r="AV33" s="3987">
        <v>7.38</v>
      </c>
      <c r="AW33" s="3987" t="s">
        <v>3599</v>
      </c>
      <c r="AX33" s="3987" t="s">
        <v>3396</v>
      </c>
      <c r="AY33" s="3987" t="s">
        <v>3400</v>
      </c>
      <c r="AZ33" s="3987">
        <v>64400</v>
      </c>
      <c r="BA33" s="3987" t="s">
        <v>3400</v>
      </c>
      <c r="BB33" s="3987" t="s">
        <v>3400</v>
      </c>
      <c r="BC33" s="3987">
        <v>-38923</v>
      </c>
      <c r="BD33" s="3987">
        <v>0</v>
      </c>
      <c r="BE33" s="3987" t="s">
        <v>3623</v>
      </c>
    </row>
    <row r="34" spans="1:57">
      <c r="A34" s="3987" t="s">
        <v>3717</v>
      </c>
      <c r="B34" s="3987" t="s">
        <v>1465</v>
      </c>
      <c r="C34" s="3987" t="s">
        <v>3718</v>
      </c>
      <c r="D34" s="3987" t="s">
        <v>3387</v>
      </c>
      <c r="E34" s="3987" t="s">
        <v>3388</v>
      </c>
      <c r="F34" s="3987" t="s">
        <v>3689</v>
      </c>
      <c r="G34" s="3987" t="s">
        <v>3690</v>
      </c>
      <c r="H34" s="3987" t="s">
        <v>3412</v>
      </c>
      <c r="I34" s="3987">
        <v>20403.86</v>
      </c>
      <c r="J34" s="3987">
        <v>51009</v>
      </c>
      <c r="K34" s="3987" t="s">
        <v>3666</v>
      </c>
      <c r="L34" s="3987">
        <v>2.5</v>
      </c>
      <c r="M34" s="3987" t="s">
        <v>3393</v>
      </c>
      <c r="N34" s="3987" t="s">
        <v>3413</v>
      </c>
      <c r="O34" s="3987" t="s">
        <v>3395</v>
      </c>
      <c r="P34" s="3987" t="s">
        <v>3396</v>
      </c>
      <c r="Q34" s="3987" t="s">
        <v>3432</v>
      </c>
      <c r="R34" s="3987" t="s">
        <v>3719</v>
      </c>
      <c r="S34" s="3987" t="s">
        <v>3657</v>
      </c>
      <c r="T34" s="3987" t="s">
        <v>3459</v>
      </c>
      <c r="U34" s="3987" t="s">
        <v>3400</v>
      </c>
      <c r="V34" s="3987" t="s">
        <v>3400</v>
      </c>
      <c r="W34" s="3987">
        <v>0</v>
      </c>
      <c r="X34" s="3987">
        <v>0</v>
      </c>
      <c r="Y34" s="3987">
        <v>0</v>
      </c>
      <c r="Z34" s="3987">
        <v>0</v>
      </c>
      <c r="AA34" s="3988">
        <v>43830.000497685185</v>
      </c>
      <c r="AB34" s="3988">
        <v>43865.000497685185</v>
      </c>
      <c r="AC34" s="3988">
        <v>43879.000497685185</v>
      </c>
      <c r="AD34" s="3988">
        <v>43879.000497685185</v>
      </c>
      <c r="AE34" s="3987" t="s">
        <v>3720</v>
      </c>
      <c r="AF34" s="3987" t="s">
        <v>3402</v>
      </c>
      <c r="AG34" s="3987" t="s">
        <v>3721</v>
      </c>
      <c r="AH34" s="3987" t="s">
        <v>3722</v>
      </c>
      <c r="AI34" s="3987" t="s">
        <v>3555</v>
      </c>
      <c r="AJ34" s="3987">
        <v>65600</v>
      </c>
      <c r="AK34" s="3987">
        <v>13200</v>
      </c>
      <c r="AL34" s="3987" t="s">
        <v>3723</v>
      </c>
      <c r="AM34" s="3987">
        <v>65600</v>
      </c>
      <c r="AN34" s="3987">
        <v>32150.78</v>
      </c>
      <c r="AO34" s="3987">
        <v>32150.78</v>
      </c>
      <c r="AP34" s="3987">
        <v>2143.39</v>
      </c>
      <c r="AQ34" s="3987">
        <v>2143.39</v>
      </c>
      <c r="AR34" s="3987">
        <v>12860</v>
      </c>
      <c r="AS34" s="3987">
        <v>12860</v>
      </c>
      <c r="AT34" s="3987" t="s">
        <v>3400</v>
      </c>
      <c r="AU34" s="3987" t="s">
        <v>3400</v>
      </c>
      <c r="AV34" s="3987">
        <v>0</v>
      </c>
      <c r="AW34" s="3987" t="s">
        <v>3452</v>
      </c>
      <c r="AX34" s="3987" t="s">
        <v>3396</v>
      </c>
      <c r="AY34" s="3987" t="s">
        <v>3400</v>
      </c>
      <c r="AZ34" s="3987" t="s">
        <v>3396</v>
      </c>
      <c r="BA34" s="3987" t="s">
        <v>3400</v>
      </c>
      <c r="BB34" s="3987" t="s">
        <v>3400</v>
      </c>
      <c r="BC34" s="3987" t="s">
        <v>3400</v>
      </c>
      <c r="BD34" s="3987" t="s">
        <v>3400</v>
      </c>
      <c r="BE34" s="3987" t="s">
        <v>3623</v>
      </c>
    </row>
    <row r="35" spans="1:57">
      <c r="A35" s="3987" t="s">
        <v>3724</v>
      </c>
      <c r="B35" s="3987" t="s">
        <v>1465</v>
      </c>
      <c r="C35" s="3987" t="s">
        <v>3725</v>
      </c>
      <c r="D35" s="3987" t="s">
        <v>3387</v>
      </c>
      <c r="E35" s="3987" t="s">
        <v>3388</v>
      </c>
      <c r="F35" s="3987" t="s">
        <v>3655</v>
      </c>
      <c r="G35" s="3987" t="s">
        <v>3540</v>
      </c>
      <c r="H35" s="3987" t="s">
        <v>3391</v>
      </c>
      <c r="I35" s="3987">
        <v>78681.47</v>
      </c>
      <c r="J35" s="3987">
        <v>188033.66</v>
      </c>
      <c r="K35" s="3987" t="s">
        <v>3726</v>
      </c>
      <c r="L35" s="3987">
        <v>2.5</v>
      </c>
      <c r="M35" s="3987" t="s">
        <v>3393</v>
      </c>
      <c r="N35" s="3987" t="s">
        <v>3727</v>
      </c>
      <c r="O35" s="3987" t="s">
        <v>3395</v>
      </c>
      <c r="P35" s="3987" t="s">
        <v>3396</v>
      </c>
      <c r="Q35" s="3987" t="s">
        <v>3432</v>
      </c>
      <c r="R35" s="3987" t="s">
        <v>3728</v>
      </c>
      <c r="S35" s="3987" t="s">
        <v>3657</v>
      </c>
      <c r="T35" s="3987" t="s">
        <v>3459</v>
      </c>
      <c r="U35" s="3987" t="s">
        <v>3400</v>
      </c>
      <c r="V35" s="3987" t="s">
        <v>3400</v>
      </c>
      <c r="W35" s="3987">
        <v>0</v>
      </c>
      <c r="X35" s="3987">
        <v>0</v>
      </c>
      <c r="Y35" s="3987">
        <v>0</v>
      </c>
      <c r="Z35" s="3987">
        <v>0</v>
      </c>
      <c r="AA35" s="3988">
        <v>43830.000497685185</v>
      </c>
      <c r="AB35" s="3988">
        <v>43865.000497685185</v>
      </c>
      <c r="AC35" s="3988">
        <v>43879.000497685185</v>
      </c>
      <c r="AD35" s="3988">
        <v>43879.000497685185</v>
      </c>
      <c r="AE35" s="3987" t="s">
        <v>3729</v>
      </c>
      <c r="AF35" s="3987" t="s">
        <v>3402</v>
      </c>
      <c r="AG35" s="3987" t="s">
        <v>3730</v>
      </c>
      <c r="AH35" s="3987" t="s">
        <v>3731</v>
      </c>
      <c r="AI35" s="3987" t="s">
        <v>3732</v>
      </c>
      <c r="AJ35" s="3987">
        <v>500000</v>
      </c>
      <c r="AK35" s="3987">
        <v>100000</v>
      </c>
      <c r="AL35" s="3987" t="s">
        <v>3723</v>
      </c>
      <c r="AM35" s="3987">
        <v>670000</v>
      </c>
      <c r="AN35" s="3987">
        <v>63547.360000000001</v>
      </c>
      <c r="AO35" s="3987">
        <v>85153.47</v>
      </c>
      <c r="AP35" s="3987">
        <v>4236.49</v>
      </c>
      <c r="AQ35" s="3987">
        <v>5676.9</v>
      </c>
      <c r="AR35" s="3987">
        <v>26591</v>
      </c>
      <c r="AS35" s="3987">
        <v>35632</v>
      </c>
      <c r="AT35" s="3987" t="s">
        <v>3400</v>
      </c>
      <c r="AU35" s="3987" t="s">
        <v>3400</v>
      </c>
      <c r="AV35" s="3987">
        <v>34</v>
      </c>
      <c r="AW35" s="3987" t="s">
        <v>3452</v>
      </c>
      <c r="AX35" s="3987" t="s">
        <v>3396</v>
      </c>
      <c r="AY35" s="3987" t="s">
        <v>3400</v>
      </c>
      <c r="AZ35" s="3987" t="s">
        <v>3396</v>
      </c>
      <c r="BA35" s="3987" t="s">
        <v>3400</v>
      </c>
      <c r="BB35" s="3987" t="s">
        <v>3400</v>
      </c>
      <c r="BC35" s="3987" t="s">
        <v>3400</v>
      </c>
      <c r="BD35" s="3987" t="s">
        <v>3400</v>
      </c>
      <c r="BE35" s="3987" t="s">
        <v>3623</v>
      </c>
    </row>
    <row r="36" spans="1:57">
      <c r="A36" s="3987" t="s">
        <v>3733</v>
      </c>
      <c r="B36" s="3987" t="s">
        <v>1465</v>
      </c>
      <c r="C36" s="3987" t="s">
        <v>3734</v>
      </c>
      <c r="D36" s="3987" t="s">
        <v>3387</v>
      </c>
      <c r="E36" s="3987" t="s">
        <v>3388</v>
      </c>
      <c r="F36" s="3987" t="s">
        <v>3689</v>
      </c>
      <c r="G36" s="3987" t="s">
        <v>3690</v>
      </c>
      <c r="H36" s="3987" t="s">
        <v>3412</v>
      </c>
      <c r="I36" s="3987">
        <v>20796</v>
      </c>
      <c r="J36" s="3987">
        <v>21836</v>
      </c>
      <c r="K36" s="3987" t="s">
        <v>3735</v>
      </c>
      <c r="L36" s="3987">
        <v>1.05</v>
      </c>
      <c r="M36" s="3987" t="s">
        <v>3393</v>
      </c>
      <c r="N36" s="3987" t="s">
        <v>3413</v>
      </c>
      <c r="O36" s="3987" t="s">
        <v>3395</v>
      </c>
      <c r="P36" s="3987" t="s">
        <v>3396</v>
      </c>
      <c r="Q36" s="3987" t="s">
        <v>3432</v>
      </c>
      <c r="R36" s="3987" t="s">
        <v>3701</v>
      </c>
      <c r="S36" s="3987" t="s">
        <v>3657</v>
      </c>
      <c r="T36" s="3987" t="s">
        <v>3459</v>
      </c>
      <c r="U36" s="3987" t="s">
        <v>3400</v>
      </c>
      <c r="V36" s="3987" t="s">
        <v>3400</v>
      </c>
      <c r="W36" s="3987">
        <v>0</v>
      </c>
      <c r="X36" s="3987">
        <v>0</v>
      </c>
      <c r="Y36" s="3987">
        <v>0</v>
      </c>
      <c r="Z36" s="3987">
        <v>0</v>
      </c>
      <c r="AA36" s="3988">
        <v>43830.000497685185</v>
      </c>
      <c r="AB36" s="3988">
        <v>43852.000497685185</v>
      </c>
      <c r="AC36" s="3988">
        <v>43872.000497685185</v>
      </c>
      <c r="AD36" s="3988">
        <v>43872.000497685185</v>
      </c>
      <c r="AE36" s="3987" t="s">
        <v>3736</v>
      </c>
      <c r="AF36" s="3987" t="s">
        <v>3402</v>
      </c>
      <c r="AG36" s="3987" t="s">
        <v>3737</v>
      </c>
      <c r="AH36" s="3987" t="s">
        <v>3738</v>
      </c>
      <c r="AI36" s="3987" t="s">
        <v>3451</v>
      </c>
      <c r="AJ36" s="3987">
        <v>28800</v>
      </c>
      <c r="AK36" s="3987">
        <v>5800</v>
      </c>
      <c r="AL36" s="3987" t="s">
        <v>3739</v>
      </c>
      <c r="AM36" s="3987">
        <v>36000</v>
      </c>
      <c r="AN36" s="3987">
        <v>13848.81</v>
      </c>
      <c r="AO36" s="3987">
        <v>17311.02</v>
      </c>
      <c r="AP36" s="3987">
        <v>923.25</v>
      </c>
      <c r="AQ36" s="3987">
        <v>1154.07</v>
      </c>
      <c r="AR36" s="3987">
        <v>13189</v>
      </c>
      <c r="AS36" s="3987">
        <v>16487</v>
      </c>
      <c r="AT36" s="3987" t="s">
        <v>3400</v>
      </c>
      <c r="AU36" s="3987" t="s">
        <v>3400</v>
      </c>
      <c r="AV36" s="3987">
        <v>25</v>
      </c>
      <c r="AW36" s="3987" t="s">
        <v>3452</v>
      </c>
      <c r="AX36" s="3987" t="s">
        <v>3396</v>
      </c>
      <c r="AY36" s="3987" t="s">
        <v>3400</v>
      </c>
      <c r="AZ36" s="3987" t="s">
        <v>3396</v>
      </c>
      <c r="BA36" s="3987" t="s">
        <v>3400</v>
      </c>
      <c r="BB36" s="3987" t="s">
        <v>3400</v>
      </c>
      <c r="BC36" s="3987" t="s">
        <v>3400</v>
      </c>
      <c r="BD36" s="3987" t="s">
        <v>3400</v>
      </c>
      <c r="BE36" s="3987" t="s">
        <v>3623</v>
      </c>
    </row>
    <row r="37" spans="1:57">
      <c r="A37" s="3987" t="s">
        <v>3740</v>
      </c>
      <c r="B37" s="3987" t="s">
        <v>1465</v>
      </c>
      <c r="C37" s="3987" t="s">
        <v>3741</v>
      </c>
      <c r="D37" s="3987" t="s">
        <v>3387</v>
      </c>
      <c r="E37" s="3987" t="s">
        <v>3388</v>
      </c>
      <c r="F37" s="3987" t="s">
        <v>3456</v>
      </c>
      <c r="G37" s="3987" t="s">
        <v>3742</v>
      </c>
      <c r="H37" s="3987" t="s">
        <v>3391</v>
      </c>
      <c r="I37" s="3987">
        <v>42541.4</v>
      </c>
      <c r="J37" s="3987">
        <v>108921.52</v>
      </c>
      <c r="K37" s="3987" t="s">
        <v>3743</v>
      </c>
      <c r="L37" s="3987">
        <v>2.8</v>
      </c>
      <c r="M37" s="3987" t="s">
        <v>3393</v>
      </c>
      <c r="N37" s="3987" t="s">
        <v>3744</v>
      </c>
      <c r="O37" s="3987" t="s">
        <v>3395</v>
      </c>
      <c r="P37" s="3987" t="s">
        <v>3396</v>
      </c>
      <c r="Q37" s="3987" t="s">
        <v>3432</v>
      </c>
      <c r="R37" s="3987" t="s">
        <v>3683</v>
      </c>
      <c r="S37" s="3987" t="s">
        <v>3702</v>
      </c>
      <c r="T37" s="3987" t="s">
        <v>3703</v>
      </c>
      <c r="U37" s="3987" t="s">
        <v>3400</v>
      </c>
      <c r="V37" s="3987" t="s">
        <v>3400</v>
      </c>
      <c r="W37" s="3987">
        <v>0</v>
      </c>
      <c r="X37" s="3987">
        <v>0</v>
      </c>
      <c r="Y37" s="3987">
        <v>0</v>
      </c>
      <c r="Z37" s="3987">
        <v>0</v>
      </c>
      <c r="AA37" s="3988">
        <v>43748.000497685185</v>
      </c>
      <c r="AB37" s="3988">
        <v>43768.000497685185</v>
      </c>
      <c r="AC37" s="3988">
        <v>43782.000497685185</v>
      </c>
      <c r="AD37" s="3988">
        <v>43782.000497685185</v>
      </c>
      <c r="AE37" s="3987" t="s">
        <v>3745</v>
      </c>
      <c r="AF37" s="3987" t="s">
        <v>3402</v>
      </c>
      <c r="AG37" s="3987" t="s">
        <v>3746</v>
      </c>
      <c r="AH37" s="3987" t="s">
        <v>3747</v>
      </c>
      <c r="AI37" s="3987" t="s">
        <v>3451</v>
      </c>
      <c r="AJ37" s="3987">
        <v>292000</v>
      </c>
      <c r="AK37" s="3987">
        <v>58400</v>
      </c>
      <c r="AL37" s="3987" t="s">
        <v>3748</v>
      </c>
      <c r="AM37" s="3987">
        <v>307000</v>
      </c>
      <c r="AN37" s="3987">
        <v>68639.02</v>
      </c>
      <c r="AO37" s="3987">
        <v>72165</v>
      </c>
      <c r="AP37" s="3987">
        <v>4575.93</v>
      </c>
      <c r="AQ37" s="3987">
        <v>4811</v>
      </c>
      <c r="AR37" s="3987">
        <v>26808</v>
      </c>
      <c r="AS37" s="3987">
        <v>28185</v>
      </c>
      <c r="AT37" s="3987" t="s">
        <v>3400</v>
      </c>
      <c r="AU37" s="3987" t="s">
        <v>3400</v>
      </c>
      <c r="AV37" s="3987">
        <v>5.14</v>
      </c>
      <c r="AW37" s="3987" t="s">
        <v>3452</v>
      </c>
      <c r="AX37" s="3987" t="s">
        <v>3396</v>
      </c>
      <c r="AY37" s="3987" t="s">
        <v>3400</v>
      </c>
      <c r="AZ37" s="3987" t="s">
        <v>3396</v>
      </c>
      <c r="BA37" s="3987" t="s">
        <v>3400</v>
      </c>
      <c r="BB37" s="3987" t="s">
        <v>3400</v>
      </c>
      <c r="BC37" s="3987" t="s">
        <v>3400</v>
      </c>
      <c r="BD37" s="3987" t="s">
        <v>3400</v>
      </c>
      <c r="BE37" s="3987" t="s">
        <v>3408</v>
      </c>
    </row>
    <row r="38" spans="1:57">
      <c r="A38" s="3987" t="s">
        <v>3749</v>
      </c>
      <c r="B38" s="3987" t="s">
        <v>1465</v>
      </c>
      <c r="C38" s="3987" t="s">
        <v>3750</v>
      </c>
      <c r="D38" s="3987" t="s">
        <v>3387</v>
      </c>
      <c r="E38" s="3987" t="s">
        <v>3388</v>
      </c>
      <c r="F38" s="3987" t="s">
        <v>3456</v>
      </c>
      <c r="G38" s="3987" t="s">
        <v>3751</v>
      </c>
      <c r="H38" s="3987" t="s">
        <v>3412</v>
      </c>
      <c r="I38" s="3987">
        <v>54735.8</v>
      </c>
      <c r="J38" s="3987">
        <v>153260.24</v>
      </c>
      <c r="K38" s="3987" t="s">
        <v>3752</v>
      </c>
      <c r="L38" s="3987">
        <v>2.8</v>
      </c>
      <c r="M38" s="3987" t="s">
        <v>3393</v>
      </c>
      <c r="N38" s="3987" t="s">
        <v>3413</v>
      </c>
      <c r="O38" s="3987" t="s">
        <v>3395</v>
      </c>
      <c r="P38" s="3987" t="s">
        <v>3396</v>
      </c>
      <c r="Q38" s="3987" t="s">
        <v>3432</v>
      </c>
      <c r="R38" s="3987" t="s">
        <v>3753</v>
      </c>
      <c r="S38" s="3987" t="s">
        <v>3702</v>
      </c>
      <c r="T38" s="3987" t="s">
        <v>3703</v>
      </c>
      <c r="U38" s="3987" t="s">
        <v>3400</v>
      </c>
      <c r="V38" s="3987" t="s">
        <v>3400</v>
      </c>
      <c r="W38" s="3987">
        <v>0</v>
      </c>
      <c r="X38" s="3987">
        <v>0</v>
      </c>
      <c r="Y38" s="3987">
        <v>0</v>
      </c>
      <c r="Z38" s="3987">
        <v>0</v>
      </c>
      <c r="AA38" s="3988">
        <v>43748.000497685185</v>
      </c>
      <c r="AB38" s="3988">
        <v>43768.000497685185</v>
      </c>
      <c r="AC38" s="3988">
        <v>43782.000497685185</v>
      </c>
      <c r="AD38" s="3988">
        <v>43782.000497685185</v>
      </c>
      <c r="AE38" s="3987" t="s">
        <v>3754</v>
      </c>
      <c r="AF38" s="3987" t="s">
        <v>3402</v>
      </c>
      <c r="AG38" s="3987" t="s">
        <v>3461</v>
      </c>
      <c r="AH38" s="3987" t="s">
        <v>3462</v>
      </c>
      <c r="AI38" s="3987" t="s">
        <v>3418</v>
      </c>
      <c r="AJ38" s="3987">
        <v>426000</v>
      </c>
      <c r="AK38" s="3987">
        <v>85200</v>
      </c>
      <c r="AL38" s="3987" t="s">
        <v>3748</v>
      </c>
      <c r="AM38" s="3987">
        <v>428150</v>
      </c>
      <c r="AN38" s="3987">
        <v>77828.41</v>
      </c>
      <c r="AO38" s="3987">
        <v>78221.2</v>
      </c>
      <c r="AP38" s="3987">
        <v>5188.5600000000004</v>
      </c>
      <c r="AQ38" s="3987">
        <v>5214.75</v>
      </c>
      <c r="AR38" s="3987">
        <v>27796</v>
      </c>
      <c r="AS38" s="3987">
        <v>27936</v>
      </c>
      <c r="AT38" s="3987" t="s">
        <v>3400</v>
      </c>
      <c r="AU38" s="3987" t="s">
        <v>3400</v>
      </c>
      <c r="AV38" s="3987">
        <v>0.5</v>
      </c>
      <c r="AW38" s="3987" t="s">
        <v>3452</v>
      </c>
      <c r="AX38" s="3987" t="s">
        <v>3396</v>
      </c>
      <c r="AY38" s="3987" t="s">
        <v>3400</v>
      </c>
      <c r="AZ38" s="3987">
        <v>52695</v>
      </c>
      <c r="BA38" s="3987" t="s">
        <v>3400</v>
      </c>
      <c r="BB38" s="3987" t="s">
        <v>3400</v>
      </c>
      <c r="BC38" s="3987">
        <v>24759</v>
      </c>
      <c r="BD38" s="3987" t="s">
        <v>3400</v>
      </c>
      <c r="BE38" s="3987" t="s">
        <v>3623</v>
      </c>
    </row>
    <row r="39" spans="1:57">
      <c r="A39" s="3987" t="s">
        <v>3755</v>
      </c>
      <c r="B39" s="3987" t="s">
        <v>1465</v>
      </c>
      <c r="C39" s="3987" t="s">
        <v>3756</v>
      </c>
      <c r="D39" s="3987" t="s">
        <v>3387</v>
      </c>
      <c r="E39" s="3987" t="s">
        <v>3388</v>
      </c>
      <c r="F39" s="3987" t="s">
        <v>3757</v>
      </c>
      <c r="G39" s="3987" t="s">
        <v>3390</v>
      </c>
      <c r="H39" s="3987" t="s">
        <v>3391</v>
      </c>
      <c r="I39" s="3987">
        <v>58822.99</v>
      </c>
      <c r="J39" s="3987">
        <v>97871</v>
      </c>
      <c r="K39" s="3987" t="s">
        <v>3758</v>
      </c>
      <c r="L39" s="3987">
        <v>1.8</v>
      </c>
      <c r="M39" s="3987" t="s">
        <v>3393</v>
      </c>
      <c r="N39" s="3987" t="s">
        <v>3744</v>
      </c>
      <c r="O39" s="3987" t="s">
        <v>3395</v>
      </c>
      <c r="P39" s="3987" t="s">
        <v>3396</v>
      </c>
      <c r="Q39" s="3987" t="s">
        <v>3432</v>
      </c>
      <c r="R39" s="3987" t="s">
        <v>3759</v>
      </c>
      <c r="S39" s="3987" t="s">
        <v>3702</v>
      </c>
      <c r="T39" s="3987" t="s">
        <v>3703</v>
      </c>
      <c r="U39" s="3987" t="s">
        <v>3400</v>
      </c>
      <c r="V39" s="3987" t="s">
        <v>3400</v>
      </c>
      <c r="W39" s="3987">
        <v>0</v>
      </c>
      <c r="X39" s="3987">
        <v>0</v>
      </c>
      <c r="Y39" s="3987">
        <v>0</v>
      </c>
      <c r="Z39" s="3987">
        <v>0</v>
      </c>
      <c r="AA39" s="3988">
        <v>43705.000497685185</v>
      </c>
      <c r="AB39" s="3988">
        <v>43734.000497685185</v>
      </c>
      <c r="AC39" s="3988">
        <v>43753.000497685185</v>
      </c>
      <c r="AD39" s="3988">
        <v>43753.000497685185</v>
      </c>
      <c r="AE39" s="3987" t="s">
        <v>3760</v>
      </c>
      <c r="AF39" s="3987" t="s">
        <v>3402</v>
      </c>
      <c r="AG39" s="3987" t="s">
        <v>3761</v>
      </c>
      <c r="AH39" s="3987" t="s">
        <v>3762</v>
      </c>
      <c r="AI39" s="3987" t="s">
        <v>3405</v>
      </c>
      <c r="AJ39" s="3987">
        <v>181000</v>
      </c>
      <c r="AK39" s="3987">
        <v>36500</v>
      </c>
      <c r="AL39" s="3987" t="s">
        <v>3763</v>
      </c>
      <c r="AM39" s="3987">
        <v>203000</v>
      </c>
      <c r="AN39" s="3987">
        <v>30770.28</v>
      </c>
      <c r="AO39" s="3987">
        <v>34510.31</v>
      </c>
      <c r="AP39" s="3987">
        <v>2051.35</v>
      </c>
      <c r="AQ39" s="3987">
        <v>2300.69</v>
      </c>
      <c r="AR39" s="3987">
        <v>18494</v>
      </c>
      <c r="AS39" s="3987">
        <v>20742</v>
      </c>
      <c r="AT39" s="3987" t="s">
        <v>3400</v>
      </c>
      <c r="AU39" s="3987" t="s">
        <v>3400</v>
      </c>
      <c r="AV39" s="3987">
        <v>12.15</v>
      </c>
      <c r="AW39" s="3987" t="s">
        <v>3452</v>
      </c>
      <c r="AX39" s="3987" t="s">
        <v>3396</v>
      </c>
      <c r="AY39" s="3987" t="s">
        <v>3400</v>
      </c>
      <c r="AZ39" s="3987">
        <v>42672</v>
      </c>
      <c r="BA39" s="3987" t="s">
        <v>3400</v>
      </c>
      <c r="BB39" s="3987" t="s">
        <v>3400</v>
      </c>
      <c r="BC39" s="3987">
        <v>21931</v>
      </c>
      <c r="BD39" s="3987" t="s">
        <v>3400</v>
      </c>
      <c r="BE39" s="3987" t="s">
        <v>3623</v>
      </c>
    </row>
    <row r="40" spans="1:57">
      <c r="A40" s="3987" t="s">
        <v>3764</v>
      </c>
      <c r="B40" s="3987" t="s">
        <v>1465</v>
      </c>
      <c r="C40" s="3987" t="s">
        <v>3765</v>
      </c>
      <c r="D40" s="3987" t="s">
        <v>3387</v>
      </c>
      <c r="E40" s="3987" t="s">
        <v>3388</v>
      </c>
      <c r="F40" s="3987" t="s">
        <v>3655</v>
      </c>
      <c r="G40" s="3987" t="s">
        <v>3540</v>
      </c>
      <c r="H40" s="3987" t="s">
        <v>3391</v>
      </c>
      <c r="I40" s="3987">
        <v>56722.42</v>
      </c>
      <c r="J40" s="3987">
        <v>124449</v>
      </c>
      <c r="K40" s="3987" t="s">
        <v>3766</v>
      </c>
      <c r="L40" s="3987">
        <v>2.5</v>
      </c>
      <c r="M40" s="3987" t="s">
        <v>3393</v>
      </c>
      <c r="N40" s="3987" t="s">
        <v>3767</v>
      </c>
      <c r="O40" s="3987" t="s">
        <v>3395</v>
      </c>
      <c r="P40" s="3987" t="s">
        <v>3396</v>
      </c>
      <c r="Q40" s="3987" t="s">
        <v>3432</v>
      </c>
      <c r="R40" s="3987" t="s">
        <v>3768</v>
      </c>
      <c r="S40" s="3987" t="s">
        <v>3702</v>
      </c>
      <c r="T40" s="3987" t="s">
        <v>3703</v>
      </c>
      <c r="U40" s="3987" t="s">
        <v>3400</v>
      </c>
      <c r="V40" s="3987" t="s">
        <v>3400</v>
      </c>
      <c r="W40" s="3987">
        <v>0</v>
      </c>
      <c r="X40" s="3987">
        <v>0</v>
      </c>
      <c r="Y40" s="3987">
        <v>0</v>
      </c>
      <c r="Z40" s="3987">
        <v>0</v>
      </c>
      <c r="AA40" s="3988">
        <v>43705.000497685185</v>
      </c>
      <c r="AB40" s="3988">
        <v>43734.000497685185</v>
      </c>
      <c r="AC40" s="3988">
        <v>43753.000497685185</v>
      </c>
      <c r="AD40" s="3988">
        <v>43753.000497685185</v>
      </c>
      <c r="AE40" s="3987" t="s">
        <v>3769</v>
      </c>
      <c r="AF40" s="3987" t="s">
        <v>3402</v>
      </c>
      <c r="AG40" s="3987" t="s">
        <v>3770</v>
      </c>
      <c r="AH40" s="3987" t="s">
        <v>3771</v>
      </c>
      <c r="AI40" s="3987" t="s">
        <v>3566</v>
      </c>
      <c r="AJ40" s="3987">
        <v>330000</v>
      </c>
      <c r="AK40" s="3987">
        <v>66000</v>
      </c>
      <c r="AL40" s="3987" t="s">
        <v>3763</v>
      </c>
      <c r="AM40" s="3987">
        <v>443000</v>
      </c>
      <c r="AN40" s="3987">
        <v>58178.05</v>
      </c>
      <c r="AO40" s="3987">
        <v>78099.63</v>
      </c>
      <c r="AP40" s="3987">
        <v>3878.54</v>
      </c>
      <c r="AQ40" s="3987">
        <v>5206.6400000000003</v>
      </c>
      <c r="AR40" s="3987">
        <v>26517</v>
      </c>
      <c r="AS40" s="3987">
        <v>35597</v>
      </c>
      <c r="AT40" s="3987" t="s">
        <v>3400</v>
      </c>
      <c r="AU40" s="3987" t="s">
        <v>3400</v>
      </c>
      <c r="AV40" s="3987">
        <v>34.24</v>
      </c>
      <c r="AW40" s="3987" t="s">
        <v>3452</v>
      </c>
      <c r="AX40" s="3987" t="s">
        <v>3396</v>
      </c>
      <c r="AY40" s="3987" t="s">
        <v>3400</v>
      </c>
      <c r="AZ40" s="3987">
        <v>54715</v>
      </c>
      <c r="BA40" s="3987" t="s">
        <v>3400</v>
      </c>
      <c r="BB40" s="3987" t="s">
        <v>3400</v>
      </c>
      <c r="BC40" s="3987">
        <v>19119</v>
      </c>
      <c r="BD40" s="3987" t="s">
        <v>3400</v>
      </c>
      <c r="BE40" s="3987" t="s">
        <v>3623</v>
      </c>
    </row>
    <row r="41" spans="1:57">
      <c r="A41" s="3987" t="s">
        <v>3772</v>
      </c>
      <c r="B41" s="3987" t="s">
        <v>1465</v>
      </c>
      <c r="C41" s="3987" t="s">
        <v>3773</v>
      </c>
      <c r="D41" s="3987" t="s">
        <v>3387</v>
      </c>
      <c r="E41" s="3987" t="s">
        <v>3388</v>
      </c>
      <c r="F41" s="3987" t="s">
        <v>3774</v>
      </c>
      <c r="G41" s="3987" t="s">
        <v>3775</v>
      </c>
      <c r="H41" s="3987" t="s">
        <v>3391</v>
      </c>
      <c r="I41" s="3987">
        <v>88404.4</v>
      </c>
      <c r="J41" s="3987">
        <v>173209</v>
      </c>
      <c r="K41" s="3987" t="s">
        <v>3776</v>
      </c>
      <c r="L41" s="3987">
        <v>2</v>
      </c>
      <c r="M41" s="3987" t="s">
        <v>3393</v>
      </c>
      <c r="N41" s="3987" t="s">
        <v>3744</v>
      </c>
      <c r="O41" s="3987" t="s">
        <v>3395</v>
      </c>
      <c r="P41" s="3987" t="s">
        <v>3396</v>
      </c>
      <c r="Q41" s="3987" t="s">
        <v>3432</v>
      </c>
      <c r="R41" s="3987" t="s">
        <v>3777</v>
      </c>
      <c r="S41" s="3987" t="s">
        <v>3702</v>
      </c>
      <c r="T41" s="3987" t="s">
        <v>3778</v>
      </c>
      <c r="U41" s="3987" t="s">
        <v>3400</v>
      </c>
      <c r="V41" s="3987" t="s">
        <v>3400</v>
      </c>
      <c r="W41" s="3987">
        <v>0</v>
      </c>
      <c r="X41" s="3987">
        <v>0</v>
      </c>
      <c r="Y41" s="3987">
        <v>0</v>
      </c>
      <c r="Z41" s="3987">
        <v>0</v>
      </c>
      <c r="AA41" s="3988">
        <v>43698.000497685185</v>
      </c>
      <c r="AB41" s="3988">
        <v>43718.000497685185</v>
      </c>
      <c r="AC41" s="3988">
        <v>43733.000497685185</v>
      </c>
      <c r="AD41" s="3988">
        <v>43733.000497685185</v>
      </c>
      <c r="AE41" s="3987" t="s">
        <v>3779</v>
      </c>
      <c r="AF41" s="3987" t="s">
        <v>3402</v>
      </c>
      <c r="AG41" s="3987" t="s">
        <v>3780</v>
      </c>
      <c r="AH41" s="3987" t="s">
        <v>3781</v>
      </c>
      <c r="AI41" s="3987" t="s">
        <v>3418</v>
      </c>
      <c r="AJ41" s="3987">
        <v>330000</v>
      </c>
      <c r="AK41" s="3987">
        <v>66000</v>
      </c>
      <c r="AL41" s="3987" t="s">
        <v>3782</v>
      </c>
      <c r="AM41" s="3987">
        <v>330000</v>
      </c>
      <c r="AN41" s="3987">
        <v>37328.449999999997</v>
      </c>
      <c r="AO41" s="3987">
        <v>37328.449999999997</v>
      </c>
      <c r="AP41" s="3987">
        <v>2488.56</v>
      </c>
      <c r="AQ41" s="3987">
        <v>2488.56</v>
      </c>
      <c r="AR41" s="3987">
        <v>19052</v>
      </c>
      <c r="AS41" s="3987">
        <v>19052</v>
      </c>
      <c r="AT41" s="3987" t="s">
        <v>3400</v>
      </c>
      <c r="AU41" s="3987" t="s">
        <v>3400</v>
      </c>
      <c r="AV41" s="3987">
        <v>0</v>
      </c>
      <c r="AW41" s="3987" t="s">
        <v>3452</v>
      </c>
      <c r="AX41" s="3987" t="s">
        <v>3396</v>
      </c>
      <c r="AY41" s="3987" t="s">
        <v>3400</v>
      </c>
      <c r="AZ41" s="3987">
        <v>42158</v>
      </c>
      <c r="BA41" s="3987" t="s">
        <v>3400</v>
      </c>
      <c r="BB41" s="3987" t="s">
        <v>3400</v>
      </c>
      <c r="BC41" s="3987">
        <v>23106</v>
      </c>
      <c r="BD41" s="3987" t="s">
        <v>3400</v>
      </c>
      <c r="BE41" s="3987" t="s">
        <v>3623</v>
      </c>
    </row>
    <row r="42" spans="1:57">
      <c r="A42" s="3987" t="s">
        <v>3783</v>
      </c>
      <c r="B42" s="3987" t="s">
        <v>1465</v>
      </c>
      <c r="C42" s="3987" t="s">
        <v>3784</v>
      </c>
      <c r="D42" s="3987" t="s">
        <v>3387</v>
      </c>
      <c r="E42" s="3987" t="s">
        <v>3388</v>
      </c>
      <c r="F42" s="3987" t="s">
        <v>3442</v>
      </c>
      <c r="G42" s="3987" t="s">
        <v>3785</v>
      </c>
      <c r="H42" s="3987" t="s">
        <v>3412</v>
      </c>
      <c r="I42" s="3987">
        <v>45889.5</v>
      </c>
      <c r="J42" s="3987">
        <v>100957</v>
      </c>
      <c r="K42" s="3987" t="s">
        <v>3786</v>
      </c>
      <c r="L42" s="3987">
        <v>2.2000000000000002</v>
      </c>
      <c r="M42" s="3987" t="s">
        <v>3393</v>
      </c>
      <c r="N42" s="3987" t="s">
        <v>3413</v>
      </c>
      <c r="O42" s="3987" t="s">
        <v>3395</v>
      </c>
      <c r="P42" s="3987" t="s">
        <v>3396</v>
      </c>
      <c r="Q42" s="3987" t="s">
        <v>3432</v>
      </c>
      <c r="R42" s="3987" t="s">
        <v>3787</v>
      </c>
      <c r="S42" s="3987" t="s">
        <v>3702</v>
      </c>
      <c r="T42" s="3987" t="s">
        <v>3703</v>
      </c>
      <c r="U42" s="3987" t="s">
        <v>3400</v>
      </c>
      <c r="V42" s="3987" t="s">
        <v>3400</v>
      </c>
      <c r="W42" s="3987">
        <v>0</v>
      </c>
      <c r="X42" s="3987">
        <v>0</v>
      </c>
      <c r="Y42" s="3987">
        <v>0</v>
      </c>
      <c r="Z42" s="3987">
        <v>0</v>
      </c>
      <c r="AA42" s="3988">
        <v>43698.000497685185</v>
      </c>
      <c r="AB42" s="3988">
        <v>43718.000497685185</v>
      </c>
      <c r="AC42" s="3988">
        <v>43733.000497685185</v>
      </c>
      <c r="AD42" s="3988">
        <v>43733.000497685185</v>
      </c>
      <c r="AE42" s="3987" t="s">
        <v>3788</v>
      </c>
      <c r="AF42" s="3987" t="s">
        <v>3402</v>
      </c>
      <c r="AG42" s="3987" t="s">
        <v>3685</v>
      </c>
      <c r="AH42" s="3987" t="s">
        <v>3545</v>
      </c>
      <c r="AI42" s="3987" t="s">
        <v>3418</v>
      </c>
      <c r="AJ42" s="3987">
        <v>260000</v>
      </c>
      <c r="AK42" s="3987">
        <v>52000</v>
      </c>
      <c r="AL42" s="3987" t="s">
        <v>3782</v>
      </c>
      <c r="AM42" s="3987">
        <v>327000</v>
      </c>
      <c r="AN42" s="3987">
        <v>56657.84</v>
      </c>
      <c r="AO42" s="3987">
        <v>71258.13</v>
      </c>
      <c r="AP42" s="3987">
        <v>3777.19</v>
      </c>
      <c r="AQ42" s="3987">
        <v>4750.54</v>
      </c>
      <c r="AR42" s="3987">
        <v>25754</v>
      </c>
      <c r="AS42" s="3987">
        <v>32390</v>
      </c>
      <c r="AT42" s="3987" t="s">
        <v>3400</v>
      </c>
      <c r="AU42" s="3987" t="s">
        <v>3400</v>
      </c>
      <c r="AV42" s="3987">
        <v>25.77</v>
      </c>
      <c r="AW42" s="3987" t="s">
        <v>3452</v>
      </c>
      <c r="AX42" s="3987" t="s">
        <v>3396</v>
      </c>
      <c r="AY42" s="3987" t="s">
        <v>3400</v>
      </c>
      <c r="AZ42" s="3987">
        <v>52449</v>
      </c>
      <c r="BA42" s="3987" t="s">
        <v>3400</v>
      </c>
      <c r="BB42" s="3987" t="s">
        <v>3400</v>
      </c>
      <c r="BC42" s="3987">
        <v>20059</v>
      </c>
      <c r="BD42" s="3987" t="s">
        <v>3400</v>
      </c>
      <c r="BE42" s="3987" t="s">
        <v>3623</v>
      </c>
    </row>
    <row r="43" spans="1:57">
      <c r="A43" s="3987" t="s">
        <v>3789</v>
      </c>
      <c r="B43" s="3987" t="s">
        <v>1465</v>
      </c>
      <c r="C43" s="3987" t="s">
        <v>3790</v>
      </c>
      <c r="D43" s="3987" t="s">
        <v>3387</v>
      </c>
      <c r="E43" s="3987" t="s">
        <v>3388</v>
      </c>
      <c r="F43" s="3987" t="s">
        <v>3442</v>
      </c>
      <c r="G43" s="3987" t="s">
        <v>3785</v>
      </c>
      <c r="H43" s="3987" t="s">
        <v>3391</v>
      </c>
      <c r="I43" s="3987">
        <v>47891.78</v>
      </c>
      <c r="J43" s="3987">
        <v>108059</v>
      </c>
      <c r="K43" s="3987" t="s">
        <v>3791</v>
      </c>
      <c r="L43" s="3987">
        <v>2.5</v>
      </c>
      <c r="M43" s="3987" t="s">
        <v>3393</v>
      </c>
      <c r="N43" s="3987" t="s">
        <v>3792</v>
      </c>
      <c r="O43" s="3987" t="s">
        <v>3395</v>
      </c>
      <c r="P43" s="3987" t="s">
        <v>3396</v>
      </c>
      <c r="Q43" s="3987" t="s">
        <v>3400</v>
      </c>
      <c r="R43" s="3987" t="s">
        <v>3400</v>
      </c>
      <c r="S43" s="3987" t="s">
        <v>3793</v>
      </c>
      <c r="T43" s="3987" t="s">
        <v>3793</v>
      </c>
      <c r="U43" s="3987" t="s">
        <v>3794</v>
      </c>
      <c r="V43" s="3987" t="s">
        <v>3400</v>
      </c>
      <c r="W43" s="3987">
        <v>0</v>
      </c>
      <c r="X43" s="3987">
        <v>0</v>
      </c>
      <c r="Y43" s="3987">
        <v>103979</v>
      </c>
      <c r="Z43" s="3987">
        <v>103979</v>
      </c>
      <c r="AA43" s="3988">
        <v>43678.000497685185</v>
      </c>
      <c r="AB43" s="3988">
        <v>43699.000497685185</v>
      </c>
      <c r="AC43" s="3988">
        <v>43720.000497685185</v>
      </c>
      <c r="AD43" s="3988">
        <v>43720.000497685185</v>
      </c>
      <c r="AE43" s="3987" t="s">
        <v>3795</v>
      </c>
      <c r="AF43" s="3987" t="s">
        <v>3402</v>
      </c>
      <c r="AG43" s="3987" t="s">
        <v>3796</v>
      </c>
      <c r="AH43" s="3987" t="s">
        <v>3797</v>
      </c>
      <c r="AI43" s="3987" t="s">
        <v>3405</v>
      </c>
      <c r="AJ43" s="3987">
        <v>151283</v>
      </c>
      <c r="AK43" s="3987">
        <v>50000</v>
      </c>
      <c r="AL43" s="3987" t="s">
        <v>2095</v>
      </c>
      <c r="AM43" s="3987">
        <v>151283</v>
      </c>
      <c r="AN43" s="3987">
        <v>31588.51</v>
      </c>
      <c r="AO43" s="3987">
        <v>31588.51</v>
      </c>
      <c r="AP43" s="3987">
        <v>2105.9</v>
      </c>
      <c r="AQ43" s="3987">
        <v>2105.9</v>
      </c>
      <c r="AR43" s="3987">
        <v>14000</v>
      </c>
      <c r="AS43" s="3987">
        <v>14000</v>
      </c>
      <c r="AT43" s="3987" t="s">
        <v>3400</v>
      </c>
      <c r="AU43" s="3987" t="s">
        <v>3400</v>
      </c>
      <c r="AV43" s="3987">
        <v>0</v>
      </c>
      <c r="AW43" s="3987" t="s">
        <v>3452</v>
      </c>
      <c r="AX43" s="3987" t="s">
        <v>3396</v>
      </c>
      <c r="AY43" s="3987" t="s">
        <v>3400</v>
      </c>
      <c r="AZ43" s="3987">
        <v>29000</v>
      </c>
      <c r="BA43" s="3987" t="s">
        <v>3400</v>
      </c>
      <c r="BB43" s="3987" t="s">
        <v>3400</v>
      </c>
      <c r="BC43" s="3987">
        <v>-341791</v>
      </c>
      <c r="BD43" s="3987" t="s">
        <v>3400</v>
      </c>
      <c r="BE43" s="3987" t="s">
        <v>3623</v>
      </c>
    </row>
    <row r="44" spans="1:57">
      <c r="A44" s="3987" t="s">
        <v>3798</v>
      </c>
      <c r="B44" s="3987" t="s">
        <v>1465</v>
      </c>
      <c r="C44" s="3987" t="s">
        <v>3799</v>
      </c>
      <c r="D44" s="3987" t="s">
        <v>3387</v>
      </c>
      <c r="E44" s="3987" t="s">
        <v>3388</v>
      </c>
      <c r="F44" s="3987" t="s">
        <v>3442</v>
      </c>
      <c r="G44" s="3987" t="s">
        <v>3785</v>
      </c>
      <c r="H44" s="3987" t="s">
        <v>3391</v>
      </c>
      <c r="I44" s="3987">
        <v>41000.75</v>
      </c>
      <c r="J44" s="3987">
        <v>102502</v>
      </c>
      <c r="K44" s="3987" t="s">
        <v>3791</v>
      </c>
      <c r="L44" s="3987">
        <v>2.5</v>
      </c>
      <c r="M44" s="3987" t="s">
        <v>3393</v>
      </c>
      <c r="N44" s="3987" t="s">
        <v>3667</v>
      </c>
      <c r="O44" s="3987" t="s">
        <v>3395</v>
      </c>
      <c r="P44" s="3987" t="s">
        <v>3396</v>
      </c>
      <c r="Q44" s="3987" t="s">
        <v>3400</v>
      </c>
      <c r="R44" s="3987" t="s">
        <v>3400</v>
      </c>
      <c r="S44" s="3987" t="s">
        <v>3793</v>
      </c>
      <c r="T44" s="3987" t="s">
        <v>3793</v>
      </c>
      <c r="U44" s="3987" t="s">
        <v>3794</v>
      </c>
      <c r="V44" s="3987" t="s">
        <v>3400</v>
      </c>
      <c r="W44" s="3987">
        <v>0</v>
      </c>
      <c r="X44" s="3987">
        <v>0</v>
      </c>
      <c r="Y44" s="3987">
        <v>102502</v>
      </c>
      <c r="Z44" s="3987">
        <v>102502</v>
      </c>
      <c r="AA44" s="3988">
        <v>43678.000497685185</v>
      </c>
      <c r="AB44" s="3988">
        <v>44224.000497685185</v>
      </c>
      <c r="AC44" s="3988">
        <v>44236.000497685185</v>
      </c>
      <c r="AD44" s="3988">
        <v>44237.000497685185</v>
      </c>
      <c r="AE44" s="3987" t="s">
        <v>3800</v>
      </c>
      <c r="AF44" s="3987" t="s">
        <v>3402</v>
      </c>
      <c r="AG44" s="3987" t="s">
        <v>3801</v>
      </c>
      <c r="AH44" s="3987" t="s">
        <v>3802</v>
      </c>
      <c r="AI44" s="3987" t="s">
        <v>3451</v>
      </c>
      <c r="AJ44" s="3987">
        <v>146578</v>
      </c>
      <c r="AK44" s="3987">
        <v>45000</v>
      </c>
      <c r="AL44" s="3987" t="s">
        <v>2095</v>
      </c>
      <c r="AM44" s="3987">
        <v>146578</v>
      </c>
      <c r="AN44" s="3987">
        <v>35750.080000000002</v>
      </c>
      <c r="AO44" s="3987">
        <v>35750.080000000002</v>
      </c>
      <c r="AP44" s="3987">
        <v>2383.34</v>
      </c>
      <c r="AQ44" s="3987">
        <v>2383.34</v>
      </c>
      <c r="AR44" s="3987">
        <v>14300</v>
      </c>
      <c r="AS44" s="3987">
        <v>14300</v>
      </c>
      <c r="AT44" s="3987" t="s">
        <v>3400</v>
      </c>
      <c r="AU44" s="3987" t="s">
        <v>3400</v>
      </c>
      <c r="AV44" s="3987">
        <v>0</v>
      </c>
      <c r="AW44" s="3987" t="s">
        <v>3452</v>
      </c>
      <c r="AX44" s="3987" t="s">
        <v>3396</v>
      </c>
      <c r="AY44" s="3987" t="s">
        <v>3400</v>
      </c>
      <c r="AZ44" s="3987" t="s">
        <v>3396</v>
      </c>
      <c r="BA44" s="3987" t="s">
        <v>3400</v>
      </c>
      <c r="BB44" s="3987" t="s">
        <v>3400</v>
      </c>
      <c r="BC44" s="3987" t="s">
        <v>3400</v>
      </c>
      <c r="BD44" s="3987" t="s">
        <v>3400</v>
      </c>
      <c r="BE44" s="3987" t="s">
        <v>3623</v>
      </c>
    </row>
    <row r="45" spans="1:57">
      <c r="A45" s="3987" t="s">
        <v>3803</v>
      </c>
      <c r="B45" s="3987" t="s">
        <v>1465</v>
      </c>
      <c r="C45" s="3987" t="s">
        <v>3804</v>
      </c>
      <c r="D45" s="3987" t="s">
        <v>3387</v>
      </c>
      <c r="E45" s="3987" t="s">
        <v>3388</v>
      </c>
      <c r="F45" s="3987" t="s">
        <v>3442</v>
      </c>
      <c r="G45" s="3987" t="s">
        <v>3785</v>
      </c>
      <c r="H45" s="3987" t="s">
        <v>3391</v>
      </c>
      <c r="I45" s="3987">
        <v>62136.68</v>
      </c>
      <c r="J45" s="3987">
        <v>147241</v>
      </c>
      <c r="K45" s="3987" t="s">
        <v>3791</v>
      </c>
      <c r="L45" s="3987">
        <v>2.5</v>
      </c>
      <c r="M45" s="3987" t="s">
        <v>3393</v>
      </c>
      <c r="N45" s="3987" t="s">
        <v>3792</v>
      </c>
      <c r="O45" s="3987" t="s">
        <v>3395</v>
      </c>
      <c r="P45" s="3987" t="s">
        <v>3396</v>
      </c>
      <c r="Q45" s="3987" t="s">
        <v>3400</v>
      </c>
      <c r="R45" s="3987" t="s">
        <v>3400</v>
      </c>
      <c r="S45" s="3987" t="s">
        <v>3793</v>
      </c>
      <c r="T45" s="3987" t="s">
        <v>3793</v>
      </c>
      <c r="U45" s="3987" t="s">
        <v>3805</v>
      </c>
      <c r="V45" s="3987" t="s">
        <v>3400</v>
      </c>
      <c r="W45" s="3987">
        <v>0</v>
      </c>
      <c r="X45" s="3987">
        <v>0</v>
      </c>
      <c r="Y45" s="3987">
        <v>141841</v>
      </c>
      <c r="Z45" s="3987">
        <v>141841</v>
      </c>
      <c r="AA45" s="3988">
        <v>43678.000497685185</v>
      </c>
      <c r="AB45" s="3988">
        <v>44176.000497685185</v>
      </c>
      <c r="AC45" s="3988">
        <v>44190.000497685185</v>
      </c>
      <c r="AD45" s="3988">
        <v>44190.000497685185</v>
      </c>
      <c r="AE45" s="3987" t="s">
        <v>3806</v>
      </c>
      <c r="AF45" s="3987" t="s">
        <v>3402</v>
      </c>
      <c r="AG45" s="3987" t="s">
        <v>3807</v>
      </c>
      <c r="AH45" s="3987" t="s">
        <v>3808</v>
      </c>
      <c r="AI45" s="3987" t="s">
        <v>3451</v>
      </c>
      <c r="AJ45" s="3987">
        <v>206138</v>
      </c>
      <c r="AK45" s="3987">
        <v>62000</v>
      </c>
      <c r="AL45" s="3987" t="s">
        <v>3809</v>
      </c>
      <c r="AM45" s="3987">
        <v>206138</v>
      </c>
      <c r="AN45" s="3987">
        <v>33174.93</v>
      </c>
      <c r="AO45" s="3987">
        <v>33174.93</v>
      </c>
      <c r="AP45" s="3987">
        <v>2211.66</v>
      </c>
      <c r="AQ45" s="3987">
        <v>2211.66</v>
      </c>
      <c r="AR45" s="3987">
        <v>14000</v>
      </c>
      <c r="AS45" s="3987">
        <v>14000</v>
      </c>
      <c r="AT45" s="3987" t="s">
        <v>3400</v>
      </c>
      <c r="AU45" s="3987" t="s">
        <v>3400</v>
      </c>
      <c r="AV45" s="3987">
        <v>0</v>
      </c>
      <c r="AW45" s="3987" t="s">
        <v>3452</v>
      </c>
      <c r="AX45" s="3987" t="s">
        <v>3396</v>
      </c>
      <c r="AY45" s="3987" t="s">
        <v>3400</v>
      </c>
      <c r="AZ45" s="3987">
        <v>29000</v>
      </c>
      <c r="BA45" s="3987" t="s">
        <v>3400</v>
      </c>
      <c r="BB45" s="3987" t="s">
        <v>3400</v>
      </c>
      <c r="BC45" s="3987">
        <v>-352737</v>
      </c>
      <c r="BD45" s="3987" t="s">
        <v>3400</v>
      </c>
      <c r="BE45" s="3987" t="s">
        <v>3623</v>
      </c>
    </row>
    <row r="46" spans="1:57">
      <c r="A46" s="3987" t="s">
        <v>3810</v>
      </c>
      <c r="B46" s="3987" t="s">
        <v>1465</v>
      </c>
      <c r="C46" s="3987" t="s">
        <v>3811</v>
      </c>
      <c r="D46" s="3987" t="s">
        <v>3387</v>
      </c>
      <c r="E46" s="3987" t="s">
        <v>3388</v>
      </c>
      <c r="F46" s="3987" t="s">
        <v>3442</v>
      </c>
      <c r="G46" s="3987" t="s">
        <v>3812</v>
      </c>
      <c r="H46" s="3987" t="s">
        <v>3412</v>
      </c>
      <c r="I46" s="3987">
        <v>36478.1</v>
      </c>
      <c r="J46" s="3987">
        <v>80251.820000000007</v>
      </c>
      <c r="K46" s="3987" t="s">
        <v>3786</v>
      </c>
      <c r="L46" s="3987">
        <v>2.2000000000000002</v>
      </c>
      <c r="M46" s="3987" t="s">
        <v>3393</v>
      </c>
      <c r="N46" s="3987" t="s">
        <v>3413</v>
      </c>
      <c r="O46" s="3987" t="s">
        <v>3395</v>
      </c>
      <c r="P46" s="3987" t="s">
        <v>3396</v>
      </c>
      <c r="Q46" s="3987" t="s">
        <v>3432</v>
      </c>
      <c r="R46" s="3987" t="s">
        <v>3593</v>
      </c>
      <c r="S46" s="3987" t="s">
        <v>3702</v>
      </c>
      <c r="T46" s="3987" t="s">
        <v>3703</v>
      </c>
      <c r="U46" s="3987" t="s">
        <v>3400</v>
      </c>
      <c r="V46" s="3987" t="s">
        <v>3400</v>
      </c>
      <c r="W46" s="3987">
        <v>0</v>
      </c>
      <c r="X46" s="3987">
        <v>0</v>
      </c>
      <c r="Y46" s="3987">
        <v>0</v>
      </c>
      <c r="Z46" s="3987">
        <v>0</v>
      </c>
      <c r="AA46" s="3988">
        <v>43602.000497685185</v>
      </c>
      <c r="AB46" s="3988">
        <v>43622.000497685185</v>
      </c>
      <c r="AC46" s="3988">
        <v>43637.000497685185</v>
      </c>
      <c r="AD46" s="3988">
        <v>43637.000497685185</v>
      </c>
      <c r="AE46" s="3987" t="s">
        <v>3813</v>
      </c>
      <c r="AF46" s="3987" t="s">
        <v>3402</v>
      </c>
      <c r="AG46" s="3987" t="s">
        <v>3814</v>
      </c>
      <c r="AH46" s="3987" t="s">
        <v>3815</v>
      </c>
      <c r="AI46" s="3987" t="s">
        <v>3405</v>
      </c>
      <c r="AJ46" s="3987">
        <v>225000</v>
      </c>
      <c r="AK46" s="3987">
        <v>45000</v>
      </c>
      <c r="AL46" s="3987" t="s">
        <v>2095</v>
      </c>
      <c r="AM46" s="3987">
        <v>318000</v>
      </c>
      <c r="AN46" s="3987">
        <v>61680.84</v>
      </c>
      <c r="AO46" s="3987">
        <v>87175.59</v>
      </c>
      <c r="AP46" s="3987">
        <v>4112.0600000000004</v>
      </c>
      <c r="AQ46" s="3987">
        <v>5811.71</v>
      </c>
      <c r="AR46" s="3987">
        <v>28037</v>
      </c>
      <c r="AS46" s="3987">
        <v>39625</v>
      </c>
      <c r="AT46" s="3987" t="s">
        <v>3400</v>
      </c>
      <c r="AU46" s="3987" t="s">
        <v>3400</v>
      </c>
      <c r="AV46" s="3987">
        <v>41.33</v>
      </c>
      <c r="AW46" s="3987" t="s">
        <v>3452</v>
      </c>
      <c r="AX46" s="3987" t="s">
        <v>3396</v>
      </c>
      <c r="AY46" s="3987" t="s">
        <v>3400</v>
      </c>
      <c r="AZ46" s="3987">
        <v>54160</v>
      </c>
      <c r="BA46" s="3987" t="s">
        <v>3400</v>
      </c>
      <c r="BB46" s="3987" t="s">
        <v>3400</v>
      </c>
      <c r="BC46" s="3987">
        <v>14535</v>
      </c>
      <c r="BD46" s="3987" t="s">
        <v>3400</v>
      </c>
      <c r="BE46" s="3987" t="s">
        <v>3623</v>
      </c>
    </row>
    <row r="47" spans="1:57">
      <c r="A47" s="3987" t="s">
        <v>3816</v>
      </c>
      <c r="B47" s="3987" t="s">
        <v>1465</v>
      </c>
      <c r="C47" s="3987" t="s">
        <v>3817</v>
      </c>
      <c r="D47" s="3987" t="s">
        <v>3387</v>
      </c>
      <c r="E47" s="3987" t="s">
        <v>3388</v>
      </c>
      <c r="F47" s="3987" t="s">
        <v>3442</v>
      </c>
      <c r="G47" s="3987" t="s">
        <v>3818</v>
      </c>
      <c r="H47" s="3987" t="s">
        <v>3412</v>
      </c>
      <c r="I47" s="3987">
        <v>35704</v>
      </c>
      <c r="J47" s="3987">
        <v>78548.800000000003</v>
      </c>
      <c r="K47" s="3987" t="s">
        <v>3786</v>
      </c>
      <c r="L47" s="3987">
        <v>2.2000000000000002</v>
      </c>
      <c r="M47" s="3987" t="s">
        <v>3393</v>
      </c>
      <c r="N47" s="3987" t="s">
        <v>3413</v>
      </c>
      <c r="O47" s="3987" t="s">
        <v>3395</v>
      </c>
      <c r="P47" s="3987" t="s">
        <v>3396</v>
      </c>
      <c r="Q47" s="3987" t="s">
        <v>3432</v>
      </c>
      <c r="R47" s="3987" t="s">
        <v>3593</v>
      </c>
      <c r="S47" s="3987" t="s">
        <v>3702</v>
      </c>
      <c r="T47" s="3987" t="s">
        <v>3703</v>
      </c>
      <c r="U47" s="3987" t="s">
        <v>3400</v>
      </c>
      <c r="V47" s="3987" t="s">
        <v>3400</v>
      </c>
      <c r="W47" s="3987">
        <v>0</v>
      </c>
      <c r="X47" s="3987">
        <v>0</v>
      </c>
      <c r="Y47" s="3987">
        <v>0</v>
      </c>
      <c r="Z47" s="3987">
        <v>0</v>
      </c>
      <c r="AA47" s="3988">
        <v>43602.000497685185</v>
      </c>
      <c r="AB47" s="3988">
        <v>43622.000497685185</v>
      </c>
      <c r="AC47" s="3988">
        <v>43637.000497685185</v>
      </c>
      <c r="AD47" s="3988">
        <v>43637.000497685185</v>
      </c>
      <c r="AE47" s="3987" t="s">
        <v>3819</v>
      </c>
      <c r="AF47" s="3987" t="s">
        <v>3402</v>
      </c>
      <c r="AG47" s="3987" t="s">
        <v>3820</v>
      </c>
      <c r="AH47" s="3987" t="s">
        <v>3821</v>
      </c>
      <c r="AI47" s="3987" t="s">
        <v>3418</v>
      </c>
      <c r="AJ47" s="3987">
        <v>220000</v>
      </c>
      <c r="AK47" s="3987">
        <v>44000</v>
      </c>
      <c r="AL47" s="3987" t="s">
        <v>2095</v>
      </c>
      <c r="AM47" s="3987">
        <v>306000</v>
      </c>
      <c r="AN47" s="3987">
        <v>61617.74</v>
      </c>
      <c r="AO47" s="3987">
        <v>85704.68</v>
      </c>
      <c r="AP47" s="3987">
        <v>4107.8500000000004</v>
      </c>
      <c r="AQ47" s="3987">
        <v>5713.65</v>
      </c>
      <c r="AR47" s="3987">
        <v>28008</v>
      </c>
      <c r="AS47" s="3987">
        <v>38957</v>
      </c>
      <c r="AT47" s="3987" t="s">
        <v>3400</v>
      </c>
      <c r="AU47" s="3987" t="s">
        <v>3400</v>
      </c>
      <c r="AV47" s="3987">
        <v>39.090000000000003</v>
      </c>
      <c r="AW47" s="3987" t="s">
        <v>3452</v>
      </c>
      <c r="AX47" s="3987" t="s">
        <v>3396</v>
      </c>
      <c r="AY47" s="3987" t="s">
        <v>3400</v>
      </c>
      <c r="AZ47" s="3987">
        <v>54160</v>
      </c>
      <c r="BA47" s="3987" t="s">
        <v>3400</v>
      </c>
      <c r="BB47" s="3987" t="s">
        <v>3400</v>
      </c>
      <c r="BC47" s="3987">
        <v>15204</v>
      </c>
      <c r="BD47" s="3987" t="s">
        <v>3400</v>
      </c>
      <c r="BE47" s="3987" t="s">
        <v>3408</v>
      </c>
    </row>
    <row r="48" spans="1:57">
      <c r="A48" s="3987" t="s">
        <v>3822</v>
      </c>
      <c r="B48" s="3987" t="s">
        <v>1465</v>
      </c>
      <c r="C48" s="3987" t="s">
        <v>3823</v>
      </c>
      <c r="D48" s="3987" t="s">
        <v>3387</v>
      </c>
      <c r="E48" s="3987" t="s">
        <v>3388</v>
      </c>
      <c r="F48" s="3987" t="s">
        <v>3442</v>
      </c>
      <c r="G48" s="3987" t="s">
        <v>3785</v>
      </c>
      <c r="H48" s="3987" t="s">
        <v>3391</v>
      </c>
      <c r="I48" s="3987">
        <v>79276.91</v>
      </c>
      <c r="J48" s="3987">
        <v>177023</v>
      </c>
      <c r="K48" s="3987" t="s">
        <v>3824</v>
      </c>
      <c r="L48" s="3987">
        <v>0</v>
      </c>
      <c r="M48" s="3987" t="s">
        <v>3393</v>
      </c>
      <c r="N48" s="3987" t="s">
        <v>3825</v>
      </c>
      <c r="O48" s="3987" t="s">
        <v>3395</v>
      </c>
      <c r="P48" s="3987" t="s">
        <v>3396</v>
      </c>
      <c r="Q48" s="3987" t="s">
        <v>3432</v>
      </c>
      <c r="R48" s="3987" t="s">
        <v>3826</v>
      </c>
      <c r="S48" s="3987" t="s">
        <v>3702</v>
      </c>
      <c r="T48" s="3987" t="s">
        <v>3703</v>
      </c>
      <c r="U48" s="3987" t="s">
        <v>3400</v>
      </c>
      <c r="V48" s="3987" t="s">
        <v>3400</v>
      </c>
      <c r="W48" s="3987">
        <v>0</v>
      </c>
      <c r="X48" s="3987">
        <v>0</v>
      </c>
      <c r="Y48" s="3987">
        <v>0</v>
      </c>
      <c r="Z48" s="3987">
        <v>0</v>
      </c>
      <c r="AA48" s="3988">
        <v>43482.000497685185</v>
      </c>
      <c r="AB48" s="3988">
        <v>43507.000497685185</v>
      </c>
      <c r="AC48" s="3988">
        <v>43521.000497685185</v>
      </c>
      <c r="AD48" s="3988">
        <v>43521.000497685185</v>
      </c>
      <c r="AE48" s="3987" t="s">
        <v>3827</v>
      </c>
      <c r="AF48" s="3987" t="s">
        <v>3402</v>
      </c>
      <c r="AG48" s="3987" t="s">
        <v>3685</v>
      </c>
      <c r="AH48" s="3987" t="s">
        <v>3545</v>
      </c>
      <c r="AI48" s="3987" t="s">
        <v>3418</v>
      </c>
      <c r="AJ48" s="3987">
        <v>365000</v>
      </c>
      <c r="AK48" s="3987">
        <v>73000</v>
      </c>
      <c r="AL48" s="3987" t="s">
        <v>2095</v>
      </c>
      <c r="AM48" s="3987">
        <v>444000</v>
      </c>
      <c r="AN48" s="3987">
        <v>46041.15</v>
      </c>
      <c r="AO48" s="3987">
        <v>56006.22</v>
      </c>
      <c r="AP48" s="3987">
        <v>3069.41</v>
      </c>
      <c r="AQ48" s="3987">
        <v>3733.75</v>
      </c>
      <c r="AR48" s="3987">
        <v>20619</v>
      </c>
      <c r="AS48" s="3987">
        <v>25081</v>
      </c>
      <c r="AT48" s="3987" t="s">
        <v>3400</v>
      </c>
      <c r="AU48" s="3987" t="s">
        <v>3400</v>
      </c>
      <c r="AV48" s="3987">
        <v>21.64</v>
      </c>
      <c r="AW48" s="3987" t="s">
        <v>3589</v>
      </c>
      <c r="AX48" s="3987" t="s">
        <v>3396</v>
      </c>
      <c r="AY48" s="3987" t="s">
        <v>3400</v>
      </c>
      <c r="AZ48" s="3987">
        <v>55128</v>
      </c>
      <c r="BA48" s="3987" t="s">
        <v>3400</v>
      </c>
      <c r="BB48" s="3987" t="s">
        <v>3400</v>
      </c>
      <c r="BC48" s="3987">
        <v>30047</v>
      </c>
      <c r="BD48" s="3987" t="s">
        <v>3400</v>
      </c>
      <c r="BE48" s="3987" t="s">
        <v>3623</v>
      </c>
    </row>
    <row r="49" spans="1:57">
      <c r="A49" s="3987" t="s">
        <v>3828</v>
      </c>
      <c r="B49" s="3987" t="s">
        <v>1465</v>
      </c>
      <c r="C49" s="3987" t="s">
        <v>3829</v>
      </c>
      <c r="D49" s="3987" t="s">
        <v>3387</v>
      </c>
      <c r="E49" s="3987" t="s">
        <v>3388</v>
      </c>
      <c r="F49" s="3987" t="s">
        <v>3389</v>
      </c>
      <c r="G49" s="3987" t="s">
        <v>3830</v>
      </c>
      <c r="H49" s="3987" t="s">
        <v>3391</v>
      </c>
      <c r="I49" s="3987">
        <v>34940.019999999997</v>
      </c>
      <c r="J49" s="3987">
        <v>94338</v>
      </c>
      <c r="K49" s="3987">
        <v>2.7</v>
      </c>
      <c r="L49" s="3987">
        <v>2.7</v>
      </c>
      <c r="M49" s="3987" t="s">
        <v>3393</v>
      </c>
      <c r="N49" s="3987" t="s">
        <v>3831</v>
      </c>
      <c r="O49" s="3987" t="s">
        <v>3395</v>
      </c>
      <c r="P49" s="3987" t="s">
        <v>3396</v>
      </c>
      <c r="Q49" s="3987" t="s">
        <v>3432</v>
      </c>
      <c r="R49" s="3987" t="s">
        <v>3832</v>
      </c>
      <c r="S49" s="3987" t="s">
        <v>3702</v>
      </c>
      <c r="T49" s="3987" t="s">
        <v>3703</v>
      </c>
      <c r="U49" s="3987" t="s">
        <v>3400</v>
      </c>
      <c r="V49" s="3987" t="s">
        <v>3400</v>
      </c>
      <c r="W49" s="3987">
        <v>0</v>
      </c>
      <c r="X49" s="3987">
        <v>0</v>
      </c>
      <c r="Y49" s="3987">
        <v>0</v>
      </c>
      <c r="Z49" s="3987">
        <v>0</v>
      </c>
      <c r="AA49" s="3988">
        <v>43482.000497685185</v>
      </c>
      <c r="AB49" s="3988">
        <v>43507.000497685185</v>
      </c>
      <c r="AC49" s="3988">
        <v>43521.000497685185</v>
      </c>
      <c r="AD49" s="3988">
        <v>43521.000497685185</v>
      </c>
      <c r="AE49" s="3987" t="s">
        <v>3833</v>
      </c>
      <c r="AF49" s="3987" t="s">
        <v>3402</v>
      </c>
      <c r="AG49" s="3987" t="s">
        <v>3834</v>
      </c>
      <c r="AH49" s="3987" t="s">
        <v>3835</v>
      </c>
      <c r="AI49" s="3987" t="s">
        <v>3535</v>
      </c>
      <c r="AJ49" s="3987">
        <v>210000</v>
      </c>
      <c r="AK49" s="3987">
        <v>42000</v>
      </c>
      <c r="AL49" s="3987" t="s">
        <v>2095</v>
      </c>
      <c r="AM49" s="3987">
        <v>246000</v>
      </c>
      <c r="AN49" s="3987">
        <v>60103</v>
      </c>
      <c r="AO49" s="3987">
        <v>70406.37</v>
      </c>
      <c r="AP49" s="3987">
        <v>4006.87</v>
      </c>
      <c r="AQ49" s="3987">
        <v>4693.76</v>
      </c>
      <c r="AR49" s="3987">
        <v>22260</v>
      </c>
      <c r="AS49" s="3987">
        <v>26076</v>
      </c>
      <c r="AT49" s="3987" t="s">
        <v>3400</v>
      </c>
      <c r="AU49" s="3987" t="s">
        <v>3400</v>
      </c>
      <c r="AV49" s="3987">
        <v>17.14</v>
      </c>
      <c r="AW49" s="3987" t="s">
        <v>3589</v>
      </c>
      <c r="AX49" s="3987" t="s">
        <v>3396</v>
      </c>
      <c r="AY49" s="3987" t="s">
        <v>3400</v>
      </c>
      <c r="AZ49" s="3987">
        <v>55800</v>
      </c>
      <c r="BA49" s="3987" t="s">
        <v>3400</v>
      </c>
      <c r="BB49" s="3987" t="s">
        <v>3400</v>
      </c>
      <c r="BC49" s="3987">
        <v>29724</v>
      </c>
      <c r="BD49" s="3987" t="s">
        <v>3400</v>
      </c>
      <c r="BE49" s="3987" t="s">
        <v>3623</v>
      </c>
    </row>
    <row r="50" spans="1:57">
      <c r="A50" s="3987" t="s">
        <v>3772</v>
      </c>
      <c r="B50" s="3987" t="s">
        <v>1465</v>
      </c>
      <c r="C50" s="3987" t="s">
        <v>3836</v>
      </c>
      <c r="D50" s="3987" t="s">
        <v>3387</v>
      </c>
      <c r="E50" s="3987" t="s">
        <v>3388</v>
      </c>
      <c r="F50" s="3987" t="s">
        <v>3774</v>
      </c>
      <c r="G50" s="3987" t="s">
        <v>3775</v>
      </c>
      <c r="H50" s="3987" t="s">
        <v>3391</v>
      </c>
      <c r="I50" s="3987">
        <v>88404.4</v>
      </c>
      <c r="J50" s="3987">
        <v>173209</v>
      </c>
      <c r="K50" s="3987" t="s">
        <v>3837</v>
      </c>
      <c r="L50" s="3987">
        <v>0</v>
      </c>
      <c r="M50" s="3987" t="s">
        <v>3393</v>
      </c>
      <c r="N50" s="3987" t="s">
        <v>3744</v>
      </c>
      <c r="O50" s="3987" t="s">
        <v>3395</v>
      </c>
      <c r="P50" s="3987" t="s">
        <v>3396</v>
      </c>
      <c r="Q50" s="3987" t="s">
        <v>3432</v>
      </c>
      <c r="R50" s="3987" t="s">
        <v>3777</v>
      </c>
      <c r="S50" s="3987" t="s">
        <v>3793</v>
      </c>
      <c r="T50" s="3987" t="s">
        <v>3793</v>
      </c>
      <c r="U50" s="3987" t="s">
        <v>3805</v>
      </c>
      <c r="V50" s="3987" t="s">
        <v>3400</v>
      </c>
      <c r="W50" s="3987">
        <v>0</v>
      </c>
      <c r="X50" s="3987">
        <v>0</v>
      </c>
      <c r="Y50" s="3987">
        <v>170809</v>
      </c>
      <c r="Z50" s="3987">
        <v>170809</v>
      </c>
      <c r="AA50" s="3988">
        <v>43463.000497685185</v>
      </c>
      <c r="AB50" s="3988">
        <v>43483.000497685185</v>
      </c>
      <c r="AC50" s="3988">
        <v>43497.000497685185</v>
      </c>
      <c r="AD50" s="3987" t="s">
        <v>3400</v>
      </c>
      <c r="AE50" s="3987" t="s">
        <v>3838</v>
      </c>
      <c r="AF50" s="3987" t="s">
        <v>3608</v>
      </c>
      <c r="AG50" s="3987" t="s">
        <v>3396</v>
      </c>
      <c r="AH50" s="3987" t="s">
        <v>3400</v>
      </c>
      <c r="AI50" s="3987" t="s">
        <v>3400</v>
      </c>
      <c r="AJ50" s="3987">
        <v>208050</v>
      </c>
      <c r="AK50" s="3987">
        <v>41650</v>
      </c>
      <c r="AL50" s="3987" t="s">
        <v>2095</v>
      </c>
      <c r="AM50" s="3987" t="s">
        <v>3400</v>
      </c>
      <c r="AN50" s="3987">
        <v>23533.89</v>
      </c>
      <c r="AO50" s="3987" t="s">
        <v>3400</v>
      </c>
      <c r="AP50" s="3987">
        <v>1568.93</v>
      </c>
      <c r="AQ50" s="3987" t="s">
        <v>3400</v>
      </c>
      <c r="AR50" s="3987">
        <v>12012</v>
      </c>
      <c r="AS50" s="3987" t="s">
        <v>3400</v>
      </c>
      <c r="AT50" s="3987" t="s">
        <v>3400</v>
      </c>
      <c r="AU50" s="3987" t="s">
        <v>3400</v>
      </c>
      <c r="AV50" s="3987">
        <v>0</v>
      </c>
      <c r="AW50" s="3987" t="s">
        <v>3406</v>
      </c>
      <c r="AX50" s="3987" t="s">
        <v>3396</v>
      </c>
      <c r="AY50" s="3987" t="s">
        <v>3400</v>
      </c>
      <c r="AZ50" s="3987">
        <v>29000</v>
      </c>
      <c r="BA50" s="3987" t="s">
        <v>3400</v>
      </c>
      <c r="BB50" s="3987" t="s">
        <v>3400</v>
      </c>
      <c r="BC50" s="3987">
        <v>29000</v>
      </c>
      <c r="BD50" s="3987" t="s">
        <v>3400</v>
      </c>
      <c r="BE50" s="3987" t="s">
        <v>3453</v>
      </c>
    </row>
    <row r="51" spans="1:57">
      <c r="A51" s="3987" t="s">
        <v>3798</v>
      </c>
      <c r="B51" s="3987" t="s">
        <v>1465</v>
      </c>
      <c r="C51" s="3987" t="s">
        <v>3839</v>
      </c>
      <c r="D51" s="3987" t="s">
        <v>3387</v>
      </c>
      <c r="E51" s="3987" t="s">
        <v>3388</v>
      </c>
      <c r="F51" s="3987" t="s">
        <v>3442</v>
      </c>
      <c r="G51" s="3987" t="s">
        <v>3785</v>
      </c>
      <c r="H51" s="3987" t="s">
        <v>3412</v>
      </c>
      <c r="I51" s="3987">
        <v>41000.75</v>
      </c>
      <c r="J51" s="3987">
        <v>102502</v>
      </c>
      <c r="K51" s="3987">
        <v>2.5</v>
      </c>
      <c r="L51" s="3987">
        <v>2.5</v>
      </c>
      <c r="M51" s="3987" t="s">
        <v>3393</v>
      </c>
      <c r="N51" s="3987" t="s">
        <v>3489</v>
      </c>
      <c r="O51" s="3987" t="s">
        <v>3395</v>
      </c>
      <c r="P51" s="3987" t="s">
        <v>3396</v>
      </c>
      <c r="Q51" s="3987" t="s">
        <v>3432</v>
      </c>
      <c r="R51" s="3987" t="s">
        <v>3787</v>
      </c>
      <c r="S51" s="3987" t="s">
        <v>3793</v>
      </c>
      <c r="T51" s="3987" t="s">
        <v>3793</v>
      </c>
      <c r="U51" s="3987" t="s">
        <v>3805</v>
      </c>
      <c r="V51" s="3987" t="s">
        <v>3400</v>
      </c>
      <c r="W51" s="3987">
        <v>0</v>
      </c>
      <c r="X51" s="3987">
        <v>0</v>
      </c>
      <c r="Y51" s="3987">
        <v>102502</v>
      </c>
      <c r="Z51" s="3987">
        <v>102502</v>
      </c>
      <c r="AA51" s="3988">
        <v>43461.000497685185</v>
      </c>
      <c r="AB51" s="3988">
        <v>43482.000497685185</v>
      </c>
      <c r="AC51" s="3988">
        <v>43492.000497685185</v>
      </c>
      <c r="AD51" s="3987" t="s">
        <v>3400</v>
      </c>
      <c r="AE51" s="3987" t="s">
        <v>3840</v>
      </c>
      <c r="AF51" s="3987" t="s">
        <v>3608</v>
      </c>
      <c r="AG51" s="3987" t="s">
        <v>3396</v>
      </c>
      <c r="AH51" s="3987" t="s">
        <v>3400</v>
      </c>
      <c r="AI51" s="3987" t="s">
        <v>3400</v>
      </c>
      <c r="AJ51" s="3987">
        <v>158879</v>
      </c>
      <c r="AK51" s="3987">
        <v>48000</v>
      </c>
      <c r="AL51" s="3987" t="s">
        <v>2095</v>
      </c>
      <c r="AM51" s="3987" t="s">
        <v>3400</v>
      </c>
      <c r="AN51" s="3987">
        <v>38750.26</v>
      </c>
      <c r="AO51" s="3987" t="s">
        <v>3400</v>
      </c>
      <c r="AP51" s="3987">
        <v>2583.35</v>
      </c>
      <c r="AQ51" s="3987" t="s">
        <v>3400</v>
      </c>
      <c r="AR51" s="3987">
        <v>15500</v>
      </c>
      <c r="AS51" s="3987" t="s">
        <v>3400</v>
      </c>
      <c r="AT51" s="3987" t="s">
        <v>3400</v>
      </c>
      <c r="AU51" s="3987" t="s">
        <v>3400</v>
      </c>
      <c r="AV51" s="3987">
        <v>0</v>
      </c>
      <c r="AW51" s="3987" t="s">
        <v>3478</v>
      </c>
      <c r="AX51" s="3987" t="s">
        <v>3396</v>
      </c>
      <c r="AY51" s="3987" t="s">
        <v>3400</v>
      </c>
      <c r="AZ51" s="3987">
        <v>29000</v>
      </c>
      <c r="BA51" s="3987" t="s">
        <v>3400</v>
      </c>
      <c r="BB51" s="3987" t="s">
        <v>3400</v>
      </c>
      <c r="BC51" s="3987" t="s">
        <v>3400</v>
      </c>
      <c r="BD51" s="3987" t="s">
        <v>3400</v>
      </c>
      <c r="BE51" s="3987" t="s">
        <v>3453</v>
      </c>
    </row>
  </sheetData>
  <autoFilter ref="A1:BE1"/>
  <phoneticPr fontId="22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21:M39"/>
  <sheetViews>
    <sheetView topLeftCell="A13" workbookViewId="0">
      <selection activeCell="G22" sqref="G22:M39"/>
    </sheetView>
  </sheetViews>
  <sheetFormatPr defaultRowHeight="13.5"/>
  <sheetData>
    <row r="21" spans="7:13" ht="14.25" thickBot="1"/>
    <row r="22" spans="7:13" ht="14.25" thickBot="1">
      <c r="G22" s="4010" t="s">
        <v>3331</v>
      </c>
      <c r="H22" s="4010" t="s">
        <v>3841</v>
      </c>
      <c r="I22" s="3992" t="s">
        <v>3842</v>
      </c>
      <c r="J22" s="3993" t="s">
        <v>3843</v>
      </c>
      <c r="K22" s="3994" t="s">
        <v>2201</v>
      </c>
      <c r="L22" s="3995"/>
      <c r="M22" s="3996"/>
    </row>
    <row r="23" spans="7:13" ht="14.25" thickBot="1">
      <c r="G23" s="4011"/>
      <c r="H23" s="4011"/>
      <c r="I23" s="3997"/>
      <c r="J23" s="3998"/>
      <c r="K23" s="3999" t="s">
        <v>3844</v>
      </c>
      <c r="L23" s="4000" t="s">
        <v>3257</v>
      </c>
      <c r="M23" s="4000" t="s">
        <v>3294</v>
      </c>
    </row>
    <row r="24" spans="7:13" ht="15" thickBot="1">
      <c r="G24" s="4012" t="s">
        <v>3845</v>
      </c>
      <c r="H24" s="4012" t="s">
        <v>3846</v>
      </c>
      <c r="I24" s="4001" t="s">
        <v>851</v>
      </c>
      <c r="J24" s="4015"/>
      <c r="K24" s="4003">
        <v>38371.56</v>
      </c>
      <c r="L24" s="4004">
        <v>38371.56</v>
      </c>
      <c r="M24" s="4005"/>
    </row>
    <row r="25" spans="7:13" ht="15" thickBot="1">
      <c r="G25" s="4013"/>
      <c r="H25" s="4013"/>
      <c r="I25" s="4006" t="s">
        <v>3293</v>
      </c>
      <c r="J25" s="4016"/>
      <c r="K25" s="4003">
        <v>14080</v>
      </c>
      <c r="L25" s="4005"/>
      <c r="M25" s="4004">
        <v>14080</v>
      </c>
    </row>
    <row r="26" spans="7:13" ht="15" thickBot="1">
      <c r="G26" s="4013"/>
      <c r="H26" s="4013"/>
      <c r="I26" s="4007" t="s">
        <v>1671</v>
      </c>
      <c r="J26" s="4016"/>
      <c r="K26" s="4003">
        <v>6040.72</v>
      </c>
      <c r="L26" s="4003">
        <v>6040.72</v>
      </c>
      <c r="M26" s="4003">
        <v>0</v>
      </c>
    </row>
    <row r="27" spans="7:13" ht="15" thickBot="1">
      <c r="G27" s="4013"/>
      <c r="H27" s="4013"/>
      <c r="I27" s="4007" t="s">
        <v>3847</v>
      </c>
      <c r="J27" s="4016"/>
      <c r="K27" s="4003">
        <v>1279</v>
      </c>
      <c r="L27" s="4003">
        <v>276</v>
      </c>
      <c r="M27" s="4002">
        <v>1003</v>
      </c>
    </row>
    <row r="28" spans="7:13" ht="15.75" thickBot="1">
      <c r="G28" s="4014"/>
      <c r="H28" s="4014"/>
      <c r="I28" s="4008" t="s">
        <v>16</v>
      </c>
      <c r="J28" s="4017"/>
      <c r="K28" s="4009">
        <v>59771.28</v>
      </c>
      <c r="L28" s="4009">
        <v>44688.28</v>
      </c>
      <c r="M28" s="4009">
        <v>15083</v>
      </c>
    </row>
    <row r="29" spans="7:13">
      <c r="I29" t="s">
        <v>851</v>
      </c>
      <c r="K29">
        <v>34939.182000000001</v>
      </c>
      <c r="L29">
        <v>34939.182000000001</v>
      </c>
    </row>
    <row r="30" spans="7:13">
      <c r="I30" t="s">
        <v>3293</v>
      </c>
      <c r="K30">
        <v>13900</v>
      </c>
      <c r="M30">
        <v>13900</v>
      </c>
    </row>
    <row r="31" spans="7:13">
      <c r="I31" t="s">
        <v>1671</v>
      </c>
      <c r="K31">
        <v>6344.35</v>
      </c>
      <c r="L31">
        <v>0</v>
      </c>
      <c r="M31">
        <v>6344.35</v>
      </c>
    </row>
    <row r="32" spans="7:13">
      <c r="I32" t="s">
        <v>3847</v>
      </c>
      <c r="K32">
        <v>897</v>
      </c>
      <c r="L32">
        <v>287</v>
      </c>
      <c r="M32">
        <v>610</v>
      </c>
    </row>
    <row r="33" spans="9:13">
      <c r="I33" s="2989" t="s">
        <v>3848</v>
      </c>
      <c r="K33">
        <v>56080.531999999999</v>
      </c>
      <c r="L33">
        <v>35226.182000000001</v>
      </c>
      <c r="M33">
        <v>20854.349999999999</v>
      </c>
    </row>
    <row r="34" spans="9:13">
      <c r="I34" t="s">
        <v>851</v>
      </c>
      <c r="K34">
        <v>46535.19</v>
      </c>
      <c r="L34">
        <v>46535.19</v>
      </c>
    </row>
    <row r="35" spans="9:13">
      <c r="I35" t="s">
        <v>3293</v>
      </c>
      <c r="K35">
        <v>13150</v>
      </c>
      <c r="M35">
        <v>13150</v>
      </c>
    </row>
    <row r="36" spans="9:13">
      <c r="I36" t="s">
        <v>1671</v>
      </c>
      <c r="K36">
        <v>4554.57</v>
      </c>
      <c r="L36">
        <v>30</v>
      </c>
      <c r="M36">
        <v>4524.57</v>
      </c>
    </row>
    <row r="37" spans="9:13">
      <c r="I37" t="s">
        <v>3847</v>
      </c>
      <c r="K37">
        <v>1433</v>
      </c>
      <c r="L37">
        <v>726</v>
      </c>
      <c r="M37">
        <v>707</v>
      </c>
    </row>
    <row r="38" spans="9:13">
      <c r="I38" s="2989" t="s">
        <v>3848</v>
      </c>
      <c r="K38">
        <v>65672.760000000009</v>
      </c>
      <c r="L38">
        <v>47291.19</v>
      </c>
      <c r="M38">
        <v>18381.57</v>
      </c>
    </row>
    <row r="39" spans="9:13">
      <c r="I39" s="2989" t="s">
        <v>3849</v>
      </c>
      <c r="K39">
        <f>K38+K33+K28</f>
        <v>181524.57200000001</v>
      </c>
      <c r="L39">
        <f t="shared" ref="L39:M39" si="0">L38+L33+L28</f>
        <v>127205.652</v>
      </c>
      <c r="M39">
        <f t="shared" si="0"/>
        <v>54318.92</v>
      </c>
    </row>
  </sheetData>
  <mergeCells count="5">
    <mergeCell ref="G22:G23"/>
    <mergeCell ref="H22:H23"/>
    <mergeCell ref="G24:G28"/>
    <mergeCell ref="H24:H28"/>
    <mergeCell ref="J24:J28"/>
  </mergeCells>
  <phoneticPr fontId="2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76" t="s">
        <v>1556</v>
      </c>
      <c r="B1" s="3676"/>
      <c r="C1" s="3676"/>
      <c r="D1" s="3676"/>
      <c r="E1" s="3676"/>
      <c r="F1" s="3676"/>
      <c r="G1" s="3676"/>
      <c r="H1" s="3676"/>
      <c r="I1" s="3676"/>
      <c r="J1" s="3676"/>
      <c r="K1" s="3676"/>
      <c r="L1" s="3676"/>
      <c r="M1" s="3676"/>
      <c r="N1" s="3676"/>
      <c r="O1" s="3676"/>
      <c r="P1" s="3676"/>
      <c r="Q1" s="3676"/>
      <c r="R1" s="3676"/>
    </row>
    <row r="2" spans="1:18">
      <c r="A2" s="1594" t="s">
        <v>1558</v>
      </c>
      <c r="B2" s="1594"/>
      <c r="C2" s="1594"/>
      <c r="D2" s="1594"/>
      <c r="E2" s="1594"/>
      <c r="F2" s="1594"/>
      <c r="G2" s="1594"/>
      <c r="H2" s="1594"/>
      <c r="I2" s="1595"/>
      <c r="J2" s="1595"/>
      <c r="K2" s="1596" t="str">
        <f>"估价期日："&amp;TEXT(项目基本情况!D3,"yyyy年m月d日;;")</f>
        <v>估价期日：2023年9月6日</v>
      </c>
      <c r="L2" s="1594"/>
      <c r="M2" s="1594"/>
      <c r="N2" s="1594"/>
      <c r="O2" s="1594"/>
      <c r="P2" s="1594"/>
      <c r="Q2" s="1594"/>
      <c r="R2" s="1596" t="str">
        <f>"估价期日的国有建设用地使用权性质："&amp;项目基本情况!A17</f>
        <v>估价期日的国有建设用地使用权性质：出让</v>
      </c>
    </row>
    <row r="3" spans="1:18" ht="23.25" customHeight="1">
      <c r="A3" s="3677" t="s">
        <v>1547</v>
      </c>
      <c r="B3" s="3677" t="s">
        <v>2013</v>
      </c>
      <c r="C3" s="3678" t="s">
        <v>1548</v>
      </c>
      <c r="D3" s="3677" t="s">
        <v>2017</v>
      </c>
      <c r="E3" s="3672" t="s">
        <v>1549</v>
      </c>
      <c r="F3" s="3672"/>
      <c r="G3" s="3672"/>
      <c r="H3" s="3672" t="s">
        <v>1550</v>
      </c>
      <c r="I3" s="3672"/>
      <c r="J3" s="3672"/>
      <c r="K3" s="3678" t="s">
        <v>1551</v>
      </c>
      <c r="L3" s="3678" t="s">
        <v>1552</v>
      </c>
      <c r="M3" s="3677" t="s">
        <v>2014</v>
      </c>
      <c r="N3" s="3679" t="str">
        <f>"（分摊）"&amp;项目基本情况!A17&amp;"国有建设用地使用权面积/㎡"</f>
        <v>（分摊）出让国有建设用地使用权面积/㎡</v>
      </c>
      <c r="O3" s="3677" t="s">
        <v>1581</v>
      </c>
      <c r="P3" s="3678" t="s">
        <v>1561</v>
      </c>
      <c r="Q3" s="3678" t="s">
        <v>1582</v>
      </c>
      <c r="R3" s="3678" t="s">
        <v>1553</v>
      </c>
    </row>
    <row r="4" spans="1:18" ht="36.75" customHeight="1">
      <c r="A4" s="3677"/>
      <c r="B4" s="3677"/>
      <c r="C4" s="3678"/>
      <c r="D4" s="3677"/>
      <c r="E4" s="2253" t="s">
        <v>1560</v>
      </c>
      <c r="F4" s="2253" t="s">
        <v>2026</v>
      </c>
      <c r="G4" s="2253" t="s">
        <v>1554</v>
      </c>
      <c r="H4" s="2253" t="s">
        <v>1555</v>
      </c>
      <c r="I4" s="2253" t="s">
        <v>2027</v>
      </c>
      <c r="J4" s="2253" t="s">
        <v>1554</v>
      </c>
      <c r="K4" s="3678"/>
      <c r="L4" s="3678"/>
      <c r="M4" s="3677"/>
      <c r="N4" s="3679"/>
      <c r="O4" s="3677"/>
      <c r="P4" s="3678"/>
      <c r="Q4" s="3678"/>
      <c r="R4" s="3678"/>
    </row>
    <row r="5" spans="1:18" ht="135" customHeight="1">
      <c r="A5" s="1698" t="s">
        <v>1937</v>
      </c>
      <c r="B5" s="2346" t="s">
        <v>1935</v>
      </c>
      <c r="C5" s="2252">
        <v>22</v>
      </c>
      <c r="D5" s="2251" t="s">
        <v>1936</v>
      </c>
      <c r="E5" s="1597">
        <f>项目基本情况!B12</f>
        <v>0</v>
      </c>
      <c r="F5" s="2251">
        <v>258</v>
      </c>
      <c r="G5" s="1597">
        <f>项目基本情况!B13</f>
        <v>0</v>
      </c>
      <c r="H5" s="2251">
        <v>1.5</v>
      </c>
      <c r="I5" s="2251">
        <v>1.5</v>
      </c>
      <c r="J5" s="2251">
        <v>1.5</v>
      </c>
      <c r="K5" s="1597" t="str">
        <f>"红线外"&amp;项目基本情况!T40&amp;"、宗地红线内"&amp;项目基本情况!B35</f>
        <v>红线外七通、宗地红线内</v>
      </c>
      <c r="L5" s="1597" t="str">
        <f>"红线外"&amp;项目基本情况!T40&amp;"、宗地红线内场地"&amp;项目基本情况!D36</f>
        <v>红线外七通、宗地红线内场地</v>
      </c>
      <c r="M5" s="1597">
        <f>IF(项目基本情况!A17="出让",项目基本情况!D20,"——")</f>
        <v>69.95</v>
      </c>
      <c r="N5" s="1597">
        <f>项目基本情况!C22</f>
        <v>18265.05</v>
      </c>
      <c r="O5" s="1597">
        <f>项目基本情况!C21</f>
        <v>59771.28</v>
      </c>
      <c r="P5" s="1597">
        <f ca="1">结果表!E42</f>
        <v>74488</v>
      </c>
      <c r="Q5" s="1597">
        <f ca="1">结果表!D42</f>
        <v>22762</v>
      </c>
      <c r="R5" s="1598">
        <f ca="1">结果表!C42</f>
        <v>136053</v>
      </c>
    </row>
    <row r="6" spans="1:18">
      <c r="A6" s="3673" t="str">
        <f>IF(项目基本情况!B9="市场价格","——","抵押价格")</f>
        <v>抵押价格</v>
      </c>
      <c r="B6" s="3674"/>
      <c r="C6" s="3674"/>
      <c r="D6" s="3674"/>
      <c r="E6" s="3674"/>
      <c r="F6" s="3674"/>
      <c r="G6" s="3674"/>
      <c r="H6" s="3674"/>
      <c r="I6" s="3674"/>
      <c r="J6" s="3674"/>
      <c r="K6" s="3674"/>
      <c r="L6" s="3674"/>
      <c r="M6" s="3674"/>
      <c r="N6" s="3674"/>
      <c r="O6" s="3674"/>
      <c r="P6" s="3674"/>
      <c r="Q6" s="3675"/>
      <c r="R6" s="1599">
        <f ca="1">结果表!O39</f>
        <v>134815</v>
      </c>
    </row>
    <row r="7" spans="1:18">
      <c r="A7" s="3673" t="str">
        <f>IF(项目基本情况!B9="市场价格","——",IF(项目基本情况!E8="已注销及未注销","抵押担保权已注销时的抵押价格","——"))</f>
        <v>——</v>
      </c>
      <c r="B7" s="3674"/>
      <c r="C7" s="3674"/>
      <c r="D7" s="3674"/>
      <c r="E7" s="3674"/>
      <c r="F7" s="3674"/>
      <c r="G7" s="3674"/>
      <c r="H7" s="3674"/>
      <c r="I7" s="3674"/>
      <c r="J7" s="3674"/>
      <c r="K7" s="3674"/>
      <c r="L7" s="3674"/>
      <c r="M7" s="3674"/>
      <c r="N7" s="3674"/>
      <c r="O7" s="3674"/>
      <c r="P7" s="3674"/>
      <c r="Q7" s="3675"/>
      <c r="R7" s="1599" t="str">
        <f>结果表!O40</f>
        <v>——</v>
      </c>
    </row>
    <row r="8" spans="1:18">
      <c r="A8" s="3673" t="str">
        <f>IF(项目基本情况!B9="市场价格","——",项目基本情况!E9)</f>
        <v>抵押净值</v>
      </c>
      <c r="B8" s="3674"/>
      <c r="C8" s="3674"/>
      <c r="D8" s="3674"/>
      <c r="E8" s="3674"/>
      <c r="F8" s="3674"/>
      <c r="G8" s="3674"/>
      <c r="H8" s="3674"/>
      <c r="I8" s="3674"/>
      <c r="J8" s="3674"/>
      <c r="K8" s="3674"/>
      <c r="L8" s="3674"/>
      <c r="M8" s="3674"/>
      <c r="N8" s="3674"/>
      <c r="O8" s="3674"/>
      <c r="P8" s="3674"/>
      <c r="Q8" s="3675"/>
      <c r="R8" s="1599">
        <f ca="1">结果表!O41</f>
        <v>57741</v>
      </c>
    </row>
    <row r="9" spans="1:18">
      <c r="A9" s="1600" t="s">
        <v>1559</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1546</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681" t="s">
        <v>1583</v>
      </c>
      <c r="B1" s="3681"/>
      <c r="C1" s="3681"/>
      <c r="D1" s="3681"/>
    </row>
    <row r="2" spans="1:4" ht="47.25" customHeight="1">
      <c r="A2" s="3682" t="str">
        <f>"1.权利限制："&amp;项目基本情况!L24&amp;"未设定租赁等其他他项权利。"</f>
        <v>1.权利限制：根据估价对象《不动产权证书》原件、《国有土地使用权》复印件，截至估价期日，估价对象抵押权未见登记。未设定租赁等其他他项权利。</v>
      </c>
      <c r="B2" s="3682"/>
      <c r="C2" s="3682"/>
      <c r="D2" s="3682"/>
    </row>
    <row r="3" spans="1:4" ht="48" customHeight="1">
      <c r="A3" s="368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81"/>
      <c r="C3" s="3681"/>
      <c r="D3" s="3681"/>
    </row>
    <row r="4" spans="1:4" ht="36.75" customHeight="1">
      <c r="A4" s="3681" t="str">
        <f>"3.估价规划限制条件：详见"&amp;项目基本情况!E21&amp;"。"</f>
        <v>3.估价规划限制条件：详见《建设工程规划许可证》[]、《出让合同》[]。</v>
      </c>
      <c r="B4" s="3681"/>
      <c r="C4" s="3681"/>
      <c r="D4" s="3681"/>
    </row>
    <row r="5" spans="1:4">
      <c r="A5" s="3680" t="s">
        <v>1584</v>
      </c>
      <c r="B5" s="3680"/>
      <c r="C5" s="3680"/>
      <c r="D5" s="3680"/>
    </row>
    <row r="6" spans="1:4">
      <c r="A6" s="3681" t="s">
        <v>1562</v>
      </c>
      <c r="B6" s="3681"/>
      <c r="C6" s="3681"/>
      <c r="D6" s="3681"/>
    </row>
    <row r="7" spans="1:4" ht="33" customHeight="1">
      <c r="A7" s="3681" t="s">
        <v>1857</v>
      </c>
      <c r="B7" s="3681"/>
      <c r="C7" s="3681"/>
      <c r="D7" s="3681"/>
    </row>
    <row r="8" spans="1:4" ht="32.25" customHeight="1">
      <c r="A8" s="368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81"/>
      <c r="C8" s="3681"/>
      <c r="D8" s="3681"/>
    </row>
    <row r="9" spans="1:4" ht="33.75" customHeight="1">
      <c r="A9" s="368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81"/>
      <c r="C9" s="3681"/>
      <c r="D9" s="3681"/>
    </row>
    <row r="10" spans="1:4">
      <c r="A10" s="3681" t="str">
        <f>IF(项目基本情况!B8="抵押","4.估价师所知悉的法定优先受偿款情况为：","——")</f>
        <v>4.估价师所知悉的法定优先受偿款情况为：</v>
      </c>
      <c r="B10" s="3681"/>
      <c r="C10" s="3681"/>
      <c r="D10" s="3681"/>
    </row>
    <row r="11" spans="1:4" ht="37.5" customHeight="1">
      <c r="A11" s="3683" t="str">
        <f>IF(项目基本情况!B8="抵押","（1）"&amp;CONCATENATE(项目基本情况!L24,项目基本情况!L25,项目基本情况!L26),"——")</f>
        <v>（1）根据估价对象《不动产权证书》原件、《国有土地使用权》复印件，截至估价期日，估价对象抵押权未见登记。</v>
      </c>
      <c r="B11" s="3683"/>
      <c r="C11" s="3683"/>
      <c r="D11" s="3683"/>
    </row>
    <row r="12" spans="1:4" ht="168" customHeight="1">
      <c r="A12" s="3680" t="s">
        <v>1586</v>
      </c>
      <c r="B12" s="3680"/>
      <c r="C12" s="3680"/>
      <c r="D12" s="3680"/>
    </row>
    <row r="13" spans="1:4">
      <c r="A13" s="3684" t="s">
        <v>2028</v>
      </c>
      <c r="B13" s="3684"/>
      <c r="C13" s="3684"/>
      <c r="D13" s="3684"/>
    </row>
    <row r="14" spans="1:4">
      <c r="A14" s="3683" t="str">
        <f ca="1">IF(项目基本情况!B8="抵押","综上，"&amp;结果表!K47,"——")</f>
        <v>综上，本次评估估价师知悉的法定优先受偿款为人民币1238万元整。</v>
      </c>
      <c r="B14" s="3683"/>
      <c r="C14" s="3683"/>
      <c r="D14" s="3683"/>
    </row>
    <row r="15" spans="1:4" ht="58.5" customHeight="1">
      <c r="A15" s="368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1"/>
      <c r="C15" s="3681"/>
      <c r="D15" s="3681"/>
    </row>
    <row r="16" spans="1:4" ht="70.5" customHeight="1">
      <c r="A16" s="368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1"/>
      <c r="C16" s="3681"/>
      <c r="D16" s="3681"/>
    </row>
    <row r="17" spans="1:4">
      <c r="A17" s="3681" t="s">
        <v>1984</v>
      </c>
      <c r="B17" s="3681"/>
      <c r="C17" s="3681"/>
      <c r="D17" s="3681"/>
    </row>
    <row r="18" spans="1:4">
      <c r="A18" s="3681" t="s">
        <v>1976</v>
      </c>
      <c r="B18" s="3681"/>
      <c r="C18" s="3681"/>
      <c r="D18" s="3681"/>
    </row>
    <row r="19" spans="1:4">
      <c r="A19" s="2347" t="s">
        <v>1977</v>
      </c>
      <c r="B19" s="2347" t="s">
        <v>1978</v>
      </c>
      <c r="C19" s="2347" t="s">
        <v>1979</v>
      </c>
      <c r="D19" s="2347" t="s">
        <v>1980</v>
      </c>
    </row>
    <row r="20" spans="1:4">
      <c r="A20" s="2347" t="str">
        <f>项目基本情况!B4</f>
        <v>土地估价师</v>
      </c>
      <c r="B20" s="2347">
        <f>项目基本情况!C4</f>
        <v>0</v>
      </c>
      <c r="C20" s="2349"/>
      <c r="D20" s="1587" t="s">
        <v>1985</v>
      </c>
    </row>
    <row r="21" spans="1:4">
      <c r="A21" s="2347" t="str">
        <f>项目基本情况!D4</f>
        <v>土地估价师</v>
      </c>
      <c r="B21" s="2347">
        <f>项目基本情况!E4</f>
        <v>0</v>
      </c>
      <c r="C21" s="2349"/>
      <c r="D21" s="1587" t="s">
        <v>1986</v>
      </c>
    </row>
    <row r="23" spans="1:4">
      <c r="A23" s="3681" t="s">
        <v>1981</v>
      </c>
      <c r="B23" s="3681"/>
      <c r="C23" s="3681"/>
      <c r="D23" s="3681"/>
    </row>
    <row r="24" spans="1:4">
      <c r="A24" s="2347" t="s">
        <v>1977</v>
      </c>
      <c r="B24" s="2347" t="s">
        <v>1982</v>
      </c>
      <c r="C24" s="2347" t="s">
        <v>1979</v>
      </c>
      <c r="D24" s="2347" t="s">
        <v>1980</v>
      </c>
    </row>
    <row r="25" spans="1:4">
      <c r="A25" s="2350" t="s">
        <v>1983</v>
      </c>
      <c r="B25" s="2347" t="s">
        <v>877</v>
      </c>
      <c r="C25" s="2349"/>
      <c r="D25" s="1587" t="s">
        <v>1986</v>
      </c>
    </row>
    <row r="29" spans="1:4">
      <c r="D29" s="2348" t="s">
        <v>1557</v>
      </c>
    </row>
    <row r="30" spans="1:4">
      <c r="D30" s="2351">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2" customWidth="1"/>
    <col min="2" max="16384" width="14.5" style="1060"/>
  </cols>
  <sheetData>
    <row r="1" spans="1:7" s="1058" customFormat="1" ht="18.75">
      <c r="A1" s="1057" t="s">
        <v>39</v>
      </c>
    </row>
    <row r="3" spans="1:7" ht="14.25">
      <c r="A3" s="1059" t="s">
        <v>40</v>
      </c>
      <c r="B3" s="1060" t="s">
        <v>41</v>
      </c>
      <c r="G3" s="1061"/>
    </row>
    <row r="4" spans="1:7">
      <c r="G4" s="1061"/>
    </row>
    <row r="5" spans="1:7" ht="14.25">
      <c r="A5" s="1063" t="s">
        <v>19</v>
      </c>
      <c r="B5" s="1060" t="s">
        <v>20</v>
      </c>
      <c r="G5" s="1061"/>
    </row>
    <row r="6" spans="1:7">
      <c r="G6" s="1061"/>
    </row>
    <row r="7" spans="1:7" ht="14.25">
      <c r="A7" s="1064" t="s">
        <v>21</v>
      </c>
      <c r="B7" s="1060" t="s">
        <v>22</v>
      </c>
      <c r="G7" s="1061"/>
    </row>
    <row r="8" spans="1:7">
      <c r="G8" s="1061"/>
    </row>
    <row r="9" spans="1:7">
      <c r="A9" s="1065" t="s">
        <v>23</v>
      </c>
      <c r="B9" s="1060" t="s">
        <v>24</v>
      </c>
    </row>
    <row r="11" spans="1:7">
      <c r="A11" s="1066" t="s">
        <v>25</v>
      </c>
      <c r="B11" s="1067" t="s">
        <v>809</v>
      </c>
    </row>
    <row r="13" spans="1:7">
      <c r="A13" s="1068" t="s">
        <v>26</v>
      </c>
    </row>
    <row r="15" spans="1:7" ht="14.25">
      <c r="A15" s="3692" t="s">
        <v>27</v>
      </c>
      <c r="B15" s="3693" t="s">
        <v>784</v>
      </c>
      <c r="C15" s="3689"/>
    </row>
    <row r="16" spans="1:7" ht="14.25">
      <c r="A16" s="3692"/>
      <c r="B16" s="3690" t="s">
        <v>28</v>
      </c>
      <c r="C16" s="1069" t="s">
        <v>27</v>
      </c>
    </row>
    <row r="17" spans="1:3" ht="14.25">
      <c r="A17" s="3692"/>
      <c r="B17" s="3690"/>
      <c r="C17" s="1069" t="s">
        <v>29</v>
      </c>
    </row>
    <row r="18" spans="1:3" ht="14.25">
      <c r="A18" s="3692"/>
      <c r="B18" s="3690"/>
      <c r="C18" s="1069" t="s">
        <v>30</v>
      </c>
    </row>
    <row r="19" spans="1:3" ht="14.25">
      <c r="A19" s="3692"/>
      <c r="B19" s="3688" t="s">
        <v>31</v>
      </c>
      <c r="C19" s="3689"/>
    </row>
    <row r="20" spans="1:3" ht="14.25">
      <c r="A20" s="1070" t="s">
        <v>32</v>
      </c>
      <c r="B20" s="1071"/>
      <c r="C20" s="1072"/>
    </row>
    <row r="21" spans="1:3" ht="14.25">
      <c r="A21" s="3691" t="s">
        <v>33</v>
      </c>
      <c r="B21" s="3688" t="s">
        <v>34</v>
      </c>
      <c r="C21" s="3689"/>
    </row>
    <row r="22" spans="1:3" ht="14.25">
      <c r="A22" s="3691"/>
      <c r="B22" s="3688" t="s">
        <v>35</v>
      </c>
      <c r="C22" s="3689"/>
    </row>
    <row r="23" spans="1:3" ht="14.25">
      <c r="A23" s="3691"/>
      <c r="B23" s="3688" t="s">
        <v>36</v>
      </c>
      <c r="C23" s="3689"/>
    </row>
    <row r="24" spans="1:3" ht="14.25">
      <c r="A24" s="3691"/>
      <c r="B24" s="3694" t="s">
        <v>37</v>
      </c>
      <c r="C24" s="1073" t="s">
        <v>775</v>
      </c>
    </row>
    <row r="25" spans="1:3" ht="14.25">
      <c r="A25" s="3691"/>
      <c r="B25" s="3695"/>
      <c r="C25" s="1073" t="s">
        <v>776</v>
      </c>
    </row>
    <row r="26" spans="1:3" ht="14.25">
      <c r="A26" s="3691"/>
      <c r="B26" s="3695"/>
      <c r="C26" s="1073" t="s">
        <v>777</v>
      </c>
    </row>
    <row r="27" spans="1:3" ht="14.25">
      <c r="A27" s="3691"/>
      <c r="B27" s="3695"/>
      <c r="C27" s="1073" t="s">
        <v>778</v>
      </c>
    </row>
    <row r="28" spans="1:3" ht="14.25">
      <c r="A28" s="3691"/>
      <c r="B28" s="3695"/>
      <c r="C28" s="1073" t="s">
        <v>779</v>
      </c>
    </row>
    <row r="29" spans="1:3" ht="14.25">
      <c r="A29" s="3691"/>
      <c r="B29" s="3695"/>
      <c r="C29" s="1073" t="s">
        <v>780</v>
      </c>
    </row>
    <row r="30" spans="1:3" ht="14.25">
      <c r="A30" s="3691"/>
      <c r="B30" s="3695"/>
      <c r="C30" s="1073" t="s">
        <v>781</v>
      </c>
    </row>
    <row r="31" spans="1:3" ht="14.25">
      <c r="A31" s="3691"/>
      <c r="B31" s="3695"/>
      <c r="C31" s="1073" t="s">
        <v>782</v>
      </c>
    </row>
    <row r="32" spans="1:3" ht="14.25">
      <c r="A32" s="3691"/>
      <c r="B32" s="3695"/>
      <c r="C32" s="1073" t="s">
        <v>1181</v>
      </c>
    </row>
    <row r="33" spans="1:3" ht="14.25">
      <c r="A33" s="3691"/>
      <c r="B33" s="3685" t="s">
        <v>1187</v>
      </c>
      <c r="C33" s="1073" t="s">
        <v>1182</v>
      </c>
    </row>
    <row r="34" spans="1:3" ht="14.25">
      <c r="A34" s="3691"/>
      <c r="B34" s="3686"/>
      <c r="C34" s="1078" t="s">
        <v>1183</v>
      </c>
    </row>
    <row r="35" spans="1:3" ht="14.25">
      <c r="A35" s="3691"/>
      <c r="B35" s="3686"/>
      <c r="C35" s="1079" t="s">
        <v>1184</v>
      </c>
    </row>
    <row r="36" spans="1:3" ht="14.25">
      <c r="A36" s="3691"/>
      <c r="B36" s="3686"/>
      <c r="C36" s="1079" t="s">
        <v>1185</v>
      </c>
    </row>
    <row r="37" spans="1:3" ht="14.25">
      <c r="A37" s="3691"/>
      <c r="B37" s="3687"/>
      <c r="C37" s="1080" t="s">
        <v>1186</v>
      </c>
    </row>
    <row r="38" spans="1:3">
      <c r="A38" s="1074" t="s">
        <v>783</v>
      </c>
    </row>
    <row r="41" spans="1:3">
      <c r="A41" s="1074" t="s">
        <v>42</v>
      </c>
    </row>
    <row r="42" spans="1:3" ht="14.25">
      <c r="A42" s="1075" t="s">
        <v>791</v>
      </c>
    </row>
    <row r="43" spans="1:3" ht="14.25">
      <c r="A43" s="1076" t="s">
        <v>43</v>
      </c>
    </row>
    <row r="44" spans="1:3" ht="14.25">
      <c r="A44" s="1075" t="s">
        <v>790</v>
      </c>
    </row>
    <row r="45" spans="1:3" ht="14.25">
      <c r="A45" s="1077" t="s">
        <v>792</v>
      </c>
    </row>
    <row r="46" spans="1:3" ht="14.25">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1431</v>
      </c>
      <c r="B2" s="2769">
        <f ca="1">TODAY()</f>
        <v>45183</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f ca="1">IF(C6&lt;B2,"已过期",1120050019)</f>
        <v>1120050019</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f ca="1">IF(C9&lt;B2,"已过期",1120060040)</f>
        <v>1120060040</v>
      </c>
      <c r="C9" s="2775">
        <v>45592</v>
      </c>
      <c r="D9" s="2783" t="s">
        <v>1443</v>
      </c>
      <c r="E9" s="2772">
        <f ca="1">IF(F9&lt;B2,"已过期",2004110096)</f>
        <v>2004110096</v>
      </c>
      <c r="F9" s="2774">
        <v>47118</v>
      </c>
      <c r="G9" s="2767"/>
    </row>
    <row r="10" spans="1:7" ht="20.25" customHeight="1">
      <c r="A10" s="2772" t="s">
        <v>1444</v>
      </c>
      <c r="B10" s="2772">
        <f ca="1">IF(C10&lt;B2,"已过期",1120100036)</f>
        <v>1120100036</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2230</v>
      </c>
      <c r="B12" s="2772">
        <f ca="1">IF(C12&lt;B2,"已过期",1120040230)</f>
        <v>1120040230</v>
      </c>
      <c r="C12" s="2775">
        <v>45937</v>
      </c>
      <c r="D12" s="2783" t="s">
        <v>2231</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f ca="1">IF(C14&lt;B2,"已过期",1120020033)</f>
        <v>1120020033</v>
      </c>
      <c r="C14" s="2775">
        <v>45375</v>
      </c>
      <c r="D14" s="2783" t="s">
        <v>1447</v>
      </c>
      <c r="E14" s="2772">
        <f ca="1">IF(F14&lt;B2,"已过期",2000110137)</f>
        <v>2000110137</v>
      </c>
      <c r="F14" s="2774">
        <v>46387</v>
      </c>
      <c r="G14" s="2767"/>
    </row>
    <row r="15" spans="1:7" ht="20.25" customHeight="1">
      <c r="A15" s="2772" t="s">
        <v>2241</v>
      </c>
      <c r="B15" s="2772" t="str">
        <f ca="1">IF(C15&lt;B2,"已过期",1119980106)</f>
        <v>已过期</v>
      </c>
      <c r="C15" s="2775">
        <v>44969</v>
      </c>
      <c r="D15" s="2783"/>
      <c r="E15" s="2772"/>
      <c r="F15" s="2772"/>
      <c r="G15" s="2767"/>
    </row>
    <row r="16" spans="1:7" ht="20.25" customHeight="1">
      <c r="A16" s="2771" t="s">
        <v>2442</v>
      </c>
      <c r="B16" s="2771">
        <v>1120210056</v>
      </c>
      <c r="C16" s="2775">
        <v>45410</v>
      </c>
      <c r="D16" s="2783"/>
      <c r="E16" s="2772"/>
      <c r="F16" s="2772"/>
      <c r="G16" s="2767"/>
    </row>
    <row r="17" spans="1:7" s="2585" customFormat="1" ht="20.25" customHeight="1">
      <c r="A17" s="2771" t="s">
        <v>1571</v>
      </c>
      <c r="B17" s="2771" t="s">
        <v>1571</v>
      </c>
      <c r="C17" s="2775"/>
      <c r="D17" s="2784" t="s">
        <v>1571</v>
      </c>
      <c r="E17" s="2772" t="s">
        <v>1571</v>
      </c>
      <c r="F17" s="2774"/>
      <c r="G17" s="2776"/>
    </row>
    <row r="18" spans="1:7" ht="20.25" customHeight="1">
      <c r="A18" s="3699" t="s">
        <v>1448</v>
      </c>
      <c r="B18" s="3700"/>
      <c r="C18" s="3700"/>
      <c r="D18" s="3700"/>
      <c r="E18" s="3700"/>
      <c r="F18" s="3700"/>
      <c r="G18" s="2776"/>
    </row>
    <row r="19" spans="1:7" ht="20.25" customHeight="1">
      <c r="A19" s="3696" t="s">
        <v>1449</v>
      </c>
      <c r="B19" s="3696"/>
      <c r="C19" s="3697"/>
      <c r="D19" s="3698" t="s">
        <v>1450</v>
      </c>
      <c r="E19" s="3696"/>
      <c r="F19" s="3696"/>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2443</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27" priority="151">
      <formula>AND($C5-TODAY()&lt;30,TODAY()&lt;$C5)</formula>
    </cfRule>
  </conditionalFormatting>
  <conditionalFormatting sqref="C21">
    <cfRule type="expression" dxfId="226" priority="150">
      <formula>AND($C21-TODAY()&lt;30,TODAY()&lt;$C21)</formula>
    </cfRule>
  </conditionalFormatting>
  <conditionalFormatting sqref="C21 F4 C5 C13">
    <cfRule type="cellIs" dxfId="225" priority="152" stopIfTrue="1" operator="lessThan">
      <formula>$B$2</formula>
    </cfRule>
  </conditionalFormatting>
  <conditionalFormatting sqref="F5 F7 F9">
    <cfRule type="cellIs" dxfId="224" priority="146" stopIfTrue="1" operator="lessThan">
      <formula>$B$2</formula>
    </cfRule>
  </conditionalFormatting>
  <conditionalFormatting sqref="C17:D17">
    <cfRule type="expression" dxfId="223" priority="144">
      <formula>AND($C17-TODAY()&lt;30,TODAY()&lt;$C17)</formula>
    </cfRule>
  </conditionalFormatting>
  <conditionalFormatting sqref="F6 F8 F10 C17:D17">
    <cfRule type="cellIs" dxfId="222" priority="145" stopIfTrue="1" operator="lessThan">
      <formula>$B$2</formula>
    </cfRule>
  </conditionalFormatting>
  <conditionalFormatting sqref="F14">
    <cfRule type="cellIs" dxfId="221" priority="116" stopIfTrue="1" operator="lessThan">
      <formula>$B$2</formula>
    </cfRule>
  </conditionalFormatting>
  <conditionalFormatting sqref="F13">
    <cfRule type="cellIs" dxfId="220" priority="115" stopIfTrue="1" operator="lessThan">
      <formula>$B$2</formula>
    </cfRule>
  </conditionalFormatting>
  <conditionalFormatting sqref="B4:B11 E4:E11 E13:E16 B13:B16">
    <cfRule type="cellIs" dxfId="219" priority="113" stopIfTrue="1" operator="equal">
      <formula>"已过期"</formula>
    </cfRule>
  </conditionalFormatting>
  <conditionalFormatting sqref="C6">
    <cfRule type="expression" dxfId="218" priority="84">
      <formula>AND($C6-TODAY()&lt;30,TODAY()&lt;$C6)</formula>
    </cfRule>
  </conditionalFormatting>
  <conditionalFormatting sqref="C6">
    <cfRule type="cellIs" dxfId="217" priority="85" stopIfTrue="1" operator="lessThan">
      <formula>$B$2</formula>
    </cfRule>
  </conditionalFormatting>
  <conditionalFormatting sqref="C11 C15:C16">
    <cfRule type="expression" dxfId="216" priority="82">
      <formula>AND($C11-TODAY()&lt;30,TODAY()&lt;$C11)</formula>
    </cfRule>
  </conditionalFormatting>
  <conditionalFormatting sqref="C11 C15:C16">
    <cfRule type="cellIs" dxfId="215" priority="83" stopIfTrue="1" operator="lessThan">
      <formula>$B$2</formula>
    </cfRule>
  </conditionalFormatting>
  <conditionalFormatting sqref="F11">
    <cfRule type="cellIs" dxfId="214" priority="81" stopIfTrue="1" operator="lessThan">
      <formula>$B$2</formula>
    </cfRule>
  </conditionalFormatting>
  <conditionalFormatting sqref="C14">
    <cfRule type="expression" dxfId="213" priority="62">
      <formula>AND($C14-TODAY()&lt;30,TODAY()&lt;$C14)</formula>
    </cfRule>
  </conditionalFormatting>
  <conditionalFormatting sqref="C14">
    <cfRule type="cellIs" dxfId="212" priority="63" stopIfTrue="1" operator="lessThan">
      <formula>$B$2</formula>
    </cfRule>
  </conditionalFormatting>
  <conditionalFormatting sqref="C12">
    <cfRule type="cellIs" dxfId="211" priority="56" stopIfTrue="1" operator="lessThan">
      <formula>$B$2</formula>
    </cfRule>
  </conditionalFormatting>
  <conditionalFormatting sqref="C12">
    <cfRule type="expression" dxfId="210" priority="53">
      <formula>AND($C12-TODAY()&lt;30,TODAY()&lt;$C12)</formula>
    </cfRule>
  </conditionalFormatting>
  <conditionalFormatting sqref="C12">
    <cfRule type="cellIs" dxfId="209" priority="54" stopIfTrue="1" operator="lessThan">
      <formula>$B$2</formula>
    </cfRule>
  </conditionalFormatting>
  <conditionalFormatting sqref="B12">
    <cfRule type="cellIs" dxfId="208" priority="50" stopIfTrue="1" operator="equal">
      <formula>"已过期"</formula>
    </cfRule>
  </conditionalFormatting>
  <conditionalFormatting sqref="E12">
    <cfRule type="cellIs" dxfId="207" priority="40" stopIfTrue="1" operator="equal">
      <formula>"已过期"</formula>
    </cfRule>
  </conditionalFormatting>
  <conditionalFormatting sqref="F12">
    <cfRule type="cellIs" dxfId="206" priority="39" stopIfTrue="1" operator="lessThan">
      <formula>$B$2</formula>
    </cfRule>
  </conditionalFormatting>
  <conditionalFormatting sqref="C9:C10">
    <cfRule type="expression" dxfId="205" priority="35">
      <formula>AND($C9-TODAY()&lt;30,TODAY()&lt;$C9)</formula>
    </cfRule>
  </conditionalFormatting>
  <conditionalFormatting sqref="C9:C10">
    <cfRule type="cellIs" dxfId="204" priority="36" stopIfTrue="1" operator="lessThan">
      <formula>$B$2</formula>
    </cfRule>
  </conditionalFormatting>
  <conditionalFormatting sqref="F22">
    <cfRule type="cellIs" dxfId="203" priority="15" stopIfTrue="1" operator="lessThan">
      <formula>$B$2</formula>
    </cfRule>
  </conditionalFormatting>
  <conditionalFormatting sqref="F22">
    <cfRule type="expression" dxfId="202" priority="16">
      <formula>AND($E22-TODAY()&lt;30,TODAY()&lt;$E22)</formula>
    </cfRule>
  </conditionalFormatting>
  <conditionalFormatting sqref="C7:C8">
    <cfRule type="expression" dxfId="201" priority="7">
      <formula>AND($C7-TODAY()&lt;30,TODAY()&lt;$C7)</formula>
    </cfRule>
  </conditionalFormatting>
  <conditionalFormatting sqref="C7:C8">
    <cfRule type="cellIs" dxfId="200" priority="8" stopIfTrue="1" operator="lessThan">
      <formula>$B$2</formula>
    </cfRule>
  </conditionalFormatting>
  <conditionalFormatting sqref="C7:C8">
    <cfRule type="expression" dxfId="199" priority="5">
      <formula>AND($C7-TODAY()&lt;30,TODAY()&lt;$C7)</formula>
    </cfRule>
  </conditionalFormatting>
  <conditionalFormatting sqref="C7:C8">
    <cfRule type="cellIs" dxfId="198" priority="6" stopIfTrue="1" operator="lessThan">
      <formula>$B$2</formula>
    </cfRule>
  </conditionalFormatting>
  <conditionalFormatting sqref="C4">
    <cfRule type="expression" dxfId="197" priority="3">
      <formula>AND($C4-TODAY()&lt;30,TODAY()&lt;$C4)</formula>
    </cfRule>
  </conditionalFormatting>
  <conditionalFormatting sqref="C4">
    <cfRule type="cellIs" dxfId="196" priority="4" stopIfTrue="1" operator="lessThan">
      <formula>$B$2</formula>
    </cfRule>
  </conditionalFormatting>
  <conditionalFormatting sqref="F21">
    <cfRule type="cellIs" dxfId="195" priority="1" stopIfTrue="1" operator="lessThan">
      <formula>$B$2</formula>
    </cfRule>
  </conditionalFormatting>
  <conditionalFormatting sqref="F21">
    <cfRule type="expression" dxfId="194" priority="2">
      <formula>AND($E21-TODAY()&lt;30,TODAY()&lt;$E21)</formula>
    </cfRule>
  </conditionalFormatting>
  <pageMargins left="0.7" right="0.7" top="0.75" bottom="0.75" header="0.3" footer="0.3"/>
  <pageSetup paperSize="9" scale="9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2" customWidth="1"/>
    <col min="2" max="2" width="18.875" style="1060"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0" customWidth="1"/>
    <col min="25" max="25" width="7.25" style="1060" customWidth="1"/>
    <col min="26" max="16384" width="9" style="1060"/>
  </cols>
  <sheetData>
    <row r="1" spans="1:23" s="1081" customFormat="1" ht="40.5">
      <c r="A1" s="928" t="s">
        <v>794</v>
      </c>
      <c r="B1" s="3" t="s">
        <v>99</v>
      </c>
      <c r="C1" s="1366" t="s">
        <v>1237</v>
      </c>
      <c r="D1" s="2196" t="s">
        <v>2755</v>
      </c>
      <c r="E1" s="4" t="s">
        <v>100</v>
      </c>
      <c r="F1" s="4" t="s">
        <v>101</v>
      </c>
      <c r="G1" s="4" t="s">
        <v>102</v>
      </c>
      <c r="H1" s="4" t="s">
        <v>103</v>
      </c>
      <c r="I1" s="4" t="s">
        <v>104</v>
      </c>
      <c r="J1" s="4" t="s">
        <v>105</v>
      </c>
      <c r="K1" s="4" t="s">
        <v>106</v>
      </c>
      <c r="L1" s="4" t="s">
        <v>107</v>
      </c>
      <c r="M1" s="4" t="s">
        <v>108</v>
      </c>
      <c r="N1" s="4" t="s">
        <v>109</v>
      </c>
      <c r="O1" s="4" t="s">
        <v>110</v>
      </c>
      <c r="P1" s="4" t="s">
        <v>111</v>
      </c>
      <c r="Q1" s="2196" t="s">
        <v>1828</v>
      </c>
      <c r="R1" s="2195" t="s">
        <v>1822</v>
      </c>
      <c r="S1" s="4" t="s">
        <v>112</v>
      </c>
      <c r="T1" s="5" t="s">
        <v>113</v>
      </c>
      <c r="U1" s="4" t="s">
        <v>114</v>
      </c>
      <c r="V1" s="4" t="s">
        <v>115</v>
      </c>
      <c r="W1" s="965" t="s">
        <v>811</v>
      </c>
    </row>
    <row r="2" spans="1:23">
      <c r="A2" s="6" t="s">
        <v>47</v>
      </c>
      <c r="B2" s="6" t="s">
        <v>116</v>
      </c>
      <c r="C2" s="1367" t="s">
        <v>1238</v>
      </c>
      <c r="D2" s="7" t="s">
        <v>48</v>
      </c>
      <c r="E2" s="7" t="s">
        <v>95</v>
      </c>
      <c r="F2" s="7" t="s">
        <v>96</v>
      </c>
      <c r="G2" s="4">
        <v>20</v>
      </c>
      <c r="H2" s="7" t="s">
        <v>97</v>
      </c>
      <c r="I2" s="7" t="s">
        <v>2741</v>
      </c>
      <c r="J2" s="7" t="s">
        <v>98</v>
      </c>
      <c r="K2" s="7" t="s">
        <v>49</v>
      </c>
      <c r="L2" s="7" t="s">
        <v>49</v>
      </c>
      <c r="M2" s="7" t="s">
        <v>49</v>
      </c>
      <c r="N2" s="7" t="s">
        <v>49</v>
      </c>
      <c r="O2" s="7" t="s">
        <v>49</v>
      </c>
      <c r="P2" s="966" t="s">
        <v>817</v>
      </c>
      <c r="Q2" s="7" t="s">
        <v>49</v>
      </c>
      <c r="R2" s="966" t="s">
        <v>1823</v>
      </c>
      <c r="S2" s="7" t="s">
        <v>49</v>
      </c>
      <c r="T2" s="7" t="s">
        <v>50</v>
      </c>
      <c r="U2" s="7" t="s">
        <v>49</v>
      </c>
      <c r="V2" s="7" t="s">
        <v>51</v>
      </c>
      <c r="W2" s="7" t="s">
        <v>812</v>
      </c>
    </row>
    <row r="3" spans="1:23">
      <c r="A3" s="6" t="s">
        <v>52</v>
      </c>
      <c r="B3" s="8" t="s">
        <v>117</v>
      </c>
      <c r="C3" s="1368" t="s">
        <v>1239</v>
      </c>
      <c r="D3" s="7" t="s">
        <v>53</v>
      </c>
      <c r="E3" s="7" t="s">
        <v>3</v>
      </c>
      <c r="F3" s="7" t="s">
        <v>54</v>
      </c>
      <c r="G3" s="7">
        <v>40</v>
      </c>
      <c r="H3" s="7" t="s">
        <v>55</v>
      </c>
      <c r="I3" s="7" t="s">
        <v>2742</v>
      </c>
      <c r="J3" s="7" t="s">
        <v>56</v>
      </c>
      <c r="K3" s="7" t="s">
        <v>57</v>
      </c>
      <c r="L3" s="7" t="s">
        <v>57</v>
      </c>
      <c r="M3" s="7" t="s">
        <v>57</v>
      </c>
      <c r="N3" s="7" t="s">
        <v>57</v>
      </c>
      <c r="O3" s="7" t="s">
        <v>57</v>
      </c>
      <c r="P3" s="966" t="s">
        <v>548</v>
      </c>
      <c r="Q3" s="7" t="s">
        <v>57</v>
      </c>
      <c r="R3" s="966" t="s">
        <v>1824</v>
      </c>
      <c r="S3" s="7" t="s">
        <v>57</v>
      </c>
      <c r="T3" s="7" t="s">
        <v>58</v>
      </c>
      <c r="U3" s="7" t="s">
        <v>57</v>
      </c>
      <c r="V3" s="7" t="s">
        <v>59</v>
      </c>
      <c r="W3" s="7" t="s">
        <v>813</v>
      </c>
    </row>
    <row r="4" spans="1:23">
      <c r="A4" s="6" t="s">
        <v>60</v>
      </c>
      <c r="B4" s="6" t="s">
        <v>118</v>
      </c>
      <c r="C4" s="1367" t="s">
        <v>1240</v>
      </c>
      <c r="D4" s="7" t="s">
        <v>1512</v>
      </c>
      <c r="E4" s="7" t="s">
        <v>61</v>
      </c>
      <c r="F4" s="7" t="s">
        <v>62</v>
      </c>
      <c r="G4" s="7">
        <v>50</v>
      </c>
      <c r="H4" s="7" t="s">
        <v>63</v>
      </c>
      <c r="I4" s="7" t="s">
        <v>2743</v>
      </c>
      <c r="K4" s="7" t="s">
        <v>64</v>
      </c>
      <c r="L4" s="7" t="s">
        <v>64</v>
      </c>
      <c r="M4" s="7" t="s">
        <v>64</v>
      </c>
      <c r="N4" s="7" t="s">
        <v>64</v>
      </c>
      <c r="O4" s="7" t="s">
        <v>64</v>
      </c>
      <c r="P4" s="966" t="s">
        <v>700</v>
      </c>
      <c r="Q4" s="7" t="s">
        <v>64</v>
      </c>
      <c r="R4" s="966" t="s">
        <v>1825</v>
      </c>
      <c r="S4" s="7" t="s">
        <v>64</v>
      </c>
      <c r="T4" s="7" t="s">
        <v>65</v>
      </c>
      <c r="U4" s="7" t="s">
        <v>64</v>
      </c>
      <c r="W4" s="7" t="s">
        <v>814</v>
      </c>
    </row>
    <row r="5" spans="1:23">
      <c r="A5" s="6" t="s">
        <v>66</v>
      </c>
      <c r="B5" s="6" t="s">
        <v>119</v>
      </c>
      <c r="C5" s="1367" t="s">
        <v>1241</v>
      </c>
      <c r="F5" s="7" t="s">
        <v>67</v>
      </c>
      <c r="G5" s="7">
        <v>70</v>
      </c>
      <c r="H5" s="7" t="s">
        <v>44</v>
      </c>
      <c r="I5" s="7" t="s">
        <v>2744</v>
      </c>
      <c r="K5" s="7" t="s">
        <v>68</v>
      </c>
      <c r="L5" s="7" t="s">
        <v>68</v>
      </c>
      <c r="M5" s="7" t="s">
        <v>68</v>
      </c>
      <c r="N5" s="7" t="s">
        <v>68</v>
      </c>
      <c r="O5" s="7" t="s">
        <v>68</v>
      </c>
      <c r="P5" s="966" t="s">
        <v>495</v>
      </c>
      <c r="Q5" s="7" t="s">
        <v>68</v>
      </c>
      <c r="R5" s="966" t="s">
        <v>1826</v>
      </c>
      <c r="S5" s="7" t="s">
        <v>68</v>
      </c>
      <c r="T5" s="7" t="s">
        <v>69</v>
      </c>
      <c r="U5" s="7" t="s">
        <v>68</v>
      </c>
      <c r="W5" s="7" t="s">
        <v>815</v>
      </c>
    </row>
    <row r="6" spans="1:23">
      <c r="A6" s="6" t="s">
        <v>70</v>
      </c>
      <c r="B6" s="1047" t="s">
        <v>1176</v>
      </c>
      <c r="C6" s="1369" t="s">
        <v>1242</v>
      </c>
      <c r="F6" s="7" t="s">
        <v>45</v>
      </c>
      <c r="H6" s="7" t="s">
        <v>46</v>
      </c>
      <c r="I6" s="7" t="s">
        <v>2745</v>
      </c>
      <c r="K6" s="7" t="s">
        <v>71</v>
      </c>
      <c r="L6" s="7" t="s">
        <v>71</v>
      </c>
      <c r="M6" s="7" t="s">
        <v>71</v>
      </c>
      <c r="N6" s="7" t="s">
        <v>71</v>
      </c>
      <c r="O6" s="7" t="s">
        <v>71</v>
      </c>
      <c r="P6" s="966" t="s">
        <v>818</v>
      </c>
      <c r="Q6" s="7" t="s">
        <v>71</v>
      </c>
      <c r="R6" s="966" t="s">
        <v>1827</v>
      </c>
      <c r="S6" s="7" t="s">
        <v>71</v>
      </c>
      <c r="T6" s="7"/>
      <c r="U6" s="7" t="s">
        <v>71</v>
      </c>
      <c r="W6" s="7" t="s">
        <v>816</v>
      </c>
    </row>
    <row r="7" spans="1:23">
      <c r="A7" s="6" t="s">
        <v>72</v>
      </c>
      <c r="B7" s="6" t="s">
        <v>73</v>
      </c>
      <c r="C7" s="1367" t="s">
        <v>1243</v>
      </c>
      <c r="F7" s="7" t="s">
        <v>120</v>
      </c>
      <c r="H7" s="7" t="s">
        <v>74</v>
      </c>
      <c r="I7" s="7" t="s">
        <v>2746</v>
      </c>
    </row>
    <row r="8" spans="1:23">
      <c r="A8" s="6" t="s">
        <v>75</v>
      </c>
      <c r="B8" s="6" t="s">
        <v>76</v>
      </c>
      <c r="C8" s="1367" t="s">
        <v>1244</v>
      </c>
      <c r="F8" s="7" t="s">
        <v>121</v>
      </c>
      <c r="H8" s="3336" t="s">
        <v>2740</v>
      </c>
      <c r="I8" s="7" t="s">
        <v>2747</v>
      </c>
    </row>
    <row r="9" spans="1:23">
      <c r="A9" s="6" t="s">
        <v>77</v>
      </c>
      <c r="B9" s="6" t="s">
        <v>122</v>
      </c>
      <c r="C9" s="1367" t="s">
        <v>1245</v>
      </c>
      <c r="F9" s="7" t="s">
        <v>78</v>
      </c>
      <c r="H9" s="7"/>
      <c r="I9" s="7" t="s">
        <v>2748</v>
      </c>
    </row>
    <row r="10" spans="1:23">
      <c r="A10" s="6" t="s">
        <v>79</v>
      </c>
      <c r="B10" s="6" t="s">
        <v>123</v>
      </c>
      <c r="C10" s="1367" t="s">
        <v>1246</v>
      </c>
      <c r="F10" s="3336" t="s">
        <v>2739</v>
      </c>
      <c r="I10" s="7" t="s">
        <v>2749</v>
      </c>
    </row>
    <row r="11" spans="1:23">
      <c r="A11" s="6" t="s">
        <v>80</v>
      </c>
      <c r="B11" s="6" t="s">
        <v>124</v>
      </c>
      <c r="C11" s="1367" t="s">
        <v>1247</v>
      </c>
      <c r="I11" s="7" t="s">
        <v>2750</v>
      </c>
    </row>
    <row r="12" spans="1:23">
      <c r="A12" s="6" t="s">
        <v>81</v>
      </c>
      <c r="B12" s="6" t="s">
        <v>125</v>
      </c>
      <c r="C12" s="1367" t="s">
        <v>1248</v>
      </c>
      <c r="I12" s="7" t="s">
        <v>2751</v>
      </c>
    </row>
    <row r="13" spans="1:23">
      <c r="A13" s="6" t="s">
        <v>82</v>
      </c>
      <c r="B13" s="6" t="s">
        <v>126</v>
      </c>
      <c r="C13" s="1367" t="s">
        <v>1249</v>
      </c>
      <c r="I13" s="7" t="s">
        <v>2752</v>
      </c>
    </row>
    <row r="14" spans="1:23">
      <c r="A14" s="6" t="s">
        <v>83</v>
      </c>
      <c r="B14" s="6" t="s">
        <v>127</v>
      </c>
      <c r="C14" s="1370" t="s">
        <v>1421</v>
      </c>
      <c r="I14" s="7" t="s">
        <v>2753</v>
      </c>
    </row>
    <row r="15" spans="1:23">
      <c r="A15" s="6" t="s">
        <v>84</v>
      </c>
      <c r="B15" s="6" t="s">
        <v>1214</v>
      </c>
      <c r="C15" s="1370"/>
      <c r="I15" s="7" t="s">
        <v>2754</v>
      </c>
    </row>
    <row r="16" spans="1:23">
      <c r="A16" s="6" t="s">
        <v>85</v>
      </c>
      <c r="B16" s="6" t="s">
        <v>1215</v>
      </c>
      <c r="C16" s="1370"/>
    </row>
    <row r="17" spans="1:3">
      <c r="A17" s="6" t="s">
        <v>86</v>
      </c>
      <c r="B17" s="6" t="s">
        <v>1216</v>
      </c>
      <c r="C17" s="1370"/>
    </row>
    <row r="18" spans="1:3">
      <c r="A18" s="6" t="s">
        <v>87</v>
      </c>
      <c r="B18" s="2546" t="s">
        <v>2207</v>
      </c>
      <c r="C18" s="1370"/>
    </row>
    <row r="19" spans="1:3">
      <c r="A19" s="6" t="s">
        <v>88</v>
      </c>
      <c r="B19" s="2546" t="s">
        <v>2214</v>
      </c>
      <c r="C19" s="1370"/>
    </row>
    <row r="20" spans="1:3">
      <c r="A20" s="6" t="s">
        <v>89</v>
      </c>
      <c r="B20" s="2546" t="s">
        <v>2254</v>
      </c>
      <c r="C20" s="1370"/>
    </row>
    <row r="21" spans="1:3">
      <c r="A21" s="6" t="s">
        <v>90</v>
      </c>
      <c r="B21" s="6" t="s">
        <v>2434</v>
      </c>
      <c r="C21" s="1370"/>
    </row>
    <row r="22" spans="1:3">
      <c r="A22" s="6" t="s">
        <v>91</v>
      </c>
      <c r="B22" s="6" t="s">
        <v>1177</v>
      </c>
      <c r="C22" s="1370"/>
    </row>
    <row r="23" spans="1:3">
      <c r="A23" s="6" t="s">
        <v>92</v>
      </c>
      <c r="B23" s="6" t="s">
        <v>1177</v>
      </c>
      <c r="C23" s="1370"/>
    </row>
    <row r="24" spans="1:3">
      <c r="A24" s="6" t="s">
        <v>9</v>
      </c>
      <c r="B24" s="6" t="s">
        <v>1177</v>
      </c>
      <c r="C24" s="1370"/>
    </row>
    <row r="25" spans="1:3">
      <c r="A25" s="6" t="s">
        <v>93</v>
      </c>
      <c r="B25" s="6" t="s">
        <v>1177</v>
      </c>
      <c r="C25" s="1370"/>
    </row>
    <row r="26" spans="1:3">
      <c r="A26" s="6" t="s">
        <v>94</v>
      </c>
      <c r="B26" s="6" t="s">
        <v>1177</v>
      </c>
      <c r="C26" s="1370"/>
    </row>
    <row r="27" spans="1:3">
      <c r="A27" s="6" t="s">
        <v>1177</v>
      </c>
      <c r="B27" s="6" t="s">
        <v>1177</v>
      </c>
      <c r="C27" s="1370"/>
    </row>
    <row r="28" spans="1:3">
      <c r="A28" s="6" t="s">
        <v>1177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1504</v>
      </c>
      <c r="B52" s="1558" t="s">
        <v>1505</v>
      </c>
      <c r="C52" s="1556" t="s">
        <v>1506</v>
      </c>
      <c r="D52" s="1556" t="s">
        <v>1507</v>
      </c>
      <c r="E52" s="1557"/>
    </row>
    <row r="53" spans="1:5">
      <c r="A53" s="3701" t="s">
        <v>1508</v>
      </c>
      <c r="B53" s="1556" t="s">
        <v>1514</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9月6日，在规划利用条件下、设定土地开发程度为红线外“七通”、宗地内场地，设定用途为，剩余土地使用年限为69.95的出让国有建设用地使用权价格。</v>
      </c>
      <c r="D53" s="1557"/>
      <c r="E53" s="1557"/>
    </row>
    <row r="54" spans="1:5">
      <c r="A54" s="3701"/>
      <c r="B54" s="1556" t="s">
        <v>1515</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01"/>
      <c r="B55" s="1556" t="s">
        <v>1509</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01"/>
      <c r="B56" s="1556" t="s">
        <v>1510</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01"/>
      <c r="B57" s="1556" t="s">
        <v>1511</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1567</v>
      </c>
      <c r="B58" s="1556" t="s">
        <v>1568</v>
      </c>
      <c r="C58" s="9" t="s">
        <v>1569</v>
      </c>
      <c r="D58" s="1187"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比较法案例</vt:lpstr>
      <vt:lpstr>车位比较法</vt:lpstr>
      <vt:lpstr>Sheet1</vt:lpstr>
      <vt:lpstr>土地案例</vt:lpstr>
      <vt:lpstr>Sheet3</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2017-03-09T08:11:21Z</cp:lastPrinted>
  <dcterms:created xsi:type="dcterms:W3CDTF">2015-07-13T07:17:23Z</dcterms:created>
  <dcterms:modified xsi:type="dcterms:W3CDTF">2023-09-14T08:54:32Z</dcterms:modified>
</cp:coreProperties>
</file>