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75" yWindow="555" windowWidth="20730"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土地级别" sheetId="8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扣除出让金结果" sheetId="81"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租金案例" sheetId="78"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成交案例" sheetId="77"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5">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D4" i="73" l="1"/>
  <c r="E20" i="43"/>
  <c r="M28" i="43"/>
  <c r="G20" i="43"/>
  <c r="C20" i="43"/>
  <c r="C29" i="43"/>
  <c r="E29" i="43"/>
  <c r="C6" i="68"/>
  <c r="C7" i="68"/>
  <c r="D9" i="68"/>
  <c r="C9" i="68"/>
  <c r="D10" i="68"/>
  <c r="C10" i="68"/>
  <c r="C8" i="68"/>
  <c r="C5" i="68"/>
  <c r="C20" i="68"/>
  <c r="D5" i="73"/>
  <c r="K1"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F31"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J7" i="9"/>
  <c r="R3" i="78"/>
  <c r="P50" i="78"/>
  <c r="P37" i="78"/>
  <c r="P26" i="78"/>
  <c r="P14" i="78"/>
  <c r="P3" i="78"/>
  <c r="B55" i="1"/>
  <c r="A6" i="1"/>
  <c r="G1" i="15"/>
  <c r="D3" i="4"/>
  <c r="C1" i="73"/>
  <c r="L1" i="73"/>
  <c r="B2" i="1"/>
  <c r="C42" i="1"/>
  <c r="F19" i="6"/>
  <c r="E19" i="6"/>
  <c r="K6" i="1"/>
  <c r="M6" i="1"/>
  <c r="BB13" i="3"/>
  <c r="BA13" i="3"/>
  <c r="BA5" i="3"/>
  <c r="E27" i="6"/>
  <c r="F28" i="6"/>
  <c r="G28" i="6"/>
  <c r="E28" i="6"/>
  <c r="K19" i="6"/>
  <c r="S6" i="1"/>
  <c r="T6" i="1"/>
  <c r="J1" i="73"/>
  <c r="B22" i="1"/>
  <c r="E1" i="73"/>
  <c r="F23" i="15"/>
  <c r="C28" i="15"/>
  <c r="D15" i="4"/>
  <c r="F6" i="1"/>
  <c r="J51" i="15"/>
  <c r="M47" i="15"/>
  <c r="AE7" i="1"/>
  <c r="F13" i="81"/>
  <c r="C7" i="21"/>
  <c r="C58" i="21"/>
  <c r="D58" i="21"/>
  <c r="E58" i="21"/>
  <c r="F58" i="21"/>
  <c r="G58" i="21"/>
  <c r="H58" i="21"/>
  <c r="I58" i="21"/>
  <c r="J58" i="21"/>
  <c r="K58" i="21"/>
  <c r="L58" i="21"/>
  <c r="M58" i="21"/>
  <c r="N58" i="21"/>
  <c r="O58" i="21"/>
  <c r="F7" i="21"/>
  <c r="AA7" i="21"/>
  <c r="C33" i="21"/>
  <c r="F33" i="21"/>
  <c r="AA33" i="21"/>
  <c r="R48" i="21"/>
  <c r="H7" i="21"/>
  <c r="AB7" i="21"/>
  <c r="H33" i="21"/>
  <c r="AB33" i="21"/>
  <c r="T48" i="21"/>
  <c r="J7" i="21"/>
  <c r="AC7" i="21"/>
  <c r="J33" i="21"/>
  <c r="AC33" i="21"/>
  <c r="V48" i="21"/>
  <c r="R49" i="21"/>
  <c r="C49" i="21"/>
  <c r="D13" i="81"/>
  <c r="D14" i="81"/>
  <c r="AZ13" i="3"/>
  <c r="AZ5" i="3"/>
  <c r="E3" i="6"/>
  <c r="C13" i="81"/>
  <c r="D15" i="81"/>
  <c r="D16" i="81"/>
  <c r="D17" i="81"/>
  <c r="D18" i="81"/>
  <c r="G13" i="81"/>
  <c r="E15" i="4"/>
  <c r="I20" i="43"/>
  <c r="G19" i="43"/>
  <c r="C19" i="43"/>
  <c r="G3" i="43"/>
  <c r="E22" i="43"/>
  <c r="G22" i="43"/>
  <c r="G2" i="43"/>
  <c r="F22" i="43"/>
  <c r="D22" i="43"/>
  <c r="C21" i="43"/>
  <c r="I2" i="43"/>
  <c r="M2" i="43"/>
  <c r="M3" i="43"/>
  <c r="C6" i="43"/>
  <c r="C16" i="43"/>
  <c r="C5" i="43"/>
  <c r="N2" i="43"/>
  <c r="N3"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D55" i="43"/>
  <c r="H56" i="43"/>
  <c r="G56" i="43"/>
  <c r="K56" i="43"/>
  <c r="J56" i="43"/>
  <c r="D56" i="43"/>
  <c r="E48" i="43"/>
  <c r="B46" i="43"/>
  <c r="C24" i="43"/>
  <c r="D29" i="43"/>
  <c r="H52" i="43"/>
  <c r="G52" i="43"/>
  <c r="H55" i="43"/>
  <c r="G55" i="43"/>
  <c r="J57" i="15"/>
  <c r="J55" i="15"/>
  <c r="J58" i="15"/>
  <c r="J59" i="15"/>
  <c r="C76" i="15"/>
  <c r="L51" i="15"/>
  <c r="L57" i="15"/>
  <c r="D6" i="1"/>
  <c r="L47" i="15"/>
  <c r="L58" i="15"/>
  <c r="L59" i="15"/>
  <c r="L60" i="15"/>
  <c r="F25" i="21"/>
  <c r="AA25" i="21"/>
  <c r="D123" i="21"/>
  <c r="E123" i="21"/>
  <c r="F42" i="21"/>
  <c r="AA42" i="21"/>
  <c r="D125" i="21"/>
  <c r="F43" i="21"/>
  <c r="AA43" i="21"/>
  <c r="D89" i="21"/>
  <c r="E89" i="21"/>
  <c r="F89" i="21"/>
  <c r="G89" i="21"/>
  <c r="H89" i="21"/>
  <c r="I89" i="21"/>
  <c r="J89" i="21"/>
  <c r="K89" i="21"/>
  <c r="L89" i="21"/>
  <c r="F26" i="21"/>
  <c r="AA26" i="21"/>
  <c r="H25" i="21"/>
  <c r="AB25" i="21"/>
  <c r="H42" i="21"/>
  <c r="AB42" i="21"/>
  <c r="H43" i="21"/>
  <c r="AB43" i="21"/>
  <c r="H26" i="21"/>
  <c r="AB26" i="21"/>
  <c r="J25" i="21"/>
  <c r="AC25" i="21"/>
  <c r="J42" i="21"/>
  <c r="AC42" i="21"/>
  <c r="J43" i="21"/>
  <c r="AC43" i="21"/>
  <c r="J26" i="21"/>
  <c r="AC26" i="21"/>
  <c r="C48" i="21"/>
  <c r="B3" i="21"/>
  <c r="G1" i="68"/>
  <c r="B23" i="1"/>
  <c r="C30" i="68"/>
  <c r="B24" i="1"/>
  <c r="C48" i="68"/>
  <c r="K7" i="1"/>
  <c r="M7" i="1"/>
  <c r="K8" i="1"/>
  <c r="M8" i="1"/>
  <c r="K9" i="1"/>
  <c r="M9" i="1"/>
  <c r="K10" i="1"/>
  <c r="M10" i="1"/>
  <c r="K11" i="1"/>
  <c r="M11" i="1"/>
  <c r="K12" i="1"/>
  <c r="M12" i="1"/>
  <c r="K13" i="1"/>
  <c r="M13" i="1"/>
  <c r="K14" i="1"/>
  <c r="M14" i="1"/>
  <c r="M16" i="1"/>
  <c r="N16" i="1"/>
  <c r="F50" i="68"/>
  <c r="B27" i="9"/>
  <c r="D27" i="9"/>
  <c r="C27" i="9"/>
  <c r="S4" i="78"/>
  <c r="D5" i="9"/>
  <c r="I28" i="21"/>
  <c r="G28" i="21"/>
  <c r="E28" i="21"/>
  <c r="E90" i="21"/>
  <c r="D90" i="21"/>
  <c r="C90" i="21"/>
  <c r="I5" i="21"/>
  <c r="G5" i="21"/>
  <c r="E5" i="21"/>
  <c r="Y6" i="1"/>
  <c r="AD6" i="1"/>
  <c r="AH5" i="71"/>
  <c r="AG5" i="71"/>
  <c r="AE5" i="71"/>
  <c r="AF5" i="71"/>
  <c r="AD5" i="71"/>
  <c r="Q5" i="71"/>
  <c r="P5" i="71"/>
  <c r="O5" i="71"/>
  <c r="N5" i="71"/>
  <c r="R47" i="33"/>
  <c r="C7" i="33"/>
  <c r="C58" i="33"/>
  <c r="D58" i="33"/>
  <c r="E58" i="33"/>
  <c r="F58" i="33"/>
  <c r="G58" i="33"/>
  <c r="H58" i="33"/>
  <c r="I58" i="33"/>
  <c r="J58" i="33"/>
  <c r="K58" i="33"/>
  <c r="L58" i="33"/>
  <c r="M58" i="33"/>
  <c r="N58" i="33"/>
  <c r="O58" i="33"/>
  <c r="F7" i="33"/>
  <c r="AA7" i="33"/>
  <c r="F8" i="33"/>
  <c r="AA8" i="33"/>
  <c r="R48" i="33"/>
  <c r="R49" i="33"/>
  <c r="C27" i="66"/>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R47" i="21"/>
  <c r="F8" i="21"/>
  <c r="AA8" i="21"/>
  <c r="C63" i="21"/>
  <c r="F9" i="21"/>
  <c r="AA9" i="21"/>
  <c r="F10" i="21"/>
  <c r="AA10" i="21"/>
  <c r="D69" i="21"/>
  <c r="F11" i="21"/>
  <c r="AA11" i="21"/>
  <c r="B70" i="21"/>
  <c r="F12" i="21"/>
  <c r="AA12" i="21"/>
  <c r="B72" i="21"/>
  <c r="F13" i="21"/>
  <c r="AA13" i="21"/>
  <c r="B74" i="21"/>
  <c r="F14" i="21"/>
  <c r="AA14" i="21"/>
  <c r="F41" i="21"/>
  <c r="AA41" i="21"/>
  <c r="D113" i="21"/>
  <c r="E113" i="21"/>
  <c r="F113" i="21"/>
  <c r="G113" i="21"/>
  <c r="F37" i="21"/>
  <c r="AA37" i="21"/>
  <c r="F35" i="21"/>
  <c r="AA35" i="21"/>
  <c r="H11" i="21"/>
  <c r="AB11" i="21"/>
  <c r="H12" i="21"/>
  <c r="AB12" i="21"/>
  <c r="H13" i="21"/>
  <c r="AB13" i="21"/>
  <c r="H14" i="21"/>
  <c r="AB14" i="21"/>
  <c r="H41" i="21"/>
  <c r="AB41" i="21"/>
  <c r="H37" i="21"/>
  <c r="AB37" i="21"/>
  <c r="H35" i="21"/>
  <c r="AB35" i="21"/>
  <c r="J11" i="21"/>
  <c r="AC11" i="21"/>
  <c r="J12" i="21"/>
  <c r="AC12" i="21"/>
  <c r="J13" i="21"/>
  <c r="AC13" i="21"/>
  <c r="J14" i="21"/>
  <c r="AC14" i="21"/>
  <c r="J41" i="21"/>
  <c r="AC41" i="21"/>
  <c r="J37" i="21"/>
  <c r="AC37" i="21"/>
  <c r="J35" i="21"/>
  <c r="AC35" i="21"/>
  <c r="K42" i="40"/>
  <c r="K47" i="39"/>
  <c r="K36" i="36"/>
  <c r="E59" i="9"/>
  <c r="R35" i="36"/>
  <c r="C7" i="36"/>
  <c r="C46" i="36"/>
  <c r="D46" i="36"/>
  <c r="E46" i="36"/>
  <c r="F46" i="36"/>
  <c r="G46" i="36"/>
  <c r="H46" i="36"/>
  <c r="I46" i="36"/>
  <c r="J46" i="36"/>
  <c r="K46" i="36"/>
  <c r="L46" i="36"/>
  <c r="M46" i="36"/>
  <c r="N46" i="36"/>
  <c r="O46" i="36"/>
  <c r="F7" i="36"/>
  <c r="AA7" i="36"/>
  <c r="F8" i="36"/>
  <c r="AA8" i="36"/>
  <c r="R36" i="36"/>
  <c r="R37" i="36"/>
  <c r="R37" i="35"/>
  <c r="C7" i="35"/>
  <c r="C48" i="35"/>
  <c r="D48" i="35"/>
  <c r="E48" i="35"/>
  <c r="F48" i="35"/>
  <c r="G48" i="35"/>
  <c r="H48" i="35"/>
  <c r="I48" i="35"/>
  <c r="J48" i="35"/>
  <c r="K48" i="35"/>
  <c r="L48" i="35"/>
  <c r="M48" i="35"/>
  <c r="N48" i="35"/>
  <c r="O48" i="35"/>
  <c r="F7" i="35"/>
  <c r="AA7" i="35"/>
  <c r="F8" i="35"/>
  <c r="AA8" i="35"/>
  <c r="R38" i="35"/>
  <c r="R39" i="35"/>
  <c r="K38" i="35"/>
  <c r="R41" i="37"/>
  <c r="C7" i="37"/>
  <c r="C52" i="37"/>
  <c r="D52" i="37"/>
  <c r="E52" i="37"/>
  <c r="F52" i="37"/>
  <c r="G52" i="37"/>
  <c r="H52" i="37"/>
  <c r="I52" i="37"/>
  <c r="J52" i="37"/>
  <c r="K52" i="37"/>
  <c r="L52" i="37"/>
  <c r="M52" i="37"/>
  <c r="N52" i="37"/>
  <c r="O52" i="37"/>
  <c r="F7" i="37"/>
  <c r="AA7" i="37"/>
  <c r="F8" i="37"/>
  <c r="AA8" i="37"/>
  <c r="R42" i="37"/>
  <c r="R43" i="37"/>
  <c r="K42" i="37"/>
  <c r="R48" i="34"/>
  <c r="C7" i="34"/>
  <c r="C59" i="34"/>
  <c r="D59" i="34"/>
  <c r="E59" i="34"/>
  <c r="F59" i="34"/>
  <c r="G59" i="34"/>
  <c r="H59" i="34"/>
  <c r="I59" i="34"/>
  <c r="J59" i="34"/>
  <c r="K59" i="34"/>
  <c r="L59" i="34"/>
  <c r="M59" i="34"/>
  <c r="N59" i="34"/>
  <c r="O59" i="34"/>
  <c r="F7" i="34"/>
  <c r="AA7" i="34"/>
  <c r="F8" i="34"/>
  <c r="AA8" i="34"/>
  <c r="R49" i="34"/>
  <c r="R50" i="34"/>
  <c r="K49" i="34"/>
  <c r="K48" i="33"/>
  <c r="K48" i="21"/>
  <c r="B43" i="1"/>
  <c r="B41" i="1"/>
  <c r="F30" i="69"/>
  <c r="F48" i="69"/>
  <c r="F21" i="69"/>
  <c r="F40" i="69"/>
  <c r="F20" i="69"/>
  <c r="F39" i="69"/>
  <c r="F30" i="68"/>
  <c r="F48" i="68"/>
  <c r="F21" i="68"/>
  <c r="F40" i="68"/>
  <c r="F20" i="68"/>
  <c r="F39" i="68"/>
  <c r="H104" i="9"/>
  <c r="F59" i="9"/>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X5" i="71"/>
  <c r="E16" i="71"/>
  <c r="E15" i="71"/>
  <c r="E14" i="71"/>
  <c r="E13" i="71"/>
  <c r="E12" i="71"/>
  <c r="E11" i="71"/>
  <c r="E10" i="71"/>
  <c r="E9" i="71"/>
  <c r="E8" i="71"/>
  <c r="V8" i="71"/>
  <c r="C16" i="71"/>
  <c r="C15" i="71"/>
  <c r="C14" i="71"/>
  <c r="C13" i="71"/>
  <c r="C12" i="71"/>
  <c r="C11" i="71"/>
  <c r="C10" i="71"/>
  <c r="C9" i="71"/>
  <c r="C8" i="71"/>
  <c r="D8" i="71"/>
  <c r="D9" i="71"/>
  <c r="U8" i="71"/>
  <c r="T8" i="71"/>
  <c r="B16" i="71"/>
  <c r="B15" i="71"/>
  <c r="B14" i="71"/>
  <c r="B13" i="71"/>
  <c r="B12" i="71"/>
  <c r="B11" i="71"/>
  <c r="B10" i="71"/>
  <c r="B9" i="71"/>
  <c r="B8" i="71"/>
  <c r="S8" i="71"/>
  <c r="AH7" i="71"/>
  <c r="AG7" i="71"/>
  <c r="AE7" i="71"/>
  <c r="AF7" i="71"/>
  <c r="AD7" i="71"/>
  <c r="AB6" i="71"/>
  <c r="AA6" i="71"/>
  <c r="Y6" i="71"/>
  <c r="Z6" i="71"/>
  <c r="X6" i="71"/>
  <c r="AB10" i="71"/>
  <c r="AB9" i="71"/>
  <c r="AA9" i="71"/>
  <c r="Y9" i="71"/>
  <c r="Z9" i="71"/>
  <c r="X9" i="71"/>
  <c r="AH8" i="71"/>
  <c r="AG8" i="71"/>
  <c r="AE8" i="71"/>
  <c r="AF8" i="71"/>
  <c r="AD8" i="71"/>
  <c r="AB7" i="71"/>
  <c r="AA7" i="71"/>
  <c r="X7" i="71"/>
  <c r="F16" i="71"/>
  <c r="F15" i="71"/>
  <c r="F14" i="71"/>
  <c r="F13" i="71"/>
  <c r="F12" i="71"/>
  <c r="F11" i="71"/>
  <c r="F10" i="71"/>
  <c r="F9" i="71"/>
  <c r="E7" i="71"/>
  <c r="E6" i="71"/>
  <c r="E5" i="71"/>
  <c r="C7" i="71"/>
  <c r="AH9" i="71"/>
  <c r="AG9" i="71"/>
  <c r="AE9" i="71"/>
  <c r="AF9" i="71"/>
  <c r="AD9"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L3" i="71"/>
  <c r="AH3" i="71"/>
  <c r="K3" i="71"/>
  <c r="AG3" i="71"/>
  <c r="J3" i="71"/>
  <c r="AE3" i="71"/>
  <c r="I3" i="71"/>
  <c r="AH13" i="71"/>
  <c r="AG13" i="71"/>
  <c r="AE13" i="71"/>
  <c r="AF13" i="71"/>
  <c r="AD13" i="71"/>
  <c r="AA13" i="71"/>
  <c r="X13" i="71"/>
  <c r="AH14" i="71"/>
  <c r="AG14" i="71"/>
  <c r="AE14" i="71"/>
  <c r="AF14" i="71"/>
  <c r="AD14" i="71"/>
  <c r="AB13" i="71"/>
  <c r="AA14" i="71"/>
  <c r="Y13" i="71"/>
  <c r="Z13" i="71"/>
  <c r="M19" i="43"/>
  <c r="D17" i="71"/>
  <c r="AH15" i="71"/>
  <c r="AG15" i="71"/>
  <c r="AE15" i="71"/>
  <c r="AF15" i="71"/>
  <c r="AD15"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M19" i="9"/>
  <c r="C118" i="9"/>
  <c r="C14" i="74"/>
  <c r="M18" i="9"/>
  <c r="B118" i="9"/>
  <c r="B14" i="74"/>
  <c r="AD16" i="71"/>
  <c r="AG16" i="71"/>
  <c r="AH16" i="71"/>
  <c r="AE16" i="71"/>
  <c r="AF16" i="71"/>
  <c r="X14" i="71"/>
  <c r="AB15" i="71"/>
  <c r="AA15" i="71"/>
  <c r="Y14" i="71"/>
  <c r="Z14" i="71"/>
  <c r="Y15" i="71"/>
  <c r="Z15"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O45" i="71"/>
  <c r="C46" i="71"/>
  <c r="Q45" i="71"/>
  <c r="F46" i="71"/>
  <c r="F47" i="71"/>
  <c r="F48" i="71"/>
  <c r="V48" i="71"/>
  <c r="P45" i="71"/>
  <c r="E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AB31" i="71"/>
  <c r="AA31" i="71"/>
  <c r="Y31" i="71"/>
  <c r="Z31" i="71"/>
  <c r="X31" i="71"/>
  <c r="AB30" i="71"/>
  <c r="Y30" i="71"/>
  <c r="Z30" i="71"/>
  <c r="F30" i="71"/>
  <c r="F31" i="71"/>
  <c r="F32" i="71"/>
  <c r="V32" i="71"/>
  <c r="D29" i="71"/>
  <c r="AB28" i="71"/>
  <c r="Y28" i="71"/>
  <c r="Z28" i="71"/>
  <c r="AB27" i="71"/>
  <c r="Y27" i="71"/>
  <c r="Z27" i="71"/>
  <c r="AB26" i="71"/>
  <c r="Y26" i="71"/>
  <c r="Z26" i="71"/>
  <c r="F26" i="71"/>
  <c r="F27" i="71"/>
  <c r="F28" i="71"/>
  <c r="V28" i="71"/>
  <c r="D25" i="71"/>
  <c r="AB24" i="71"/>
  <c r="Y24" i="71"/>
  <c r="Z24" i="71"/>
  <c r="AB23" i="71"/>
  <c r="Y23" i="71"/>
  <c r="Z23" i="71"/>
  <c r="AB22" i="71"/>
  <c r="Y22" i="71"/>
  <c r="Z22" i="71"/>
  <c r="F22" i="71"/>
  <c r="F23" i="71"/>
  <c r="F24" i="71"/>
  <c r="V24" i="71"/>
  <c r="D21"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E47" i="71"/>
  <c r="E48" i="71"/>
  <c r="U48" i="71"/>
  <c r="E51" i="71"/>
  <c r="E52" i="71"/>
  <c r="U52" i="71"/>
  <c r="E55" i="71"/>
  <c r="E56" i="71"/>
  <c r="U56" i="71"/>
  <c r="Q57" i="71"/>
  <c r="U60" i="71"/>
  <c r="E59"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M55" i="43"/>
  <c r="N55" i="43"/>
  <c r="K55" i="43"/>
  <c r="J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D78" i="9"/>
  <c r="E20" i="6"/>
  <c r="E21" i="6"/>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T47" i="21"/>
  <c r="V47" i="21"/>
  <c r="P48" i="21"/>
  <c r="P49"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S43" i="21"/>
  <c r="H38" i="21"/>
  <c r="U38" i="21"/>
  <c r="F38" i="21"/>
  <c r="S38" i="21"/>
  <c r="F36" i="21"/>
  <c r="S36" i="21"/>
  <c r="F39" i="21"/>
  <c r="AA39" i="21"/>
  <c r="J40" i="21"/>
  <c r="W40" i="21"/>
  <c r="J8" i="21"/>
  <c r="AC8" i="21"/>
  <c r="H8" i="21"/>
  <c r="U8" i="21"/>
  <c r="H10" i="21"/>
  <c r="AB10" i="21"/>
  <c r="H39" i="21"/>
  <c r="U39" i="21"/>
  <c r="J34" i="21"/>
  <c r="W34" i="21"/>
  <c r="H36" i="21"/>
  <c r="U36" i="21"/>
  <c r="J10" i="21"/>
  <c r="AC10" i="21"/>
  <c r="AB19" i="21"/>
  <c r="J19"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E8" i="6"/>
  <c r="F27" i="6"/>
  <c r="U36" i="40"/>
  <c r="F36" i="43"/>
  <c r="F81" i="43"/>
  <c r="H83"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8" i="21"/>
  <c r="AA36" i="21"/>
  <c r="AC40" i="21"/>
  <c r="J15" i="21"/>
  <c r="W15" i="21"/>
  <c r="F77" i="21"/>
  <c r="G77" i="21"/>
  <c r="F23" i="21"/>
  <c r="S23" i="21"/>
  <c r="E85" i="21"/>
  <c r="AB8" i="21"/>
  <c r="S8" i="21"/>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78" i="43"/>
  <c r="H71" i="43"/>
  <c r="C17" i="43"/>
  <c r="F33" i="43"/>
  <c r="K17" i="43"/>
  <c r="F34" i="43"/>
  <c r="N6" i="43"/>
  <c r="F38" i="43"/>
  <c r="F37" i="43"/>
  <c r="M9" i="43"/>
  <c r="N5" i="43"/>
  <c r="M12" i="43"/>
  <c r="B19" i="53"/>
  <c r="B37" i="72"/>
  <c r="C7" i="39"/>
  <c r="C68" i="39"/>
  <c r="C7" i="40"/>
  <c r="C63" i="40"/>
  <c r="M47" i="9"/>
  <c r="O19" i="43"/>
  <c r="T35" i="4"/>
  <c r="A19" i="51"/>
  <c r="B14" i="72"/>
  <c r="A4" i="51"/>
  <c r="B6" i="72"/>
  <c r="H66" i="43"/>
  <c r="H65" i="43"/>
  <c r="H64" i="43"/>
  <c r="H63"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46" i="21"/>
  <c r="U40" i="21"/>
  <c r="AB31" i="21"/>
  <c r="U31" i="21"/>
  <c r="AC15" i="21"/>
  <c r="U13" i="21"/>
  <c r="W8" i="21"/>
  <c r="S35" i="21"/>
  <c r="W37" i="21"/>
  <c r="H15" i="21"/>
  <c r="U15" i="21"/>
  <c r="J17" i="21"/>
  <c r="AC17" i="21"/>
  <c r="AC19" i="21"/>
  <c r="W39" i="21"/>
  <c r="W30" i="21"/>
  <c r="S46" i="21"/>
  <c r="H45" i="21"/>
  <c r="U45" i="21"/>
  <c r="F29" i="21"/>
  <c r="S29" i="21"/>
  <c r="AC38" i="21"/>
  <c r="H32" i="21"/>
  <c r="H9" i="21"/>
  <c r="J9" i="21"/>
  <c r="J32" i="21"/>
  <c r="F32" i="21"/>
  <c r="AA31" i="21"/>
  <c r="U17" i="21"/>
  <c r="W29" i="21"/>
  <c r="S19" i="21"/>
  <c r="S9" i="21"/>
  <c r="K141" i="21"/>
  <c r="K144" i="21"/>
  <c r="K143" i="21"/>
  <c r="U27" i="21"/>
  <c r="AB44" i="21"/>
  <c r="AA30" i="21"/>
  <c r="W13" i="21"/>
  <c r="W42" i="21"/>
  <c r="AC45" i="21"/>
  <c r="K145" i="21"/>
  <c r="W17"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Q16" i="1"/>
  <c r="F27" i="69"/>
  <c r="H16" i="1"/>
  <c r="K16" i="1"/>
  <c r="AB45" i="21"/>
  <c r="W33" i="21"/>
  <c r="S33" i="21"/>
  <c r="W32" i="21"/>
  <c r="AC32" i="21"/>
  <c r="AB9" i="21"/>
  <c r="U9" i="21"/>
  <c r="AA32" i="21"/>
  <c r="S32" i="21"/>
  <c r="W9" i="21"/>
  <c r="AC9" i="21"/>
  <c r="AB32"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C65" i="40"/>
  <c r="D63" i="40"/>
  <c r="G16" i="1"/>
  <c r="C36" i="11"/>
  <c r="C13" i="12"/>
  <c r="C30" i="69"/>
  <c r="C77" i="9"/>
  <c r="C74" i="9"/>
  <c r="C28" i="67"/>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D14" i="71"/>
  <c r="D15" i="71"/>
  <c r="D16" i="71"/>
  <c r="U16" i="71"/>
  <c r="S16" i="71"/>
  <c r="T16" i="71"/>
  <c r="AB14" i="71"/>
  <c r="X12" i="71"/>
  <c r="X11" i="71"/>
  <c r="AA12" i="71"/>
  <c r="AA11" i="71"/>
  <c r="X15" i="71"/>
  <c r="Z10" i="71"/>
  <c r="Y11" i="71"/>
  <c r="Z11" i="71"/>
  <c r="AB12" i="71"/>
  <c r="AB11" i="71"/>
  <c r="S12" i="71"/>
  <c r="C94" i="9"/>
  <c r="C92" i="9"/>
  <c r="C20" i="11"/>
  <c r="C28" i="11"/>
  <c r="C27" i="11"/>
  <c r="Y12" i="71"/>
  <c r="Z12" i="71"/>
  <c r="X3" i="71"/>
  <c r="D65" i="40"/>
  <c r="E63" i="40"/>
  <c r="G17" i="43"/>
  <c r="D5" i="43"/>
  <c r="U7" i="36"/>
  <c r="AB7" i="36"/>
  <c r="T36" i="36"/>
  <c r="G36" i="36"/>
  <c r="S7" i="35"/>
  <c r="AC7" i="37"/>
  <c r="V42" i="37"/>
  <c r="I42" i="37"/>
  <c r="W7" i="37"/>
  <c r="I52" i="33"/>
  <c r="J52" i="33"/>
  <c r="I53" i="33"/>
  <c r="J53" i="33"/>
  <c r="U10" i="39"/>
  <c r="AB10" i="39"/>
  <c r="W10" i="39"/>
  <c r="AC10" i="39"/>
  <c r="W10" i="40"/>
  <c r="AC10" i="40"/>
  <c r="D70" i="39"/>
  <c r="E68" i="39"/>
  <c r="C49" i="33"/>
  <c r="C48" i="33"/>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D13" i="71"/>
  <c r="E65" i="40"/>
  <c r="F63" i="40"/>
  <c r="E41" i="43"/>
  <c r="C41" i="43"/>
  <c r="I42" i="35"/>
  <c r="J42" i="35"/>
  <c r="G42" i="35"/>
  <c r="H42" i="35"/>
  <c r="G43" i="35"/>
  <c r="H43" i="35"/>
  <c r="F68" i="39"/>
  <c r="E70" i="39"/>
  <c r="G40" i="36"/>
  <c r="H40" i="36"/>
  <c r="G41" i="36"/>
  <c r="H41" i="36"/>
  <c r="U7" i="21"/>
  <c r="G48" i="21"/>
  <c r="E42" i="37"/>
  <c r="G46" i="37"/>
  <c r="H46" i="37"/>
  <c r="G47" i="37"/>
  <c r="H47" i="37"/>
  <c r="I40" i="36"/>
  <c r="J40" i="36"/>
  <c r="E36" i="36"/>
  <c r="I48" i="21"/>
  <c r="W7" i="21"/>
  <c r="J7" i="34"/>
  <c r="I47" i="37"/>
  <c r="J47" i="37"/>
  <c r="I46" i="37"/>
  <c r="J46" i="37"/>
  <c r="E38" i="35"/>
  <c r="S7" i="21"/>
  <c r="D10" i="71"/>
  <c r="T12" i="71"/>
  <c r="D11" i="71"/>
  <c r="D12"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2" i="71"/>
  <c r="G65" i="40"/>
  <c r="H63" i="40"/>
  <c r="H68" i="39"/>
  <c r="G70" i="39"/>
  <c r="E49" i="34"/>
  <c r="U7" i="34"/>
  <c r="AB7" i="34"/>
  <c r="T49" i="34"/>
  <c r="G49" i="34"/>
  <c r="E52" i="21"/>
  <c r="F52" i="21"/>
  <c r="E53" i="21"/>
  <c r="F53" i="21"/>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D2" i="34"/>
  <c r="E12" i="76"/>
  <c r="E7" i="76"/>
  <c r="D2" i="36"/>
  <c r="AO12" i="1"/>
  <c r="E8" i="76"/>
  <c r="D6" i="73"/>
  <c r="D2" i="33"/>
  <c r="L47" i="67"/>
  <c r="AO13" i="1"/>
  <c r="M22" i="67"/>
  <c r="B11" i="76"/>
  <c r="F8" i="67"/>
  <c r="F20" i="31"/>
  <c r="F42" i="67"/>
  <c r="F6" i="73"/>
  <c r="E10" i="76"/>
  <c r="B10" i="76"/>
  <c r="M27" i="67"/>
  <c r="F16" i="67"/>
  <c r="M27" i="15"/>
  <c r="F13" i="67"/>
  <c r="M29" i="15"/>
  <c r="F40" i="67"/>
  <c r="M22" i="15"/>
  <c r="C34" i="9"/>
  <c r="B2" i="21"/>
  <c r="C19" i="9"/>
  <c r="D19" i="9"/>
  <c r="G19" i="9"/>
  <c r="C32" i="9"/>
  <c r="D34" i="9"/>
  <c r="J15" i="67"/>
  <c r="F5" i="73"/>
  <c r="B8" i="76"/>
  <c r="E2" i="69"/>
  <c r="F26" i="67"/>
  <c r="D3" i="73"/>
  <c r="AO11" i="1"/>
  <c r="M8" i="67"/>
  <c r="AO9" i="1"/>
  <c r="F43" i="67"/>
  <c r="AO7" i="1"/>
  <c r="B7" i="76"/>
  <c r="M29" i="67"/>
  <c r="M21" i="15"/>
  <c r="D7" i="73"/>
  <c r="F35" i="15"/>
  <c r="F7" i="73"/>
  <c r="F37" i="67"/>
  <c r="B13" i="76"/>
  <c r="AO8" i="1"/>
  <c r="E2" i="68"/>
  <c r="D2" i="21"/>
  <c r="C35" i="9"/>
  <c r="D35" i="9"/>
  <c r="F9" i="67"/>
  <c r="F35" i="67"/>
  <c r="M24" i="15"/>
  <c r="AO10" i="1"/>
  <c r="F3" i="73"/>
  <c r="D2" i="35"/>
  <c r="M26" i="67"/>
  <c r="E11" i="76"/>
  <c r="M26" i="15"/>
  <c r="M23" i="67"/>
  <c r="M28" i="15"/>
  <c r="E9" i="76"/>
  <c r="M6" i="67"/>
  <c r="F41" i="67"/>
  <c r="L48" i="67"/>
  <c r="M24" i="67"/>
  <c r="B9" i="76"/>
  <c r="M9" i="67"/>
  <c r="D2" i="37"/>
  <c r="F7" i="67"/>
  <c r="F36" i="67"/>
  <c r="AO6" i="1"/>
  <c r="M28" i="67"/>
  <c r="C76" i="67"/>
  <c r="B12" i="76"/>
  <c r="M23" i="15"/>
  <c r="M21" i="67"/>
  <c r="E13" i="76"/>
  <c r="F6" i="67"/>
  <c r="J15" i="15"/>
  <c r="F38" i="67"/>
  <c r="C35" i="11"/>
  <c r="C33" i="11"/>
  <c r="F31" i="67"/>
  <c r="K4" i="4"/>
  <c r="B46" i="48"/>
  <c r="B4" i="72"/>
  <c r="B4" i="62"/>
  <c r="B71" i="72"/>
  <c r="C47" i="69"/>
  <c r="D45" i="69"/>
  <c r="F45" i="69"/>
  <c r="F45" i="68"/>
  <c r="D9" i="53"/>
  <c r="B25" i="72"/>
  <c r="B24" i="72"/>
  <c r="K120" i="9"/>
  <c r="D7" i="71"/>
  <c r="C6" i="71"/>
  <c r="T11" i="43"/>
  <c r="V11" i="43"/>
  <c r="T12" i="43"/>
  <c r="V12" i="43"/>
  <c r="Y8" i="71"/>
  <c r="Z8" i="71"/>
  <c r="Y7" i="71"/>
  <c r="AA8" i="71"/>
  <c r="AB3" i="71"/>
  <c r="C35" i="43"/>
  <c r="E35" i="43"/>
  <c r="C36" i="43"/>
  <c r="E36" i="43"/>
  <c r="T9" i="43"/>
  <c r="V9" i="43"/>
  <c r="C39" i="43"/>
  <c r="C19" i="68"/>
  <c r="C29" i="69"/>
  <c r="D27" i="69"/>
  <c r="C37" i="43"/>
  <c r="E37" i="43"/>
  <c r="B7" i="71"/>
  <c r="B6" i="71"/>
  <c r="B5" i="71"/>
  <c r="X8" i="71"/>
  <c r="AB8" i="71"/>
  <c r="T4" i="43"/>
  <c r="V4" i="43"/>
  <c r="T15" i="43"/>
  <c r="V15" i="43"/>
  <c r="T6" i="43"/>
  <c r="V6" i="43"/>
  <c r="Z7" i="71"/>
  <c r="Y3" i="71"/>
  <c r="Z3"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C34" i="43"/>
  <c r="T10" i="43"/>
  <c r="V10" i="43"/>
  <c r="T7" i="43"/>
  <c r="V7" i="43"/>
  <c r="C33" i="43"/>
  <c r="T16" i="43"/>
  <c r="V16" i="43"/>
  <c r="T13" i="43"/>
  <c r="V13" i="43"/>
  <c r="T8" i="43"/>
  <c r="V8" i="43"/>
  <c r="T2" i="43"/>
  <c r="V2" i="43"/>
  <c r="C38" i="43"/>
  <c r="T3" i="43"/>
  <c r="V3" i="43"/>
  <c r="C8" i="69"/>
  <c r="C5" i="69"/>
  <c r="G35" i="43"/>
  <c r="I35" i="43"/>
  <c r="G36" i="43"/>
  <c r="I36" i="43"/>
  <c r="T5" i="43"/>
  <c r="V5" i="43"/>
  <c r="R16" i="1"/>
  <c r="D19" i="69"/>
  <c r="C19" i="69"/>
  <c r="C6" i="67"/>
  <c r="C21" i="9"/>
  <c r="D22" i="9"/>
  <c r="C102" i="9"/>
  <c r="B10" i="70"/>
  <c r="D102" i="9"/>
  <c r="D21" i="9"/>
  <c r="Q71" i="15"/>
  <c r="C34" i="15"/>
  <c r="F63" i="15"/>
  <c r="C62" i="15"/>
  <c r="B2" i="37"/>
  <c r="B3" i="37"/>
  <c r="B6" i="70"/>
  <c r="L56" i="15"/>
  <c r="Q50" i="15"/>
  <c r="I54" i="15"/>
  <c r="B20" i="31"/>
  <c r="B21" i="31"/>
  <c r="F51" i="67"/>
  <c r="F65" i="67"/>
  <c r="J20" i="67"/>
  <c r="B12" i="70"/>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C103" i="9"/>
  <c r="N59" i="67"/>
  <c r="L59" i="67"/>
  <c r="L58" i="67"/>
  <c r="M59" i="67"/>
  <c r="B13" i="70"/>
  <c r="M7" i="67"/>
  <c r="J6" i="67"/>
  <c r="F50" i="67"/>
  <c r="F59" i="67"/>
  <c r="F63" i="67"/>
  <c r="C62" i="67"/>
  <c r="C34" i="67"/>
  <c r="F68" i="67"/>
  <c r="F64" i="67"/>
  <c r="J20" i="15"/>
  <c r="F68" i="15"/>
  <c r="B2" i="34"/>
  <c r="B3" i="34"/>
  <c r="D37" i="69"/>
  <c r="C37" i="69"/>
  <c r="C17" i="67"/>
  <c r="C14" i="67"/>
  <c r="C16" i="67"/>
  <c r="G37" i="43"/>
  <c r="I37" i="43"/>
  <c r="D6" i="71"/>
  <c r="C5" i="71"/>
  <c r="D5" i="71"/>
  <c r="E47" i="39"/>
  <c r="C39" i="11"/>
  <c r="C46" i="11"/>
  <c r="C45" i="11"/>
  <c r="M17" i="67"/>
  <c r="M17" i="15"/>
  <c r="F59" i="15"/>
  <c r="P24" i="43"/>
  <c r="B66" i="40"/>
  <c r="C16" i="12"/>
  <c r="C21" i="12"/>
  <c r="C22" i="12"/>
  <c r="P21" i="43"/>
  <c r="C20" i="69"/>
  <c r="C28" i="69"/>
  <c r="C27" i="69"/>
  <c r="C49" i="67"/>
  <c r="G46" i="40"/>
  <c r="H46" i="40"/>
  <c r="E39" i="43"/>
  <c r="G39" i="43"/>
  <c r="I39" i="43"/>
  <c r="I52" i="39"/>
  <c r="J52" i="39"/>
  <c r="P25" i="43"/>
  <c r="P23" i="43"/>
  <c r="B71" i="39"/>
  <c r="M20" i="43"/>
  <c r="C33" i="69"/>
  <c r="C39" i="69"/>
  <c r="C30" i="43"/>
  <c r="E30"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C49" i="15"/>
  <c r="C15" i="67"/>
  <c r="C18" i="67"/>
  <c r="J18" i="15"/>
  <c r="C32" i="67"/>
  <c r="G21" i="9"/>
  <c r="Q60" i="67"/>
  <c r="Q73" i="67"/>
  <c r="N28" i="43"/>
  <c r="O28" i="43"/>
  <c r="P28" i="43"/>
  <c r="M11" i="67"/>
  <c r="J10" i="67"/>
  <c r="J5" i="67"/>
  <c r="F11" i="67"/>
  <c r="Q52" i="15"/>
  <c r="J18" i="67"/>
  <c r="C32" i="15"/>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46" i="69"/>
  <c r="C45" i="69"/>
  <c r="E6" i="76"/>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B2" i="76"/>
  <c r="B3" i="76"/>
  <c r="B3" i="43"/>
  <c r="C32" i="12"/>
  <c r="B2" i="12"/>
  <c r="B3" i="12"/>
  <c r="J14" i="15"/>
  <c r="C57" i="15"/>
  <c r="C33"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C37" i="67"/>
  <c r="C30" i="67"/>
  <c r="C39" i="67"/>
  <c r="L51" i="67"/>
  <c r="L57" i="67"/>
  <c r="L60" i="67"/>
  <c r="L46" i="67"/>
  <c r="C56" i="67"/>
  <c r="C65" i="67"/>
  <c r="C75" i="67"/>
  <c r="Q70" i="67"/>
  <c r="C56" i="15"/>
  <c r="C65" i="15"/>
  <c r="Q70" i="15"/>
  <c r="C75" i="15"/>
  <c r="J22" i="15"/>
  <c r="J13" i="15"/>
  <c r="J23" i="15"/>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Q67" i="15"/>
  <c r="Q67"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H118" i="9"/>
  <c r="H101" i="9"/>
  <c r="D45" i="9"/>
  <c r="M48" i="9"/>
  <c r="D52" i="9"/>
  <c r="D53" i="9"/>
  <c r="D55" i="9"/>
  <c r="M53" i="9"/>
  <c r="C64" i="9"/>
  <c r="C63" i="9"/>
  <c r="C67" i="9"/>
  <c r="C68" i="9"/>
  <c r="D54" i="9"/>
  <c r="C85" i="9"/>
  <c r="C93" i="9"/>
  <c r="C86" i="9"/>
  <c r="C95" i="9"/>
  <c r="C96" i="9"/>
  <c r="C97" i="9"/>
  <c r="D58" i="9"/>
  <c r="D56" i="9"/>
  <c r="M54" i="9"/>
  <c r="D59" i="9"/>
  <c r="M55" i="9"/>
  <c r="N57" i="9"/>
  <c r="P57" i="9"/>
  <c r="N58" i="9"/>
  <c r="N59" i="9"/>
  <c r="N60" i="9"/>
  <c r="N61" i="9"/>
  <c r="C72" i="9"/>
  <c r="C78" i="9"/>
  <c r="C73" i="9"/>
  <c r="C79" i="9"/>
  <c r="C80" i="9"/>
  <c r="E80" i="9"/>
  <c r="C81" i="9"/>
  <c r="E81" i="9"/>
  <c r="E96" i="9"/>
  <c r="E97" i="9"/>
  <c r="I118" i="9"/>
  <c r="H102" i="9"/>
  <c r="C104" i="9"/>
  <c r="C105" i="9"/>
  <c r="H107" i="9"/>
  <c r="H108" i="9"/>
  <c r="D118" i="9"/>
  <c r="F118" i="9"/>
  <c r="G118" i="9"/>
  <c r="E118" i="9"/>
  <c r="D119" i="9"/>
  <c r="F119" i="9"/>
  <c r="H119" i="9"/>
  <c r="D122" i="9"/>
  <c r="D123" i="9"/>
  <c r="D14" i="74"/>
  <c r="B5" i="74"/>
  <c r="C5" i="74"/>
  <c r="D5" i="74"/>
  <c r="G14" i="74"/>
  <c r="B6" i="74"/>
  <c r="C6" i="74"/>
  <c r="D6" i="74"/>
  <c r="E14" i="74"/>
  <c r="F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<sst xmlns="http://schemas.openxmlformats.org/spreadsheetml/2006/main" count="7451" uniqueCount="3173">
  <si>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</si>
  <si>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</si>
  <si>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</si>
  <si>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</si>
  <si>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</si>
  <si>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</si>
  <si>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</si>
  <si>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</si>
  <si>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</si>
  <si>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</si>
  <si>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</si>
  <si>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</si>
  <si>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</si>
  <si>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</si>
  <si>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</si>
  <si>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</si>
  <si>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</si>
  <si>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</si>
  <si>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</si>
  <si>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</si>
  <si>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</si>
  <si>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</si>
  <si>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</si>
  <si>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</si>
  <si>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</si>
  <si>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</si>
  <si>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</si>
  <si>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</si>
  <si>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</si>
  <si>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</si>
  <si>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</si>
  <si>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</si>
  <si>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</si>
  <si>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</si>
  <si>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</si>
  <si>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</si>
  <si>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</si>
  <si>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</si>
  <si>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</si>
  <si>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</si>
  <si>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</si>
  <si>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</si>
  <si>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</si>
  <si>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</si>
  <si>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</si>
  <si>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</si>
  <si>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</si>
  <si>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</si>
  <si>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</si>
  <si>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</si>
  <si>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</si>
  <si>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</si>
  <si>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</si>
  <si>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</si>
  <si>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</si>
  <si>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</si>
  <si>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</si>
  <si>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</si>
  <si>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</si>
  <si>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</si>
  <si>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</si>
  <si>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</si>
  <si>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</si>
  <si>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</si>
  <si>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</si>
  <si>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</si>
  <si>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</si>
  <si>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</si>
  <si>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</si>
  <si>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</si>
  <si>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</si>
  <si>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</si>
  <si>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</si>
  <si>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</si>
  <si>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</si>
  <si>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</si>
  <si>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</si>
  <si>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</si>
  <si>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</si>
  <si>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</si>
  <si>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</si>
  <si>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</si>
  <si>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</si>
  <si>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</si>
  <si>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</si>
  <si>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</si>
  <si>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</si>
  <si>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</si>
  <si>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</si>
  <si>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</si>
  <si>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</si>
  <si>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</si>
  <si>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</si>
  <si>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</si>
  <si>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</si>
  <si>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</si>
  <si>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</si>
  <si>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</si>
  <si>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</si>
  <si>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</si>
  <si>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</si>
  <si>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</si>
  <si>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</si>
  <si>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</si>
  <si>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</si>
  <si>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</si>
  <si>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</si>
  <si>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</si>
  <si>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</si>
  <si>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</si>
  <si>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</si>
  <si>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</si>
  <si>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</si>
  <si>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</si>
  <si>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</si>
  <si>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</si>
  <si>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</si>
  <si>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</si>
  <si>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</si>
  <si>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</si>
  <si>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</si>
  <si>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</si>
  <si>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</si>
  <si>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</si>
  <si>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</si>
  <si>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</si>
  <si>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</si>
  <si>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</si>
  <si>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</si>
  <si>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</si>
  <si>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</si>
  <si>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</si>
  <si>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</si>
  <si>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</si>
  <si>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</si>
  <si>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</si>
  <si>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</si>
  <si>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</si>
  <si>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</si>
  <si>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</si>
  <si>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</si>
  <si>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</si>
  <si>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</si>
  <si>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</si>
  <si>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</si>
  <si>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</si>
  <si>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</si>
  <si>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</si>
  <si>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</si>
  <si>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</si>
  <si>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</si>
  <si>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</si>
  <si>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</si>
  <si>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</si>
  <si>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</si>
  <si>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</si>
  <si>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</si>
  <si>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</si>
  <si>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</si>
  <si>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</si>
  <si>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</si>
  <si>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</si>
  <si>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</si>
  <si>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</si>
  <si>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</si>
  <si>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</si>
  <si>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</si>
  <si>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</si>
  <si>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</si>
  <si>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</si>
  <si>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</si>
  <si>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</si>
  <si>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</si>
  <si>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</si>
  <si>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</si>
  <si>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</si>
  <si>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</si>
  <si>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</si>
  <si>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</si>
  <si>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</si>
  <si>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</si>
  <si>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</si>
  <si>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</si>
  <si>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</si>
  <si>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</si>
  <si>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</si>
  <si>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</si>
  <si>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</si>
  <si>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</si>
  <si>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</si>
  <si>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</si>
  <si>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</si>
  <si>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</si>
  <si>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</si>
  <si>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</si>
  <si>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</si>
  <si>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</si>
  <si>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</si>
  <si>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</si>
  <si>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</si>
  <si>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</si>
  <si>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</si>
  <si>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</si>
  <si>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</si>
  <si>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</si>
  <si>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</si>
  <si>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</si>
  <si>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</si>
  <si>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</si>
  <si>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</si>
  <si>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</si>
  <si>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</si>
  <si>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</si>
  <si>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</si>
  <si>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</si>
  <si>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</si>
  <si>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</si>
  <si>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</si>
  <si>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</si>
  <si>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</si>
  <si>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</si>
  <si>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</si>
  <si>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</si>
  <si>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</si>
  <si>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</si>
  <si>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</si>
  <si>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</si>
  <si>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</si>
  <si>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</si>
  <si>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</si>
  <si>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</si>
  <si>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</si>
  <si>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</si>
  <si>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</si>
  <si>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</si>
  <si>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</si>
  <si>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</si>
  <si>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</si>
  <si>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</si>
  <si>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</si>
  <si>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</si>
  <si>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</si>
  <si>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</si>
  <si>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</si>
  <si>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</si>
  <si>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</si>
  <si>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</si>
  <si>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</si>
  <si>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</si>
  <si>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</si>
  <si>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</si>
  <si>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</si>
  <si>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</si>
  <si>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</si>
  <si>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</si>
  <si>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</si>
  <si>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</si>
  <si>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</si>
  <si>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</si>
  <si>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</si>
  <si>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</si>
  <si>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</si>
  <si>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</si>
  <si>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</si>
  <si>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</si>
  <si>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</si>
  <si>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</si>
  <si>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</si>
  <si>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</si>
  <si>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</si>
  <si>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</si>
  <si>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</si>
  <si>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</si>
  <si>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</si>
  <si>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</si>
  <si>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</si>
  <si>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</si>
  <si>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</si>
  <si>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</si>
  <si>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</si>
  <si>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</si>
  <si>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</si>
  <si>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</si>
  <si>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</si>
  <si>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</si>
  <si>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</si>
  <si>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</si>
  <si>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</si>
  <si>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</si>
  <si>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</si>
  <si>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</si>
  <si>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</si>
  <si>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</si>
  <si>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</si>
  <si>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</si>
  <si>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</si>
  <si>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</si>
  <si>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</si>
  <si>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</si>
  <si>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</si>
  <si>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</si>
  <si>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</si>
  <si>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</si>
  <si>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</si>
  <si>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</si>
  <si>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</si>
  <si>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</si>
  <si>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</si>
  <si>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</si>
  <si>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</si>
  <si>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</si>
  <si>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</si>
  <si>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</si>
  <si>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</si>
  <si>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</si>
  <si>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</si>
  <si>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</si>
  <si>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</si>
  <si>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</si>
  <si>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</si>
  <si>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</si>
  <si>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</si>
  <si>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</si>
  <si>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</si>
  <si>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</si>
  <si>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</si>
  <si>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</si>
  <si>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</si>
  <si>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</si>
  <si>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</si>
  <si>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</si>
  <si>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</si>
  <si>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</si>
  <si>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</si>
  <si>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</si>
  <si>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</si>
  <si>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</si>
  <si>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</si>
  <si>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</si>
  <si>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</si>
  <si>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</si>
  <si>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</si>
  <si>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</si>
  <si>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</si>
  <si>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</si>
  <si>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</si>
  <si>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</si>
  <si>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</si>
  <si>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</si>
  <si>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</si>
  <si>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</si>
  <si>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</si>
  <si>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</si>
  <si>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</si>
  <si>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</si>
  <si>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</si>
  <si>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</si>
  <si>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</si>
  <si>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</si>
  <si>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</si>
  <si>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</si>
  <si>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</si>
  <si>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</si>
  <si>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</si>
  <si>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</si>
  <si>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</si>
  <si>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</si>
  <si>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</si>
  <si>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</si>
  <si>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</si>
  <si>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</si>
  <si>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</si>
  <si>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</si>
  <si>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</si>
  <si>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</si>
  <si>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</si>
  <si>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</si>
  <si>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</si>
  <si>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</si>
  <si>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</si>
  <si>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</si>
  <si>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</si>
  <si>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</si>
  <si>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</si>
  <si>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</si>
  <si>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</si>
  <si>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</si>
  <si>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</si>
  <si>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</si>
  <si>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</si>
  <si>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</si>
  <si>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</si>
  <si>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</si>
  <si>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</si>
  <si>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</si>
  <si>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</si>
  <si>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</si>
  <si>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</si>
  <si>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</si>
  <si>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</si>
  <si>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</si>
  <si>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</si>
  <si>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</si>
  <si>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</si>
  <si>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</si>
  <si>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</si>
  <si>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</si>
  <si>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</si>
  <si>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</si>
  <si>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</si>
  <si>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</si>
  <si>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</si>
  <si>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</si>
  <si>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</si>
  <si>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</si>
  <si>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</si>
  <si>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</si>
  <si>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</si>
  <si>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</si>
  <si>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</si>
  <si>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</si>
  <si>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</si>
  <si>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</si>
  <si>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</si>
  <si>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</si>
  <si>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</si>
  <si>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</si>
  <si>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</si>
  <si>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</si>
  <si>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</si>
  <si>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</si>
  <si>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</si>
  <si>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</si>
  <si>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</si>
  <si>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</si>
  <si>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</si>
  <si>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</si>
  <si>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</si>
  <si>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</si>
  <si>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</si>
  <si>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</si>
  <si>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</si>
  <si>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</si>
  <si>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</si>
  <si>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</si>
  <si>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</si>
  <si>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</si>
  <si>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</si>
  <si>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</si>
  <si>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</si>
  <si>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</si>
  <si>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</si>
  <si>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</si>
  <si>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</si>
  <si>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</si>
  <si>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</si>
  <si>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</si>
  <si>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</si>
  <si>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</si>
  <si>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</si>
  <si>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</si>
  <si>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</si>
  <si>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</si>
  <si>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</si>
  <si>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</si>
  <si>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</si>
  <si>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</si>
  <si>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</si>
  <si>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</si>
  <si>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</si>
  <si>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</si>
  <si>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</si>
  <si>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</si>
  <si>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</si>
  <si>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</si>
  <si>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</si>
  <si>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</si>
  <si>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</si>
  <si>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</si>
  <si>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</si>
  <si>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</si>
  <si>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</si>
  <si>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</si>
  <si>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</si>
  <si>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</si>
  <si>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</si>
  <si>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</si>
  <si>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</si>
  <si>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</si>
  <si>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</si>
  <si>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</si>
  <si>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</si>
  <si>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</si>
  <si>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</si>
  <si>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</si>
  <si>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</si>
  <si>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</si>
  <si>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</si>
  <si>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</si>
  <si>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</si>
  <si>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</si>
  <si>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</si>
  <si>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</si>
  <si>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</si>
  <si>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</si>
  <si>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</si>
  <si>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</si>
  <si>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</si>
  <si>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</si>
  <si>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</si>
  <si>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</si>
  <si>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</si>
  <si>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</si>
  <si>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</si>
  <si>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</si>
  <si>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</si>
  <si>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</si>
  <si>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</si>
  <si>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</si>
  <si>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</si>
  <si>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</si>
  <si>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</si>
  <si>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</si>
  <si>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</si>
  <si>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</si>
  <si>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</si>
  <si>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</si>
  <si>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</si>
  <si>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</si>
  <si>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</si>
  <si>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</si>
  <si>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</si>
  <si>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</si>
  <si>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</si>
  <si>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</si>
  <si>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</si>
  <si>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</si>
  <si>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</si>
  <si>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</si>
  <si>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</si>
  <si>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</si>
  <si>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</si>
  <si>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</si>
  <si>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</si>
  <si>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</si>
  <si>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</si>
  <si>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</si>
  <si>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</si>
  <si>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</si>
  <si>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</si>
  <si>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</si>
  <si>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</si>
  <si>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</si>
  <si>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</si>
  <si>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</si>
  <si>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</si>
  <si>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</si>
  <si>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</si>
  <si>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</si>
  <si>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</si>
  <si>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</si>
  <si>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</si>
  <si>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</si>
  <si>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</si>
  <si>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</si>
  <si>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</si>
  <si>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</si>
  <si>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</si>
  <si>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</si>
  <si>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</si>
  <si>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</si>
  <si>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</si>
  <si>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</si>
  <si>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</si>
  <si>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</si>
  <si>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</si>
  <si>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</si>
  <si>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</si>
  <si>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</si>
  <si>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</si>
  <si>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</si>
  <si>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</si>
  <si>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</si>
  <si>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</si>
  <si>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</si>
  <si>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</si>
  <si>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</si>
  <si>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</si>
  <si>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</si>
  <si>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</si>
  <si>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</si>
  <si>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</si>
  <si>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</si>
  <si>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</si>
  <si>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</si>
  <si>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</si>
  <si>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</si>
  <si>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</si>
  <si>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</si>
  <si>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</si>
  <si>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</si>
  <si>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</si>
  <si>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</si>
  <si>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</si>
  <si>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</si>
  <si>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</si>
  <si>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</si>
  <si>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</si>
  <si>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</si>
  <si>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</si>
  <si>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</si>
  <si>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</si>
  <si>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</si>
  <si>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</si>
  <si>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</si>
  <si>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</si>
  <si>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</si>
  <si>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</si>
  <si>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</si>
  <si>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</si>
  <si>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</si>
  <si>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</si>
  <si>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</si>
  <si>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</si>
  <si>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</si>
  <si>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</si>
  <si>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</si>
  <si>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</si>
  <si>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</si>
  <si>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</si>
  <si>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</si>
  <si>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</si>
  <si>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</si>
  <si>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</si>
  <si>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</si>
  <si>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</si>
  <si>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</si>
  <si>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</si>
  <si>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</si>
  <si>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</si>
  <si>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</si>
  <si>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</si>
  <si>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</si>
  <si>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</si>
  <si>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</si>
  <si>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</si>
  <si>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</si>
  <si>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</si>
  <si>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</si>
  <si>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</si>
  <si>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</si>
  <si>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</si>
  <si>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</si>
  <si>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</si>
  <si>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</si>
  <si>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</si>
  <si>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</si>
  <si>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</si>
  <si>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</si>
  <si>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</si>
  <si>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</si>
  <si>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</si>
  <si>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</si>
  <si>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</si>
  <si>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</si>
  <si>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</si>
  <si>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</si>
  <si>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</si>
  <si>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</si>
  <si>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</si>
  <si>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</si>
  <si>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</si>
  <si>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</si>
  <si>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</si>
  <si>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</si>
  <si>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</si>
  <si>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</si>
  <si>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</si>
  <si>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</si>
  <si>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</si>
  <si>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</si>
  <si>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</si>
  <si>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</si>
  <si>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</si>
  <si>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</si>
  <si>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</si>
  <si>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</si>
  <si>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</si>
  <si>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</si>
  <si>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</si>
  <si>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</si>
  <si>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</si>
  <si>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</si>
  <si>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</si>
  <si>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</si>
  <si>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</si>
  <si>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</si>
  <si>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</si>
  <si>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</si>
  <si>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</si>
  <si>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</si>
  <si>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</si>
  <si>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</si>
  <si>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</si>
  <si>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</si>
  <si>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</si>
  <si>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</si>
  <si>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</si>
  <si>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</si>
  <si>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</si>
  <si>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</si>
  <si>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</si>
  <si>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</si>
  <si>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</si>
  <si>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</si>
  <si>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</si>
  <si>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</si>
  <si>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</si>
  <si>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</si>
  <si>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</si>
  <si>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</si>
  <si>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</si>
  <si>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</si>
  <si>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</si>
  <si>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</si>
  <si>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</si>
  <si>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</si>
  <si>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</si>
  <si>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</si>
  <si>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</si>
  <si>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</si>
  <si>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</si>
  <si>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</si>
  <si>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</si>
  <si>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</si>
  <si>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</si>
  <si>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</si>
  <si>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</si>
  <si>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</si>
  <si>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</si>
  <si>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</si>
  <si>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</si>
  <si>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</si>
  <si>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</si>
  <si>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</si>
  <si>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</si>
  <si>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</si>
  <si>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</si>
  <si>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</si>
  <si>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</si>
  <si>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</si>
  <si>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</si>
  <si>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</si>
  <si>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</si>
  <si>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</si>
  <si>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</si>
  <si>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</si>
  <si>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</si>
  <si>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</si>
  <si>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</si>
  <si>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</si>
  <si>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</si>
  <si>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</si>
  <si>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</si>
  <si>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</si>
  <si>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</si>
  <si>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</si>
  <si>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</si>
  <si>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</si>
  <si>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</si>
  <si>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</si>
  <si>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</si>
  <si>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</si>
  <si>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</si>
  <si>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</si>
  <si>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</si>
  <si>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</si>
  <si>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</si>
  <si>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</si>
  <si>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</si>
  <si>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</si>
  <si>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</si>
  <si>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</si>
  <si>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</si>
  <si>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</si>
  <si>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</si>
  <si>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</si>
  <si>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</si>
  <si>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</si>
  <si>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</si>
  <si>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</si>
  <si>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</si>
  <si>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</si>
  <si>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</si>
  <si>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</si>
  <si>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</si>
  <si>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</si>
  <si>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</si>
  <si>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</si>
  <si>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</si>
  <si>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</si>
  <si>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</si>
  <si>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</si>
  <si>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</si>
  <si>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</si>
  <si>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</si>
  <si>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</si>
  <si>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</si>
  <si>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</si>
  <si>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</si>
  <si>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</si>
  <si>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</si>
  <si>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</si>
  <si>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</si>
  <si>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</si>
  <si>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</si>
  <si>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</si>
  <si>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</si>
  <si>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</si>
  <si>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</si>
  <si>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</si>
  <si>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</si>
  <si>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</si>
  <si>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</si>
  <si>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</si>
  <si>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</si>
  <si>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</si>
  <si>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</si>
  <si>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</si>
  <si>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</si>
  <si>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</si>
  <si>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</si>
  <si>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</si>
  <si>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</si>
  <si>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</si>
  <si>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</si>
  <si>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</si>
  <si>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</si>
  <si>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</si>
  <si>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</si>
  <si>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</si>
  <si>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</si>
  <si>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</si>
  <si>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</si>
  <si>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</si>
  <si>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</si>
  <si>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</si>
  <si>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</si>
  <si>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</si>
  <si>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</si>
  <si>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</si>
  <si>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</si>
  <si>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</si>
  <si>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</si>
  <si>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</si>
  <si>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</si>
  <si>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</si>
  <si>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</si>
  <si>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</si>
  <si>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</si>
  <si>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</si>
  <si>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</si>
  <si>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</si>
  <si>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</si>
  <si>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</si>
  <si>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</si>
  <si>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</si>
  <si>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</si>
  <si>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</si>
  <si>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</si>
  <si>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</si>
  <si>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</si>
  <si>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</si>
  <si>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</si>
  <si>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</si>
  <si>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</si>
  <si>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</si>
  <si>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</si>
  <si>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</si>
  <si>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</si>
  <si>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</si>
  <si>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</si>
  <si>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</si>
  <si>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</si>
  <si>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</si>
  <si>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</si>
  <si>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</si>
  <si>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</si>
  <si>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</si>
  <si>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</si>
  <si>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</si>
  <si>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</si>
  <si>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</si>
  <si>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</si>
  <si>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</si>
  <si>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</si>
  <si>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</si>
  <si>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</si>
  <si>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</si>
  <si>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</si>
  <si>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</si>
  <si>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</si>
  <si>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</si>
  <si>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</si>
  <si>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</si>
  <si>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</si>
  <si>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</si>
  <si>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</si>
  <si>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</si>
  <si>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</si>
  <si>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</si>
  <si>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</si>
  <si>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</si>
  <si>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</si>
  <si>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</si>
  <si>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</si>
  <si>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</si>
  <si>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</si>
  <si>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</si>
  <si>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</si>
  <si>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</si>
  <si>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</si>
  <si>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</si>
  <si>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</si>
  <si>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</si>
  <si>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</si>
  <si>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</si>
  <si>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</si>
  <si>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</si>
  <si>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</si>
  <si>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</si>
  <si>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</si>
  <si>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</si>
  <si>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</si>
  <si>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</si>
  <si>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</si>
  <si>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</si>
  <si>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</si>
  <si>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</si>
  <si>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</si>
  <si>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</si>
  <si>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</si>
  <si>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</si>
  <si>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</si>
  <si>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</si>
  <si>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</si>
  <si>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</si>
  <si>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</si>
  <si>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</si>
  <si>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</si>
  <si>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</si>
  <si>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</si>
  <si>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</si>
  <si>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</si>
  <si>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</si>
  <si>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</si>
  <si>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</si>
  <si>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</si>
  <si>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</si>
  <si>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</si>
  <si>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</si>
  <si>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</si>
  <si>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</si>
  <si>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</si>
  <si>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</si>
  <si>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</si>
  <si>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</si>
  <si>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</si>
  <si>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</si>
  <si>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</si>
  <si>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</si>
  <si>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</si>
  <si>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</si>
  <si>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</si>
  <si>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</si>
  <si>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</si>
  <si>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</si>
  <si>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</si>
  <si>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</si>
  <si>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</si>
  <si>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</si>
  <si>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</si>
  <si>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</si>
  <si>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</si>
  <si>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</si>
  <si>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</si>
  <si>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</si>
  <si>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</si>
  <si>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</si>
  <si>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</si>
  <si>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</si>
  <si>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</si>
  <si>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</si>
  <si>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</si>
  <si>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</si>
  <si>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</si>
  <si>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</si>
  <si>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</si>
  <si>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</si>
  <si>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</si>
  <si>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</si>
  <si>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</si>
  <si>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</si>
  <si>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</si>
  <si>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</si>
  <si>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</si>
  <si>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</si>
  <si>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</si>
  <si>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</si>
  <si>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</si>
  <si>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</si>
  <si>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</si>
  <si>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</si>
  <si>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</si>
  <si>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</si>
  <si>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</si>
  <si>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</si>
  <si>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</si>
  <si>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</si>
  <si>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</si>
  <si>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</si>
  <si>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</si>
  <si>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</si>
  <si>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</si>
  <si>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</si>
  <si>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</si>
  <si>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</si>
  <si>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</si>
  <si>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</si>
  <si>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</si>
  <si>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</si>
  <si>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</si>
  <si>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</si>
  <si>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</si>
  <si>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</si>
  <si>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</si>
  <si>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</si>
  <si>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</si>
  <si>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</si>
  <si>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</si>
  <si>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</si>
  <si>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</si>
  <si>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</si>
  <si>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</si>
  <si>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</si>
  <si>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</si>
  <si>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</si>
  <si>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</si>
  <si>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</si>
  <si>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</si>
  <si>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</si>
  <si>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</si>
  <si>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</si>
  <si>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</si>
  <si>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</si>
  <si>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</si>
  <si>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</si>
  <si>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</si>
  <si>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</si>
  <si>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</si>
  <si>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</si>
  <si>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</si>
  <si>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</si>
  <si>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</si>
  <si>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</si>
  <si>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</si>
  <si>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</si>
  <si>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</si>
  <si>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</si>
  <si>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</si>
  <si>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</si>
  <si>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</si>
  <si>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</si>
  <si>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</si>
  <si>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</si>
  <si>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</si>
  <si>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</si>
  <si>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</si>
  <si>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</si>
  <si>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</si>
  <si>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</si>
  <si>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</si>
  <si>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</si>
  <si>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</si>
  <si>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</si>
  <si>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</si>
  <si>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</si>
  <si>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</si>
  <si>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</si>
  <si>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</si>
  <si>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</si>
  <si>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</si>
  <si>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</si>
  <si>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</si>
  <si>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</si>
  <si>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</si>
  <si>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</si>
  <si>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</si>
  <si>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</si>
  <si>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</si>
  <si>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</si>
  <si>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</si>
  <si>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</si>
  <si>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</si>
  <si>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</si>
  <si>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</si>
  <si>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</si>
  <si>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</si>
  <si>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</si>
  <si>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</si>
  <si>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</si>
  <si>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</si>
  <si>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</si>
  <si>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</si>
  <si>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</si>
  <si>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</si>
  <si>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</si>
  <si>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</si>
  <si>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</si>
  <si>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</si>
  <si>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</si>
  <si>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</si>
  <si>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</si>
  <si>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</si>
  <si>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</si>
  <si>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</si>
  <si>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</si>
  <si>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</si>
  <si>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</si>
  <si>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</si>
  <si>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</si>
  <si>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</si>
  <si>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</si>
  <si>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</si>
  <si>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</si>
  <si>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</si>
  <si>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</si>
  <si>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</si>
  <si>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</si>
  <si>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</si>
  <si>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</si>
  <si>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</si>
  <si>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</si>
  <si>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</si>
  <si>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</si>
  <si>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</si>
  <si>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</si>
  <si>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</si>
  <si>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</si>
  <si>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</si>
  <si>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</si>
  <si>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</si>
  <si>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</si>
  <si>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</si>
  <si>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</si>
  <si>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</si>
  <si>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</si>
  <si>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</si>
  <si>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</si>
  <si>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</si>
  <si>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</si>
  <si>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</si>
  <si>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</si>
  <si>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</si>
  <si>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</si>
  <si>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</si>
  <si>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</si>
  <si>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</si>
  <si>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</si>
  <si>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</si>
  <si>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</si>
  <si>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</si>
  <si>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</si>
  <si>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</si>
  <si>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</si>
  <si>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</si>
  <si>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</si>
  <si>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</si>
  <si>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</si>
  <si>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</si>
  <si>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</si>
  <si>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</si>
  <si>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</si>
  <si>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</si>
  <si>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</si>
  <si>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</si>
  <si>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</si>
  <si>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</si>
  <si>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</si>
  <si>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</si>
  <si>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</si>
  <si>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</si>
  <si>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</si>
  <si>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</si>
  <si>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</si>
  <si>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</si>
  <si>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</si>
  <si>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</si>
  <si>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</si>
  <si>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</si>
  <si>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</si>
  <si>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</si>
  <si>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</si>
  <si>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</si>
  <si>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</si>
  <si>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</si>
  <si>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</si>
  <si>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</si>
  <si>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</si>
  <si>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</si>
  <si>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</si>
  <si>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</si>
  <si>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</si>
  <si>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</si>
  <si>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</si>
  <si>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</si>
  <si>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</si>
  <si>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</si>
  <si>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</si>
  <si>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</si>
  <si>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</si>
  <si>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</si>
  <si>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</si>
  <si>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</si>
  <si>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</si>
  <si>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</si>
  <si>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</si>
  <si>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</si>
  <si>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</si>
  <si>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</si>
  <si>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</si>
  <si>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</si>
  <si>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</si>
  <si>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</si>
  <si>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</si>
  <si>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</si>
  <si>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</si>
  <si>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</si>
  <si>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</si>
  <si>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</si>
  <si>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</si>
  <si>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</si>
  <si>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</si>
  <si>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</si>
  <si>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</si>
  <si>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</si>
  <si>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</si>
  <si>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</si>
  <si>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</si>
  <si>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</si>
  <si>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</si>
  <si>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</si>
  <si>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</si>
  <si>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</si>
  <si>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</si>
  <si>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</si>
  <si>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</si>
  <si>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</si>
  <si>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</si>
  <si>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</si>
  <si>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</si>
  <si>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</si>
  <si>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</si>
  <si>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</si>
  <si>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</si>
  <si>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</si>
  <si>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</si>
  <si>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</si>
  <si>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</si>
  <si>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</si>
  <si>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</si>
  <si>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</si>
  <si>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</si>
  <si>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</si>
  <si>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</si>
  <si>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</si>
  <si>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</si>
  <si>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</si>
  <si>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</si>
  <si>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</si>
  <si>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</si>
  <si>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</si>
  <si>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</si>
  <si>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</si>
  <si>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</si>
  <si>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</si>
  <si>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</si>
  <si>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</si>
  <si>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</si>
  <si>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</si>
  <si>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</si>
  <si>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</si>
  <si>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</si>
  <si>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</si>
  <si>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</si>
  <si>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</si>
  <si>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</si>
  <si>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</si>
  <si>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</si>
  <si>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</si>
  <si>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</si>
  <si>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</si>
  <si>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</si>
  <si>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</si>
  <si>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</si>
  <si>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</si>
  <si>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</si>
  <si>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</si>
  <si>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</si>
  <si>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</si>
  <si>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</si>
  <si>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</si>
  <si>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</si>
  <si>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</si>
  <si>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</si>
  <si>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</si>
  <si>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</si>
  <si>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</si>
  <si>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</si>
  <si>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</si>
  <si>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</si>
  <si>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</si>
  <si>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</si>
  <si>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</si>
  <si>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</si>
  <si>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</si>
  <si>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</si>
  <si>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</si>
  <si>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</si>
  <si>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</si>
  <si>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</si>
  <si>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</si>
  <si>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</si>
  <si>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</si>
  <si>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</si>
  <si>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</si>
  <si>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</si>
  <si>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</si>
  <si>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</si>
  <si>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</si>
  <si>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</si>
  <si>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</si>
  <si>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</si>
  <si>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</si>
  <si>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</si>
  <si>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</si>
  <si>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</si>
  <si>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</si>
  <si>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</si>
  <si>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</si>
  <si>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</si>
  <si>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</si>
  <si>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</si>
  <si>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</si>
  <si>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</si>
  <si>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</si>
  <si>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</si>
  <si>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</si>
  <si>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</si>
  <si>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</si>
  <si>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</si>
  <si>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</si>
  <si>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</si>
  <si>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</si>
  <si>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</si>
  <si>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</si>
  <si>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</si>
  <si>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</si>
  <si>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</si>
  <si>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</si>
  <si>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</si>
  <si>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</si>
  <si>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</si>
  <si>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</si>
  <si>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</si>
  <si>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</si>
  <si>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</si>
  <si>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</si>
  <si>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</si>
  <si>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</si>
  <si>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</si>
  <si>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</si>
  <si>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</si>
  <si>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</si>
  <si>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</si>
  <si>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</si>
  <si>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</si>
  <si>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</si>
  <si>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</si>
  <si>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</si>
  <si>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</si>
  <si>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</si>
  <si>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</si>
  <si>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</si>
  <si>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</si>
  <si>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</si>
  <si>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</si>
  <si>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</si>
  <si>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</si>
  <si>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</si>
  <si>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</si>
  <si>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</si>
  <si>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</si>
  <si>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</si>
  <si>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</si>
  <si>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</si>
  <si>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</si>
  <si>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</si>
  <si>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</si>
  <si>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</si>
  <si>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</si>
  <si>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</si>
  <si>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</si>
  <si>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</si>
  <si>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</si>
  <si>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</si>
  <si>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</si>
  <si>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</si>
  <si>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</si>
  <si>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</si>
  <si>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</si>
  <si>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</si>
  <si>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</si>
  <si>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</si>
  <si>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</si>
  <si>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</si>
  <si>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</si>
  <si>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</si>
  <si>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</si>
  <si>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</si>
  <si>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</si>
  <si>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</si>
  <si>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</si>
  <si>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</si>
  <si>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</si>
  <si>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</si>
  <si>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</si>
  <si>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</si>
  <si>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</si>
  <si>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</si>
  <si>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</si>
  <si>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</si>
  <si>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</si>
  <si>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</si>
  <si>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</si>
  <si>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</si>
  <si>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</si>
  <si>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</si>
  <si>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</si>
  <si>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</si>
  <si>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</si>
  <si>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</si>
  <si>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</si>
  <si>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</si>
  <si>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</si>
  <si>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</si>
  <si>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</si>
  <si>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</si>
  <si>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</si>
  <si>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</si>
  <si>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</si>
  <si>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</si>
  <si>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</si>
  <si>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</si>
  <si>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</si>
  <si>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</si>
  <si>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</si>
  <si>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</si>
  <si>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</si>
  <si>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</si>
  <si>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</si>
  <si>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</si>
  <si>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</si>
  <si>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</si>
  <si>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</si>
  <si>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</si>
  <si>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</si>
  <si>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</si>
  <si>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</si>
  <si>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</si>
  <si>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</si>
  <si>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</si>
  <si>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</si>
  <si>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</si>
  <si>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</si>
  <si>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</si>
  <si>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</si>
  <si>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</si>
  <si>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</si>
  <si>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</si>
  <si>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</si>
  <si>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</si>
  <si>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</si>
  <si>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</si>
  <si>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</si>
  <si>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</si>
  <si>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</si>
  <si>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</si>
  <si>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</si>
  <si>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</si>
  <si>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</si>
  <si>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</si>
  <si>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</si>
  <si>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</si>
  <si>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</si>
  <si>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</si>
  <si>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</si>
  <si>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</si>
  <si>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</si>
  <si>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</si>
  <si>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</si>
  <si>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</si>
  <si>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</si>
  <si>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</si>
  <si>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</si>
  <si>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</si>
  <si>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</si>
  <si>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</si>
  <si>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</si>
  <si>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</si>
  <si>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</si>
  <si>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</si>
  <si>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</si>
  <si>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</si>
  <si>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</si>
  <si>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</si>
  <si>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</si>
  <si>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</si>
  <si>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</si>
  <si>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</si>
  <si>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</si>
  <si>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</si>
  <si>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</si>
  <si>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</si>
  <si>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</si>
  <si>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</si>
  <si>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</si>
  <si>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</si>
  <si>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</si>
  <si>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</si>
  <si>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</si>
  <si>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</si>
  <si>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</si>
  <si>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</si>
  <si>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</si>
  <si>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</si>
  <si>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</si>
  <si>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</si>
  <si>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</si>
  <si>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</si>
  <si>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</si>
  <si>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</si>
  <si>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</si>
  <si>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</si>
  <si>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</si>
  <si>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</si>
  <si>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</si>
  <si>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</si>
  <si>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</si>
  <si>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</si>
  <si>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</si>
  <si>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</si>
  <si>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</si>
  <si>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</si>
  <si>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</si>
  <si>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</si>
  <si>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</si>
  <si>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</si>
  <si>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</si>
  <si>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</si>
  <si>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</si>
  <si>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</si>
  <si>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</si>
  <si>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</si>
  <si>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</si>
  <si>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</si>
  <si>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</si>
  <si>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</si>
  <si>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</si>
  <si>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</si>
  <si>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</si>
  <si>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</si>
  <si>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</si>
  <si>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</si>
  <si>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</si>
  <si>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</si>
  <si>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</si>
  <si>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</si>
  <si>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</si>
  <si>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</si>
  <si>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</si>
  <si>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</si>
  <si>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</si>
  <si>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</si>
  <si>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</si>
  <si>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</si>
  <si>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</si>
  <si>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</si>
  <si>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</si>
  <si>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</si>
  <si>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</si>
  <si>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</si>
  <si>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</si>
  <si>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</si>
  <si>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</si>
  <si>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</si>
  <si>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</si>
  <si>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</si>
  <si>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</si>
  <si>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</si>
  <si>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</si>
  <si>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</si>
  <si>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</si>
  <si>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</si>
  <si>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</si>
  <si>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</si>
  <si>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</si>
  <si>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</si>
  <si>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</si>
  <si>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</si>
  <si>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</si>
  <si>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</si>
  <si>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</si>
  <si>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</si>
  <si>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</si>
  <si>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</si>
  <si>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</si>
  <si>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</si>
  <si>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</si>
  <si>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</si>
  <si>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</si>
  <si>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</si>
  <si>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</si>
  <si>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</si>
  <si>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</si>
  <si>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</si>
  <si>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</si>
  <si>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</si>
  <si>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</si>
  <si>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</si>
  <si>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</si>
  <si>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</si>
  <si>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</si>
  <si>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</si>
  <si>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</si>
  <si>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</si>
  <si>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</si>
  <si>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</si>
  <si>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</si>
  <si>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</si>
  <si>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</si>
  <si>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</si>
  <si>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</si>
  <si>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</si>
  <si>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</si>
  <si>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</si>
  <si>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</si>
  <si>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</si>
  <si>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</si>
  <si>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</si>
  <si>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</si>
  <si>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</si>
  <si>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</si>
  <si>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</si>
  <si>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</si>
  <si>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</si>
  <si>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</si>
  <si>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</si>
  <si>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</si>
  <si>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</si>
  <si>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</si>
  <si>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</si>
  <si>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</si>
  <si>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</si>
  <si>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</si>
  <si>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</si>
  <si>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</si>
  <si>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</si>
  <si>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</si>
  <si>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</si>
  <si>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</si>
  <si>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</si>
  <si>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</si>
  <si>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</si>
  <si>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</si>
  <si>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</si>
  <si>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</si>
  <si>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</si>
  <si>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</si>
  <si>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</si>
  <si>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</si>
  <si>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</si>
  <si>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</si>
  <si>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</si>
  <si>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</si>
  <si>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</si>
  <si>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</si>
  <si>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</si>
  <si>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</si>
  <si>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</si>
  <si>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</si>
  <si>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</si>
  <si>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</si>
  <si>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</si>
  <si>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</si>
  <si>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</si>
  <si>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</si>
  <si>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</si>
  <si>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</si>
  <si>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</si>
  <si>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</si>
  <si>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</si>
  <si>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</si>
  <si>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</si>
  <si>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</si>
  <si>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</si>
  <si>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</si>
  <si>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</si>
  <si>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</si>
  <si>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</si>
  <si>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</si>
  <si>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</si>
  <si>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</si>
  <si>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</si>
  <si>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</si>
  <si>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</si>
  <si>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</si>
  <si>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</si>
  <si>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</si>
  <si>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</si>
  <si>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</si>
  <si>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</si>
  <si>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</si>
  <si>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</si>
  <si>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</si>
  <si>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</si>
  <si>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</si>
  <si>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</si>
  <si>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</si>
  <si>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</si>
  <si>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</si>
  <si>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</si>
  <si>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</si>
  <si>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</si>
  <si>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</si>
  <si>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</si>
  <si>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</si>
  <si>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</si>
  <si>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</si>
  <si>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</si>
  <si>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</si>
  <si>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</si>
  <si>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</si>
  <si>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</si>
  <si>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</si>
  <si>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</si>
  <si>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</si>
  <si>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</si>
  <si>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</si>
  <si>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</si>
  <si>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</si>
  <si>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</si>
  <si>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</si>
  <si>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</si>
  <si>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</si>
  <si>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</si>
  <si>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</si>
  <si>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</si>
  <si>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</si>
  <si>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</si>
  <si>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</si>
  <si>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</si>
  <si>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</si>
  <si>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</si>
  <si>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</si>
  <si>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</si>
  <si>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</si>
  <si>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</si>
  <si>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</si>
  <si>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</si>
  <si>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</si>
  <si>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</si>
  <si>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</si>
  <si>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</si>
  <si>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</si>
  <si>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</si>
  <si>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</si>
  <si>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</si>
  <si>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</si>
  <si>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</si>
  <si>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</si>
  <si>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</si>
  <si>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</si>
  <si>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</si>
  <si>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</si>
  <si>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</si>
  <si>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</si>
  <si>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</si>
  <si>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</si>
  <si>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</si>
  <si>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</si>
  <si>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</si>
  <si>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</si>
  <si>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</si>
  <si>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</si>
  <si>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</si>
  <si>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</si>
  <si>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</si>
  <si>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</si>
  <si>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</si>
  <si>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</si>
  <si>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</si>
  <si>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</si>
  <si>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</si>
  <si>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</si>
  <si>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</si>
  <si>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</si>
  <si>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</si>
  <si>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</si>
  <si>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</si>
  <si>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</si>
  <si>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</si>
  <si>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</si>
  <si>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</si>
  <si>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</si>
  <si>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</si>
  <si>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</si>
  <si>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</si>
  <si>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</si>
  <si>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</si>
  <si>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</si>
  <si>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</si>
  <si>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</si>
  <si>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</si>
  <si>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</si>
  <si>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</si>
  <si>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</si>
  <si>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</si>
  <si>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</si>
  <si>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</si>
  <si>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</si>
  <si>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</si>
  <si>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</si>
  <si>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</si>
  <si>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</si>
  <si>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</si>
  <si>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</si>
  <si>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</si>
  <si>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</si>
  <si>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</si>
  <si>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</si>
  <si>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</si>
  <si>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</si>
  <si>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</si>
  <si>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</si>
  <si>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</si>
  <si>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</si>
  <si>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</si>
  <si>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</si>
  <si>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</si>
  <si>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</si>
  <si>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</si>
  <si>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</si>
  <si>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</si>
  <si>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</si>
  <si>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</si>
  <si>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</si>
  <si>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</si>
  <si>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</si>
  <si>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</si>
  <si>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</si>
  <si>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</si>
  <si>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</si>
  <si>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</si>
  <si>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</si>
  <si>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</si>
  <si>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</si>
  <si>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</si>
  <si>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</si>
  <si>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</si>
  <si>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</si>
  <si>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</si>
  <si>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</si>
  <si>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</si>
  <si>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</si>
  <si>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</si>
  <si>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</si>
  <si>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</si>
  <si>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</si>
  <si>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</si>
  <si>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</si>
  <si>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</si>
  <si>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</si>
  <si>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</si>
  <si>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</si>
  <si>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</si>
  <si>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</si>
  <si>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</si>
  <si>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</si>
  <si>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</si>
  <si>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</si>
  <si>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</si>
  <si>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</si>
  <si>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</si>
  <si>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</si>
  <si>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</si>
  <si>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</si>
  <si>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</si>
  <si>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</si>
  <si>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</si>
  <si>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</si>
  <si>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</si>
  <si>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</si>
  <si>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</si>
  <si>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</si>
  <si>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</si>
  <si>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</si>
  <si>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</si>
  <si>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</si>
  <si>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</si>
  <si>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</si>
  <si>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</si>
  <si>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</si>
  <si>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</si>
  <si>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</si>
  <si>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</si>
  <si>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</si>
  <si>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</si>
  <si>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</si>
  <si>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</si>
  <si>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</si>
  <si>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</si>
  <si>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</si>
  <si>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</si>
  <si>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</si>
  <si>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</si>
  <si>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</si>
  <si>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</si>
  <si>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</si>
  <si>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</si>
  <si>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</si>
  <si>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</si>
  <si>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</si>
  <si>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</si>
  <si>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</si>
  <si>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</si>
  <si>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</si>
  <si>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</si>
  <si>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</si>
  <si>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</si>
  <si>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</si>
  <si>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</si>
  <si>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</si>
  <si>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</si>
  <si>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</si>
  <si>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</si>
  <si>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</si>
  <si>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</si>
  <si>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</si>
  <si>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</si>
  <si>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</si>
  <si>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</si>
  <si>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</si>
  <si>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</si>
  <si>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</si>
  <si>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</si>
  <si>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</si>
  <si>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</si>
  <si>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</si>
  <si>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</si>
  <si>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</si>
  <si>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</si>
  <si>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</si>
  <si>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</si>
  <si>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</si>
  <si>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</si>
  <si>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</si>
  <si>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</si>
  <si>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</si>
  <si>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</si>
  <si>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</si>
  <si>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</si>
  <si>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</si>
  <si>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</si>
  <si>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</si>
  <si>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</si>
  <si>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</si>
  <si>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</si>
  <si>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</si>
  <si>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</si>
  <si>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</si>
  <si>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</si>
  <si>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</si>
  <si>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</si>
  <si>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</si>
  <si>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</si>
  <si>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</si>
  <si>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</si>
  <si>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</si>
  <si>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</si>
  <si>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</si>
  <si>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</si>
  <si>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</si>
  <si>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</si>
  <si>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</si>
  <si>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</si>
  <si>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</si>
  <si>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</si>
  <si>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</si>
  <si>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</si>
  <si>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</si>
  <si>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</si>
  <si>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</si>
  <si>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</si>
  <si>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</si>
  <si>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</si>
  <si>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</si>
  <si>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</si>
  <si>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</si>
  <si>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</si>
  <si>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</si>
  <si>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</si>
  <si>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</si>
  <si>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</si>
  <si>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</si>
  <si>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</si>
  <si>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</si>
  <si>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</si>
  <si>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</si>
  <si>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</si>
  <si>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</si>
  <si>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</si>
  <si>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</si>
  <si>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</si>
  <si>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</si>
  <si>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</si>
  <si>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</si>
  <si>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</si>
  <si>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</si>
  <si>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</si>
  <si>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</si>
  <si>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</si>
  <si>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</si>
  <si>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</si>
  <si>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</si>
  <si>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</si>
  <si>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</si>
  <si>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</si>
  <si>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</si>
  <si>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</si>
  <si>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</si>
  <si>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</si>
  <si>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</si>
  <si>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</si>
  <si>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</si>
  <si>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</si>
  <si>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</si>
  <si>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</si>
  <si>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</si>
  <si>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</si>
  <si>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</si>
  <si>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</si>
  <si>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</si>
  <si>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</si>
  <si>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</si>
  <si>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</si>
  <si>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</si>
  <si>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</si>
  <si>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</si>
  <si>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</si>
  <si>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</si>
  <si>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</si>
  <si>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</si>
  <si>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</si>
  <si>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</si>
  <si>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</si>
  <si>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</si>
  <si>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</si>
  <si>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</si>
  <si>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</si>
  <si>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</si>
  <si>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</si>
  <si>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</si>
  <si>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</si>
  <si>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</si>
  <si>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</si>
  <si>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</si>
  <si>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</si>
  <si>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</si>
  <si>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</si>
  <si>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</si>
  <si>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</si>
  <si>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</si>
  <si>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</si>
  <si>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</si>
  <si>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</si>
  <si>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</si>
  <si>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</si>
  <si>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</si>
  <si>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</si>
  <si>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</si>
  <si>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</si>
  <si>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</si>
  <si>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</si>
  <si>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</si>
  <si>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</si>
  <si>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</si>
  <si>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</si>
  <si>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</si>
  <si>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</si>
  <si>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</si>
  <si>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</si>
  <si>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</si>
  <si>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</si>
  <si>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</si>
  <si>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</si>
  <si>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</si>
  <si>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</si>
  <si>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</si>
  <si>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</si>
  <si>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</si>
  <si>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</si>
  <si>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</si>
  <si>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</si>
  <si>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</si>
  <si>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</si>
  <si>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</si>
  <si>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</si>
  <si>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</si>
  <si>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</si>
  <si>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</si>
  <si>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</si>
  <si>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</si>
  <si>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</si>
  <si>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</si>
  <si>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</si>
  <si>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</si>
  <si>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</si>
  <si>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</si>
  <si>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</si>
  <si>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</si>
  <si>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</si>
  <si>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</si>
  <si>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</si>
  <si>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</si>
  <si>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</si>
  <si>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</si>
  <si>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</si>
  <si>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</si>
  <si>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</si>
  <si>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</si>
  <si>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</si>
  <si>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</si>
  <si>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</si>
  <si>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</si>
  <si>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</si>
  <si>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</si>
  <si>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</si>
  <si>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</si>
  <si>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</si>
  <si>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</si>
  <si>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</si>
  <si>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</si>
  <si>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</si>
  <si>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</si>
  <si>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</si>
  <si>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</si>
  <si>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</si>
  <si>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</si>
  <si>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</si>
  <si>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</si>
  <si>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</si>
  <si>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</si>
  <si>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</si>
  <si>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</si>
  <si>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</si>
  <si>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</si>
  <si>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</si>
  <si>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</si>
  <si>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</si>
  <si>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</si>
  <si>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</si>
  <si>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</si>
  <si>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</si>
  <si>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</si>
  <si>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</si>
  <si>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</si>
  <si>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</si>
  <si>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</si>
  <si>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</si>
  <si>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</si>
  <si>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</si>
  <si>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</si>
  <si>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</si>
  <si>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</si>
  <si>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</si>
  <si>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</si>
  <si>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</si>
  <si>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</si>
  <si>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</si>
  <si>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</si>
  <si>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</si>
  <si>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</si>
  <si>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</si>
  <si>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</si>
  <si>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</si>
  <si>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</si>
  <si>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</si>
  <si>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</si>
  <si>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</si>
  <si>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</si>
  <si>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</si>
  <si>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</si>
  <si>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</si>
  <si>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</si>
  <si>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</si>
  <si>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</si>
  <si>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</si>
  <si>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</si>
  <si>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</si>
  <si>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</si>
  <si>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</si>
  <si>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</si>
  <si>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</si>
  <si>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</si>
  <si>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</si>
  <si>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</si>
  <si>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</si>
  <si>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</si>
  <si>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</si>
  <si>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</si>
  <si>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</si>
  <si>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</si>
  <si>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</si>
  <si>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</si>
  <si>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</si>
  <si>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</si>
  <si>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</si>
  <si>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</si>
  <si>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</si>
  <si>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</si>
  <si>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</si>
  <si>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</si>
  <si>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</si>
  <si>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</si>
  <si>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</si>
  <si>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</si>
  <si>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</si>
  <si>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</si>
  <si>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</si>
  <si>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</si>
  <si>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</si>
  <si>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</si>
  <si>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</si>
  <si>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</si>
  <si>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</si>
  <si>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</si>
  <si>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</si>
  <si>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</si>
  <si>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</si>
  <si>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</si>
  <si>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</si>
  <si>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</si>
  <si>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</si>
  <si>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</si>
  <si>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</si>
  <si>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</si>
  <si>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</si>
  <si>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</si>
  <si>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</si>
  <si>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</si>
  <si>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</si>
  <si>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</si>
  <si>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</si>
  <si>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</si>
  <si>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</si>
  <si>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</si>
  <si>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</si>
  <si>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</si>
  <si>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</si>
  <si>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</si>
  <si>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</si>
  <si>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</si>
  <si>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</si>
  <si>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</si>
  <si>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</si>
  <si>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</si>
  <si>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</si>
  <si>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</si>
  <si>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</si>
  <si>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</si>
  <si>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</si>
  <si>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</si>
  <si>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</si>
  <si>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</si>
  <si>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</si>
  <si>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</si>
  <si>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</si>
  <si>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</si>
  <si>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</si>
  <si>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</si>
  <si>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</si>
  <si>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</si>
  <si>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</si>
  <si>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</si>
  <si>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</si>
  <si>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</si>
  <si>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</si>
  <si>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</si>
  <si>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</si>
  <si>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</si>
  <si>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</si>
  <si>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</si>
  <si>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</si>
  <si>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</si>
  <si>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</si>
  <si>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</si>
  <si>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</si>
  <si>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</si>
  <si>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</si>
  <si>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</si>
  <si>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</si>
  <si>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</si>
  <si>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</si>
  <si>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</si>
  <si>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</si>
  <si>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</si>
  <si>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</si>
  <si>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</si>
  <si>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</si>
  <si>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</si>
  <si>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</si>
  <si>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</si>
  <si>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</si>
  <si>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</si>
  <si>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</si>
  <si>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</si>
  <si>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</si>
  <si>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</si>
  <si>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</si>
  <si>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</si>
  <si>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</si>
  <si>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</si>
  <si>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</si>
  <si>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</si>
  <si>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</si>
  <si>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</si>
  <si>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</si>
  <si>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</si>
  <si>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</si>
  <si>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</si>
  <si>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</si>
  <si>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</si>
  <si>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</si>
  <si>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</si>
  <si>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</si>
  <si>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</si>
  <si>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</si>
  <si>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</si>
  <si>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</si>
  <si>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</si>
  <si>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</si>
  <si>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</si>
  <si>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</si>
  <si>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</si>
  <si>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</si>
  <si>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</si>
  <si>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</si>
  <si>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</si>
  <si>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</si>
  <si>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</si>
  <si>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</si>
  <si>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</si>
  <si>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</si>
  <si>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</si>
  <si>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</si>
  <si>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</si>
  <si>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</si>
  <si>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</si>
  <si>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</si>
  <si>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</si>
  <si>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</si>
  <si>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</si>
  <si>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</si>
  <si>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</si>
  <si>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</si>
  <si>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</si>
  <si>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</si>
  <si>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</si>
  <si>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</si>
  <si>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</si>
  <si>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</si>
  <si>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</si>
  <si>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</si>
  <si>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</si>
  <si>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</si>
  <si>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</si>
  <si>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</si>
  <si>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</si>
  <si>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</si>
  <si>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</si>
  <si>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</si>
  <si>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</si>
  <si>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</si>
  <si>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</si>
  <si>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</si>
  <si>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</si>
  <si>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</si>
  <si>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</si>
  <si>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</si>
  <si>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</si>
  <si>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</si>
  <si>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</si>
  <si>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</si>
  <si>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</si>
  <si>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</si>
  <si>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</si>
  <si>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</si>
  <si>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</si>
  <si>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</si>
  <si>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</si>
  <si>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</si>
  <si>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</si>
  <si>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</si>
  <si>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</si>
  <si>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</si>
  <si>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</si>
  <si>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</si>
  <si>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</si>
  <si>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</si>
  <si>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</si>
  <si>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</si>
  <si>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</si>
  <si>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</si>
  <si>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</si>
  <si>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</si>
  <si>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</si>
  <si>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</si>
  <si>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</si>
  <si>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</si>
  <si>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</si>
  <si>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</si>
  <si>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</si>
  <si>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</si>
  <si>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</si>
  <si>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</si>
  <si>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</si>
  <si>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</si>
  <si>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</si>
  <si>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</si>
  <si>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</si>
  <si>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</si>
  <si>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</si>
  <si>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</si>
  <si>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</si>
  <si>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</si>
  <si>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</si>
  <si>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</si>
  <si>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</si>
  <si>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</si>
  <si>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</si>
  <si>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</si>
  <si>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</si>
  <si>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</si>
  <si>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</si>
  <si>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</si>
  <si>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</si>
  <si>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</si>
  <si>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</si>
  <si>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</si>
  <si>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</si>
  <si>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</si>
  <si>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</si>
  <si>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</si>
  <si>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</si>
  <si>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</si>
  <si>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</si>
  <si>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</si>
  <si>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</si>
  <si>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</si>
  <si>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</si>
  <si>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</si>
  <si>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</si>
  <si>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</si>
  <si>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</si>
  <si>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</si>
  <si>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</si>
  <si>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</si>
  <si>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</si>
  <si>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</si>
  <si>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</si>
  <si>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</si>
  <si>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</si>
  <si>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</si>
  <si>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</si>
  <si>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</si>
  <si>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</si>
  <si>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</si>
  <si>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</si>
  <si>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</si>
  <si>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</si>
  <si>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</si>
  <si>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</si>
  <si>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</si>
  <si>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</si>
  <si>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</si>
  <si>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</si>
  <si>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</si>
  <si>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</si>
  <si>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</si>
  <si>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</si>
  <si>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</si>
  <si>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</si>
  <si>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</si>
  <si>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</si>
  <si>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</si>
  <si>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</si>
  <si>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</si>
  <si>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</si>
  <si>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</si>
  <si>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</si>
  <si>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</si>
  <si>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</si>
  <si>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</si>
  <si>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</si>
  <si>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</si>
  <si>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</si>
  <si>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</si>
  <si>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</si>
  <si>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</si>
  <si>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</si>
  <si>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</si>
  <si>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</si>
  <si>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</si>
  <si>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</si>
  <si>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</si>
  <si>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</si>
  <si>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</si>
  <si>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</si>
  <si>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</si>
  <si>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</si>
  <si>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</si>
  <si>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</si>
  <si>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</si>
  <si>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</si>
  <si>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</si>
  <si>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</si>
  <si>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</si>
  <si>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</si>
  <si>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</si>
  <si>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</si>
  <si>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</si>
  <si>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</si>
  <si>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</si>
  <si>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</si>
  <si>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</si>
  <si>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</si>
  <si>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</si>
  <si>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</si>
  <si>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</si>
  <si>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</si>
  <si>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</si>
  <si>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</si>
  <si>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</si>
  <si>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</si>
  <si>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</si>
  <si>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</si>
  <si>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</si>
  <si>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</si>
  <si>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</si>
  <si>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</si>
  <si>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</si>
  <si>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</si>
  <si>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</si>
  <si>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</si>
  <si>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</si>
  <si>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</si>
  <si>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</si>
  <si>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</si>
  <si>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</si>
  <si>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</si>
  <si>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</si>
  <si>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</si>
  <si>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</si>
  <si>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</si>
  <si>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</si>
  <si>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</si>
  <si>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</si>
  <si>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</si>
  <si>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</si>
  <si>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</si>
  <si>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</si>
  <si>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</si>
  <si>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</si>
  <si>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</si>
  <si>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</si>
  <si>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</si>
  <si>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</si>
  <si>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</si>
  <si>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</si>
  <si>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</si>
  <si>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</si>
  <si>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</si>
  <si>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</si>
  <si>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</si>
  <si>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</si>
  <si>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</si>
  <si>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</si>
  <si>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</si>
  <si>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</si>
  <si>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</si>
  <si>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</si>
  <si>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</si>
  <si>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</si>
  <si>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</si>
  <si>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</si>
  <si>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</si>
  <si>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</si>
  <si>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</si>
  <si>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</si>
  <si>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</si>
  <si>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</si>
  <si>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</si>
  <si>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</si>
  <si>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</si>
  <si>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</si>
  <si>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</si>
  <si>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</si>
  <si>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</si>
  <si>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</si>
  <si>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</si>
  <si>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</si>
  <si>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</si>
  <si>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</si>
  <si>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</si>
  <si>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</si>
  <si>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</si>
  <si>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</si>
  <si>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</si>
  <si>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</si>
  <si>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</si>
  <si>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</si>
  <si>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</si>
  <si>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</si>
  <si>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</si>
  <si>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</si>
  <si>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</si>
  <si>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</si>
  <si>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</si>
  <si>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</si>
  <si>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</si>
  <si>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</si>
  <si>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</si>
  <si>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</si>
  <si>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</si>
  <si>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</si>
  <si>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</si>
  <si>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</si>
  <si>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</si>
  <si>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</si>
  <si>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</si>
  <si>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</si>
  <si>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</si>
  <si>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</si>
  <si>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</si>
  <si>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</si>
  <si>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</si>
  <si>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</si>
  <si>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</si>
  <si>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</si>
  <si>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</si>
  <si>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</si>
  <si>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</si>
  <si>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</si>
  <si>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</si>
  <si>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</si>
  <si>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</si>
  <si>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</si>
  <si>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</si>
  <si>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</si>
  <si>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</si>
  <si>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</si>
  <si>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</si>
  <si>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</si>
  <si>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</si>
  <si>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</si>
  <si>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</si>
  <si>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</si>
  <si>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</si>
  <si>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</si>
  <si>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</si>
  <si>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</si>
  <si>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</si>
  <si>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</si>
  <si>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</si>
  <si>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</si>
  <si>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</si>
  <si>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</si>
  <si>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</si>
  <si>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</si>
  <si>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</si>
  <si>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</si>
  <si>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</si>
  <si>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</si>
  <si>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</si>
  <si>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</si>
  <si>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</si>
  <si>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</si>
  <si>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</si>
  <si>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</si>
  <si>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</si>
  <si>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</si>
  <si>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</si>
  <si>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</si>
  <si>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</si>
  <si>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</si>
  <si>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</si>
  <si>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</si>
  <si>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</si>
  <si>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</si>
  <si>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</si>
  <si>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</si>
  <si>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</si>
  <si>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</si>
  <si>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</si>
  <si>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</si>
  <si>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</si>
  <si>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</si>
  <si>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</si>
  <si>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</si>
  <si>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</si>
  <si>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</si>
  <si>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</si>
  <si>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</si>
  <si>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</si>
  <si>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</si>
  <si>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</si>
  <si>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</si>
  <si>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</si>
  <si>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</si>
  <si>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</si>
  <si>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</si>
  <si>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</si>
  <si>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</si>
  <si>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</si>
  <si>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</si>
  <si>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</si>
  <si>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</si>
  <si>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</si>
  <si>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</si>
  <si>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</si>
  <si>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</si>
  <si>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</si>
  <si>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</si>
  <si>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</si>
  <si>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</si>
  <si>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</si>
  <si>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</si>
  <si>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</si>
  <si>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</si>
  <si>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</si>
  <si>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</si>
  <si>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</si>
  <si>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</si>
  <si>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</si>
  <si>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</si>
  <si>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</si>
  <si>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</si>
  <si>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</si>
  <si>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</si>
  <si>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</si>
  <si>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</si>
  <si>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</si>
  <si>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</si>
  <si>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</si>
  <si>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</si>
  <si>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</si>
  <si>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</si>
  <si>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</si>
  <si>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</si>
  <si>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</si>
  <si>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</si>
  <si>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</si>
  <si>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</si>
  <si>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</si>
  <si>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</si>
  <si>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</si>
  <si>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</si>
  <si>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</si>
  <si>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</si>
  <si>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</si>
  <si>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</si>
  <si>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</si>
  <si>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</si>
  <si>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</si>
  <si>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</si>
  <si>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</si>
  <si>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</si>
  <si>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</si>
  <si>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</si>
  <si>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</si>
  <si>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</si>
  <si>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</si>
  <si>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</si>
  <si>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</si>
  <si>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</si>
  <si>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</si>
  <si>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</si>
  <si>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</si>
  <si>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</si>
  <si>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</si>
  <si>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</si>
  <si>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</si>
  <si>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</si>
  <si>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</si>
  <si>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</si>
  <si>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</si>
  <si>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</si>
  <si>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</si>
  <si>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</si>
  <si>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</si>
  <si>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</si>
  <si>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</si>
  <si>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</si>
  <si>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</si>
  <si>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</si>
  <si>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</si>
  <si>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</si>
  <si>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</si>
  <si>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</si>
  <si>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</si>
  <si>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</si>
  <si>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</si>
  <si>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</si>
  <si>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</si>
  <si>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</si>
  <si>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</si>
  <si>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</si>
  <si>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</si>
  <si>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</si>
  <si>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</si>
  <si>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</si>
  <si>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</si>
  <si>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</si>
  <si>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</si>
  <si>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</si>
  <si>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</si>
  <si>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</si>
  <si>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</si>
  <si>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</si>
  <si>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</si>
  <si>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</si>
  <si>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</si>
  <si>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</si>
  <si>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</si>
  <si>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</si>
  <si>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</si>
  <si>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</si>
  <si>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</si>
  <si>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</si>
  <si>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</si>
  <si>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</si>
  <si>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</si>
  <si>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</si>
  <si>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</si>
  <si>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</si>
  <si>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</si>
  <si>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</si>
  <si>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</si>
  <si>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</si>
  <si>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</si>
  <si>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</si>
  <si>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</si>
  <si>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</si>
  <si>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</si>
  <si>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</si>
  <si>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</si>
  <si>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</si>
  <si>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</si>
  <si>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</si>
  <si>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</si>
  <si>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</si>
  <si>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</si>
  <si>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</si>
  <si>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</si>
  <si>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</si>
  <si>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</si>
  <si>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</si>
  <si>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</si>
  <si>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</si>
  <si>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</si>
  <si>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</si>
  <si>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</si>
  <si>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</si>
  <si>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</si>
  <si>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</si>
  <si>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</si>
  <si>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</si>
  <si>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</si>
  <si>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</si>
  <si>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</si>
  <si>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</si>
  <si>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</si>
  <si>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</si>
  <si>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</si>
  <si>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</si>
  <si>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</si>
  <si>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</si>
  <si>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</si>
  <si>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</si>
  <si>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</si>
  <si>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</si>
  <si>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</si>
  <si>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</si>
  <si>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</si>
  <si>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</si>
  <si>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</si>
  <si>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</si>
  <si>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</si>
  <si>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</si>
  <si>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</si>
  <si>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</si>
  <si>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</si>
  <si>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</si>
  <si>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</si>
  <si>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</si>
  <si>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</si>
  <si>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</si>
  <si>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</si>
  <si>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</si>
  <si>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</si>
  <si>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</si>
  <si>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</si>
  <si>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</si>
  <si>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</si>
  <si>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</si>
  <si>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</si>
  <si>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</si>
  <si>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</si>
  <si>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</si>
  <si>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</si>
  <si>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</si>
  <si>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</si>
  <si>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</si>
  <si>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</si>
  <si>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</si>
  <si>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</si>
  <si>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</si>
  <si>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</si>
  <si>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</si>
  <si>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</si>
  <si>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</si>
  <si>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</si>
  <si>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</si>
  <si>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</si>
  <si>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</si>
  <si>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</si>
  <si>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</si>
  <si>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</si>
  <si>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</si>
  <si>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</si>
  <si>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</si>
  <si>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</si>
  <si>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</si>
  <si>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</si>
  <si>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</si>
  <si>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</si>
  <si>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</si>
  <si>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</si>
  <si>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</si>
  <si>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</si>
  <si>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</si>
  <si>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</si>
  <si>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</si>
  <si>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</si>
  <si>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</si>
  <si>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</si>
  <si>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</si>
  <si>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</si>
  <si>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</si>
  <si>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</si>
  <si>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</si>
  <si>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</si>
  <si>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</si>
  <si>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</si>
  <si>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</si>
  <si>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</si>
  <si>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</si>
  <si>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</si>
  <si>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</si>
  <si>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</si>
  <si>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</si>
  <si>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</si>
  <si>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</si>
  <si>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</si>
  <si>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</si>
  <si>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</si>
  <si>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</si>
  <si>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</si>
  <si>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</si>
  <si>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</si>
  <si>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</si>
  <si>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</si>
  <si>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</si>
  <si>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</si>
  <si>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</si>
  <si>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</si>
  <si>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</si>
  <si>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</si>
  <si>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</si>
  <si>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</si>
  <si>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</si>
  <si>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</si>
  <si>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</si>
  <si>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</si>
  <si>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</si>
  <si>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</si>
  <si>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</si>
  <si>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</si>
  <si>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</si>
  <si>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</si>
  <si>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</si>
  <si>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</si>
  <si>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</si>
  <si>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</si>
  <si>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</si>
  <si>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</si>
  <si>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</si>
  <si>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</si>
  <si>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</si>
  <si>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</si>
  <si>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</si>
  <si>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</si>
  <si>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</si>
  <si>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</si>
  <si>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</si>
  <si>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</si>
  <si>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</si>
  <si>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</si>
  <si>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</si>
  <si>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</si>
  <si>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</si>
  <si>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</si>
  <si>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</si>
  <si>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</si>
  <si>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</si>
  <si>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</si>
  <si>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</si>
  <si>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</si>
  <si>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</si>
  <si>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</si>
  <si>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</si>
  <si>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</si>
  <si>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</si>
  <si>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</si>
  <si>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</si>
  <si>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</si>
  <si>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</si>
  <si>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</si>
  <si>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</si>
  <si>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</si>
  <si>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叶凌</t>
  </si>
  <si>
    <t>陈颖</t>
  </si>
  <si>
    <t>核定资产</t>
  </si>
  <si>
    <t>房地产市场价值</t>
  </si>
  <si>
    <t>北京市</t>
  </si>
  <si>
    <t>自然人</t>
  </si>
  <si>
    <t>居住项目</t>
  </si>
  <si>
    <t>现房</t>
  </si>
  <si>
    <t>通路</t>
  </si>
  <si>
    <t>通电</t>
  </si>
  <si>
    <t>通讯</t>
  </si>
  <si>
    <t>通上水</t>
  </si>
  <si>
    <t>通下水</t>
  </si>
  <si>
    <t>是</t>
  </si>
  <si>
    <t>地上</t>
  </si>
  <si>
    <t>住宅</t>
  </si>
  <si>
    <t>住宅</t>
    <rPh sb="0" eb="1">
      <t>zhu zhaui</t>
    </rPh>
    <phoneticPr fontId="7" type="noConversion"/>
  </si>
  <si>
    <t>成新度</t>
  </si>
  <si>
    <t>收益法</t>
  </si>
  <si>
    <t>押一</t>
  </si>
  <si>
    <t>钢混</t>
  </si>
  <si>
    <t>非生产用房</t>
  </si>
  <si>
    <t>育慧西里</t>
    <rPh sb="0" eb="1">
      <t>yu</t>
    </rPh>
    <rPh sb="1" eb="2">
      <t>hui</t>
    </rPh>
    <rPh sb="2" eb="3">
      <t>xi li</t>
    </rPh>
    <phoneticPr fontId="3" type="noConversion"/>
  </si>
  <si>
    <t>正常</t>
  </si>
  <si>
    <t>住宅</t>
    <rPh sb="0" eb="1">
      <t>zhu zhai</t>
    </rPh>
    <phoneticPr fontId="25" type="noConversion"/>
  </si>
  <si>
    <t>60-70（含）</t>
  </si>
  <si>
    <t>较好</t>
  </si>
  <si>
    <t>七通</t>
  </si>
  <si>
    <t>楼层</t>
    <rPh sb="0" eb="1">
      <t>lou ceng</t>
    </rPh>
    <phoneticPr fontId="25" type="noConversion"/>
  </si>
  <si>
    <t>建成年份</t>
    <rPh sb="0" eb="1">
      <t>jian cehng</t>
    </rPh>
    <rPh sb="2" eb="3">
      <t>nian fen</t>
    </rPh>
    <phoneticPr fontId="25" type="noConversion"/>
  </si>
  <si>
    <t>一般</t>
  </si>
  <si>
    <t>道路级别</t>
    <rPh sb="0" eb="1">
      <t>dao lu</t>
    </rPh>
    <rPh sb="2" eb="3">
      <t>ji bie</t>
    </rPh>
    <phoneticPr fontId="25"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</si>
  <si>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</si>
  <si>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</si>
  <si>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</si>
  <si>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</si>
  <si>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</si>
  <si>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多层板楼</t>
  </si>
  <si>
    <t>高层板楼</t>
  </si>
  <si>
    <t>板塔结合</t>
  </si>
  <si>
    <t>塔楼</t>
  </si>
  <si>
    <t>钢结构</t>
    <phoneticPr fontId="3" type="noConversion"/>
  </si>
  <si>
    <t>钢混</t>
    <phoneticPr fontId="3" type="noConversion"/>
  </si>
  <si>
    <t>砖混</t>
    <phoneticPr fontId="3" type="noConversion"/>
  </si>
  <si>
    <t>混合</t>
    <phoneticPr fontId="3" type="noConversion"/>
  </si>
  <si>
    <t>框架</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</si>
  <si>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</si>
  <si>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</si>
  <si>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</si>
  <si>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</si>
  <si>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</si>
  <si>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</si>
  <si>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</si>
  <si>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</si>
  <si>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</si>
  <si>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</si>
  <si>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</si>
  <si>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</si>
  <si>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</si>
  <si>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</si>
  <si>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精装修</t>
  </si>
  <si>
    <t>简装</t>
  </si>
  <si>
    <t>平层</t>
  </si>
  <si>
    <t>普通</t>
  </si>
  <si>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</si>
  <si>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</si>
  <si>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</si>
  <si>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</si>
  <si>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</si>
  <si>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</si>
  <si>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</si>
  <si>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</si>
  <si>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</si>
  <si>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</si>
  <si>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西</t>
    <phoneticPr fontId="3" type="noConversion"/>
  </si>
  <si>
    <t>西南</t>
  </si>
  <si>
    <t>西北</t>
  </si>
  <si>
    <t>16/16（顶层）</t>
    <rPh sb="6" eb="7">
      <t>ding ceng</t>
    </rPh>
    <phoneticPr fontId="25" type="noConversion"/>
  </si>
  <si>
    <t>低楼层/16</t>
    <rPh sb="0" eb="1">
      <t>di</t>
    </rPh>
    <phoneticPr fontId="25" type="noConversion"/>
  </si>
  <si>
    <t>高楼层/16</t>
    <rPh sb="0" eb="1">
      <t>gao lou ceng</t>
    </rPh>
    <phoneticPr fontId="25" type="noConversion"/>
  </si>
  <si>
    <t>城市次干道-小营路</t>
    <rPh sb="0" eb="1">
      <t>cehng shi</t>
    </rPh>
    <rPh sb="2" eb="3">
      <t>ci gan dao</t>
    </rPh>
    <phoneticPr fontId="25" type="noConversion"/>
  </si>
  <si>
    <t>低楼层/16</t>
    <rPh sb="0" eb="1">
      <t>di lou ceng</t>
    </rPh>
    <phoneticPr fontId="25" type="noConversion"/>
  </si>
  <si>
    <t>出让金</t>
    <rPh sb="0" eb="1">
      <t>chu rang jin</t>
    </rPh>
    <phoneticPr fontId="8" type="noConversion"/>
  </si>
  <si>
    <t>总价</t>
  </si>
  <si>
    <t>自定义</t>
  </si>
  <si>
    <t>未包含在土地购买价格中</t>
  </si>
  <si>
    <t>已包含在土地取得成本中</t>
  </si>
  <si>
    <t>全部缴纳</t>
  </si>
  <si>
    <t>批发零售用地</t>
  </si>
  <si>
    <t>自定义容积率</t>
  </si>
  <si>
    <t>不临58条商业街</t>
  </si>
  <si>
    <t>平整</t>
  </si>
  <si>
    <t>与级别开发程度一致</t>
  </si>
  <si>
    <t>按公示增长率计算</t>
  </si>
  <si>
    <t>容积率修正</t>
  </si>
  <si>
    <t>好</t>
  </si>
  <si>
    <t>比较法</t>
    <phoneticPr fontId="140" type="noConversion"/>
  </si>
  <si>
    <t>权重</t>
    <phoneticPr fontId="140" type="noConversion"/>
  </si>
  <si>
    <t>收益法</t>
    <phoneticPr fontId="140" type="noConversion"/>
  </si>
  <si>
    <t>单价（元/平方米）</t>
    <phoneticPr fontId="140" type="noConversion"/>
  </si>
  <si>
    <t>扣除政府出让收益单价（元/平方米）</t>
    <phoneticPr fontId="140" type="noConversion"/>
  </si>
  <si>
    <t>建筑面积</t>
    <rPh sb="0" eb="1">
      <t>jian zhu mian ji</t>
    </rPh>
    <phoneticPr fontId="140" type="noConversion"/>
  </si>
  <si>
    <t>1政府出让收益（元）</t>
    <phoneticPr fontId="140" type="noConversion"/>
  </si>
  <si>
    <t>扣除政府出让收益总价（元）</t>
    <phoneticPr fontId="140" type="noConversion"/>
  </si>
  <si>
    <t>根据《北京市已购公有住房上市出售实施办法》[京政发﹝2003﹞3号]及《关于执行&lt;北京市已购公有住房上市出售实施办法&gt;有关问题的补充通知》[京国土房管市一〔2003〕378号]有关规定，上市出售按房改成本价购买的公有住房，须按当年房改成本价1%补交土地出让金或政府土地收益后可申请办理商品房房屋所有权证，同时根据《关于2001年向职工出售公有住宅楼房的价格及有关政策的通知》[京国土房管方字（2000）第696号]，从200l年1月1日起，城近郊区（东城、西城、崇文、宣武、朝阳、海淀、丰台、石景山）新建公有住宅楼房成本价为每建筑平方米1560元，即应交土地出让金1299元人民币（即1560元/平方米×1%×83.24平方米=1299元），具体结算金额以相关部门核定为准。本报告估价结果已扣除上述款项，在此特提示报告使用者注意。</t>
    <phoneticPr fontId="140" type="noConversion"/>
  </si>
  <si>
    <t>石景山法院</t>
    <rPh sb="0" eb="1">
      <t>shi jing shan</t>
    </rPh>
    <rPh sb="3" eb="4">
      <t>fa yaun</t>
    </rPh>
    <phoneticPr fontId="6" type="noConversion"/>
  </si>
  <si>
    <t>出让</t>
  </si>
  <si>
    <t>2020-1-0511</t>
    <phoneticPr fontId="6" type="noConversion"/>
  </si>
  <si>
    <t>成本法</t>
  </si>
  <si>
    <t>挂牌在售</t>
    <rPh sb="0" eb="1">
      <t>gua pai</t>
    </rPh>
    <rPh sb="2" eb="3">
      <t>zai shou</t>
    </rPh>
    <rPh sb="3" eb="4">
      <t>shou jia</t>
    </rPh>
    <phoneticPr fontId="140" type="noConversion"/>
  </si>
  <si>
    <t>客房</t>
    <rPh sb="0" eb="1">
      <t>ke fang</t>
    </rPh>
    <phoneticPr fontId="3" type="noConversion"/>
  </si>
  <si>
    <t>商业（客房）</t>
    <rPh sb="0" eb="1">
      <t>sahng ye</t>
    </rPh>
    <rPh sb="3" eb="4">
      <t>ke fang</t>
    </rPh>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</si>
</sst>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charset val="134"/>
    </font>
    <font>
      <u/>
      <sz val="11"/>
      <color theme="10"/>
      <name val="DengXian"/>
      <charset val="134"/>
      <scheme val="minor"/>
    </font>
    <font>
      <u/>
      <sz val="11"/>
      <color theme="11"/>
      <name val="DengXian"/>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254" fillId="0" borderId="30" xfId="0" applyFont="1" applyBorder="1" applyAlignment="1" applyProtection="1">
      <alignment horizontal="center" vertical="center" wrapText="1"/>
      <protection locked="0"/>
    </xf>
    <xf numFmtId="0" fontId="97" fillId="0" borderId="30" xfId="0" applyFont="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4" fillId="0" borderId="45"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98" fillId="5" borderId="1" xfId="0" applyFont="1" applyFill="1" applyBorder="1">
      <alignment vertical="center"/>
    </xf>
    <xf numFmtId="0" fontId="0" fillId="0" borderId="1" xfId="0" applyFont="1" applyFill="1" applyBorder="1">
      <alignment vertical="center"/>
    </xf>
    <xf numFmtId="0" fontId="0" fillId="0" borderId="1" xfId="0" applyFont="1" applyBorder="1">
      <alignment vertical="center"/>
    </xf>
    <xf numFmtId="0" fontId="0" fillId="5" borderId="1"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0" fillId="5" borderId="1" xfId="0"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5" borderId="0" xfId="0" applyFill="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已访问的超链接" xfId="18" builtinId="9" hidden="1"/>
    <cellStyle name="已访问的超链接" xfId="20" builtinId="9" hidden="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749300</xdr:colOff>
      <xdr:row>45</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5608300" cy="862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596900</xdr:colOff>
      <xdr:row>43</xdr:row>
      <xdr:rowOff>12700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1328400" cy="8204200"/>
        </a:xfrm>
        <a:prstGeom prst="rect">
          <a:avLst/>
        </a:prstGeom>
      </xdr:spPr>
    </xdr:pic>
    <xdr:clientData/>
  </xdr:twoCellAnchor>
  <xdr:twoCellAnchor editAs="oneCell">
    <xdr:from>
      <xdr:col>0</xdr:col>
      <xdr:colOff>0</xdr:colOff>
      <xdr:row>44</xdr:row>
      <xdr:rowOff>0</xdr:rowOff>
    </xdr:from>
    <xdr:to>
      <xdr:col>13</xdr:col>
      <xdr:colOff>698500</xdr:colOff>
      <xdr:row>56</xdr:row>
      <xdr:rowOff>12700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8382000"/>
          <a:ext cx="11430000" cy="229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762000</xdr:colOff>
      <xdr:row>13</xdr:row>
      <xdr:rowOff>0</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11493500" cy="2476500"/>
        </a:xfrm>
        <a:prstGeom prst="rect">
          <a:avLst/>
        </a:prstGeom>
      </xdr:spPr>
    </xdr:pic>
    <xdr:clientData/>
  </xdr:twoCellAnchor>
  <xdr:twoCellAnchor editAs="oneCell">
    <xdr:from>
      <xdr:col>0</xdr:col>
      <xdr:colOff>76200</xdr:colOff>
      <xdr:row>12</xdr:row>
      <xdr:rowOff>139700</xdr:rowOff>
    </xdr:from>
    <xdr:to>
      <xdr:col>15</xdr:col>
      <xdr:colOff>241300</xdr:colOff>
      <xdr:row>47</xdr:row>
      <xdr:rowOff>50800</xdr:rowOff>
    </xdr:to>
    <xdr:pic>
      <xdr:nvPicPr>
        <xdr:cNvPr id="13" name="图片 12"/>
        <xdr:cNvPicPr>
          <a:picLocks noChangeAspect="1"/>
        </xdr:cNvPicPr>
      </xdr:nvPicPr>
      <xdr:blipFill>
        <a:blip xmlns:r="http://schemas.openxmlformats.org/officeDocument/2006/relationships" r:embed="rId2"/>
        <a:stretch>
          <a:fillRect/>
        </a:stretch>
      </xdr:blipFill>
      <xdr:spPr>
        <a:xfrm>
          <a:off x="76200" y="2425700"/>
          <a:ext cx="12547600" cy="6578600"/>
        </a:xfrm>
        <a:prstGeom prst="rect">
          <a:avLst/>
        </a:prstGeom>
      </xdr:spPr>
    </xdr:pic>
    <xdr:clientData/>
  </xdr:twoCellAnchor>
  <xdr:twoCellAnchor editAs="oneCell">
    <xdr:from>
      <xdr:col>0</xdr:col>
      <xdr:colOff>0</xdr:colOff>
      <xdr:row>51</xdr:row>
      <xdr:rowOff>0</xdr:rowOff>
    </xdr:from>
    <xdr:to>
      <xdr:col>14</xdr:col>
      <xdr:colOff>558800</xdr:colOff>
      <xdr:row>96</xdr:row>
      <xdr:rowOff>152400</xdr:rowOff>
    </xdr:to>
    <xdr:pic>
      <xdr:nvPicPr>
        <xdr:cNvPr id="14" name="图片 13"/>
        <xdr:cNvPicPr>
          <a:picLocks noChangeAspect="1"/>
        </xdr:cNvPicPr>
      </xdr:nvPicPr>
      <xdr:blipFill>
        <a:blip xmlns:r="http://schemas.openxmlformats.org/officeDocument/2006/relationships" r:embed="rId3"/>
        <a:stretch>
          <a:fillRect/>
        </a:stretch>
      </xdr:blipFill>
      <xdr:spPr>
        <a:xfrm>
          <a:off x="0" y="9715500"/>
          <a:ext cx="12115800" cy="8724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石景山法院</v>
      </c>
    </row>
    <row r="4" spans="1:2" s="1365" customFormat="1">
      <c r="A4" s="1363" t="s">
        <v>1189</v>
      </c>
      <c r="B4" s="1364" t="str">
        <f ca="1">'预评函-封皮'!B46</f>
        <v>叶凌（注册号：1119970111)、陈颖（注册号：1120060040)</v>
      </c>
    </row>
    <row r="5" spans="1:2" s="1359" customFormat="1" ht="15" thickBot="1">
      <c r="A5" s="1366" t="s">
        <v>1190</v>
      </c>
      <c r="B5" s="1367" t="str">
        <f>'预评函-封皮'!B49</f>
        <v>康正预评字2020-1-0511号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估价对象为北京市房地产，为所有。根据《国有土地使用证》[]，估价对象（分摊）出让国有建设用地使用权面积为0平方米，建筑面积为83.16平方米。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估价对象为北京市房地产,属开发建设的居住项目，该项目尚在开发建设中。根据《国有土地使用证》[]，估价对象（分摊）出让国有建设用地使用权面积为0平方米，规划建筑面积为83.16平方米。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2020年10月21日（评估专业人员实地查勘之日）</v>
      </c>
    </row>
    <row r="13" spans="1:2" s="1365" customFormat="1">
      <c r="A13" s="1363" t="s">
        <v>1194</v>
      </c>
      <c r="B13" s="1364" t="str">
        <f>'预评函-1'!A18</f>
        <v>本次估价的“房地产价值”是指在正常市场情况下，在价值时点2020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256</v>
      </c>
    </row>
    <row r="21" spans="1:2" s="1365" customFormat="1">
      <c r="A21" s="1363" t="s">
        <v>1202</v>
      </c>
      <c r="B21" s="1364">
        <f ca="1">'预评函-2'!D7</f>
        <v>30784</v>
      </c>
    </row>
    <row r="22" spans="1:2" s="1365" customFormat="1">
      <c r="A22" s="1363" t="s">
        <v>1203</v>
      </c>
      <c r="B22" s="1364" t="str">
        <f ca="1">'预评函-2'!D6</f>
        <v>贰佰伍拾陆万元整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256</v>
      </c>
    </row>
    <row r="31" spans="1:2" s="1365" customFormat="1">
      <c r="A31" s="1363" t="s">
        <v>1241</v>
      </c>
      <c r="B31" s="1364">
        <f ca="1">'预评函-2'!D15</f>
        <v>30784</v>
      </c>
    </row>
    <row r="32" spans="1:2" s="1365" customFormat="1">
      <c r="A32" s="1363" t="s">
        <v>1208</v>
      </c>
      <c r="B32" s="1364" t="str">
        <f ca="1">'预评函-2'!D14</f>
        <v>贰佰伍拾陆万元整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83.16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'预评函-3'!D4</f>
        <v>0</v>
      </c>
    </row>
    <row r="48" spans="1:2" s="1365" customFormat="1">
      <c r="A48" s="1363" t="s">
        <v>1214</v>
      </c>
      <c r="B48" s="1364">
        <f>'预评函-3'!E4</f>
        <v>0</v>
      </c>
    </row>
    <row r="49" spans="1:2" s="1365" customFormat="1">
      <c r="A49" s="1363" t="s">
        <v>1215</v>
      </c>
      <c r="B49" s="1364" t="str">
        <f>'预评函-3'!D5</f>
        <v>零元整</v>
      </c>
    </row>
    <row r="50" spans="1:2" s="1365" customFormat="1">
      <c r="A50" s="1363" t="s">
        <v>1239</v>
      </c>
      <c r="B50" s="1364" t="str">
        <f>'预评函-3'!F2</f>
        <v>在建建筑物价值</v>
      </c>
    </row>
    <row r="51" spans="1:2" s="1365" customFormat="1">
      <c r="A51" s="1363" t="s">
        <v>1216</v>
      </c>
      <c r="B51" s="1364">
        <f>'预评函-3'!F4</f>
        <v>0</v>
      </c>
    </row>
    <row r="52" spans="1:2" s="1365" customFormat="1">
      <c r="A52" s="1363" t="s">
        <v>1217</v>
      </c>
      <c r="B52" s="1364">
        <f>'预评函-3'!G4</f>
        <v>0</v>
      </c>
    </row>
    <row r="53" spans="1:2" s="1365" customFormat="1">
      <c r="A53" s="1363" t="s">
        <v>1245</v>
      </c>
      <c r="B53" s="1364" t="str">
        <f>'预评函-3'!F5</f>
        <v>零元整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叶凌</v>
      </c>
    </row>
    <row r="71" spans="1:2">
      <c r="A71" s="1363" t="s">
        <v>1228</v>
      </c>
      <c r="B71" s="1364">
        <f ca="1">'预评函-4'!B4</f>
        <v>1119970111</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G17" sqref="G17"/>
    </sheetView>
  </sheetViews>
  <sheetFormatPr defaultColWidth="9" defaultRowHeight="13.5"/>
  <cols>
    <col min="1" max="1" width="13.5" style="1743" customWidth="1"/>
    <col min="2" max="2" width="23.125" style="1694" customWidth="1"/>
    <col min="3" max="3" width="13" style="1738" customWidth="1"/>
    <col min="4" max="4" width="5.8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41" t="s">
        <v>832</v>
      </c>
      <c r="C54" s="1738" t="s">
        <v>1248</v>
      </c>
    </row>
    <row r="55" spans="1:4">
      <c r="A55" s="3102"/>
      <c r="B55" s="1741" t="s">
        <v>833</v>
      </c>
      <c r="C55" s="1738" t="s">
        <v>1249</v>
      </c>
    </row>
    <row r="56" spans="1:4">
      <c r="A56" s="3102"/>
      <c r="B56" s="1741" t="s">
        <v>834</v>
      </c>
      <c r="C56" s="1738" t="s">
        <v>1253</v>
      </c>
    </row>
    <row r="57" spans="1:4">
      <c r="A57" s="310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topLeftCell="A22" zoomScale="130" zoomScaleSheetLayoutView="130" workbookViewId="0">
      <selection activeCell="B8" sqref="B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8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11" t="str">
        <f>IF(B10="北京市","北京市",C10)&amp;F10&amp;IF(结果表!G1="在建","出让国有建设用地使用权及在建建筑物",IF(结果表!G1="土地","出让国有建设用地使用权",))&amp;B9&amp;"预评估"</f>
        <v>北京市房地产市场价值预评估</v>
      </c>
      <c r="C1" s="3112"/>
      <c r="D1" s="3112"/>
      <c r="E1" s="3112"/>
      <c r="F1" s="3112"/>
      <c r="G1" s="3112"/>
      <c r="H1" s="3112"/>
      <c r="I1" s="3113"/>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2915</v>
      </c>
      <c r="B2" s="2597" t="s">
        <v>3168</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44125</v>
      </c>
      <c r="C3" s="2600" t="s">
        <v>2917</v>
      </c>
      <c r="D3" s="2599">
        <f>B3</f>
        <v>44125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3061</v>
      </c>
      <c r="C4" s="2602">
        <f ca="1">SUMIF(注册房地产估价师,B4,估价师及机构信息!B3:B24)</f>
        <v>1119970111</v>
      </c>
      <c r="D4" s="2601" t="s">
        <v>3062</v>
      </c>
      <c r="E4" s="2603">
        <f ca="1">SUMIF(注册房地产估价师,D4,估价师及机构信息!B3:B24)</f>
        <v>1120060040</v>
      </c>
      <c r="F4" s="2601"/>
      <c r="G4" s="2603">
        <f>SUMIF(注册房地产估价师,F4,估价师及机构信息!B3:B24)</f>
        <v>0</v>
      </c>
      <c r="H4" s="2601"/>
      <c r="I4" s="2603">
        <f>SUMIF(注册房地产估价师,H4,估价师及机构信息!B3:B24)</f>
        <v>0</v>
      </c>
      <c r="J4" s="2667"/>
      <c r="K4" s="2604" t="str">
        <f ca="1">CONCATENATE(B4,"（注册号：",C4,")、",D4,"（注册号：",E4,")")</f>
        <v>叶凌（注册号：1119970111)、陈颖（注册号：1120060040)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t="s">
        <v>3166</v>
      </c>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3063</v>
      </c>
      <c r="C8" s="2616"/>
      <c r="D8" s="3114" t="s">
        <v>2923</v>
      </c>
      <c r="E8" s="2617"/>
      <c r="F8" s="2618"/>
      <c r="G8" s="2892"/>
      <c r="H8" s="2892"/>
      <c r="I8" s="2892"/>
      <c r="J8" s="2667"/>
      <c r="K8" s="2842"/>
      <c r="L8" s="2841"/>
      <c r="M8" s="2841"/>
      <c r="N8" s="2667"/>
      <c r="O8" s="2678"/>
      <c r="P8" s="2667"/>
      <c r="Q8" s="2667"/>
      <c r="R8" s="2667"/>
    </row>
    <row r="9" spans="1:28" ht="13.5" thickBot="1">
      <c r="A9" s="2619" t="s">
        <v>2924</v>
      </c>
      <c r="B9" s="2620" t="s">
        <v>3064</v>
      </c>
      <c r="C9" s="2621"/>
      <c r="D9" s="3115"/>
      <c r="E9" s="2620"/>
      <c r="F9" s="2622"/>
      <c r="G9" s="2894"/>
      <c r="H9" s="2894"/>
      <c r="I9" s="2894"/>
      <c r="J9" s="2667"/>
      <c r="K9" s="2844"/>
      <c r="L9" s="2841"/>
      <c r="M9" s="2841"/>
      <c r="N9" s="2667"/>
      <c r="O9" s="2678"/>
      <c r="P9" s="2667"/>
      <c r="Q9" s="2667"/>
      <c r="R9" s="2667"/>
    </row>
    <row r="10" spans="1:28" ht="13.5" thickTop="1">
      <c r="A10" s="2623" t="s">
        <v>2925</v>
      </c>
      <c r="B10" s="2624" t="s">
        <v>3065</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3066</v>
      </c>
      <c r="C11" s="2629"/>
      <c r="D11" s="2630"/>
      <c r="E11" s="2596"/>
      <c r="F11" s="2596"/>
      <c r="G11" s="2596"/>
      <c r="H11" s="2596"/>
      <c r="I11" s="2596"/>
      <c r="J11" s="2667"/>
      <c r="K11" s="2844"/>
      <c r="L11" s="2841"/>
      <c r="M11" s="2841"/>
      <c r="N11" s="2667"/>
      <c r="O11" s="2678"/>
      <c r="P11" s="2667"/>
      <c r="Q11" s="2667"/>
      <c r="R11" s="2667"/>
    </row>
    <row r="12" spans="1:28">
      <c r="A12" s="2631" t="s">
        <v>2928</v>
      </c>
      <c r="B12" s="2628" t="s">
        <v>3167</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v>54346</v>
      </c>
      <c r="F13" s="965"/>
      <c r="G13" s="965"/>
      <c r="H13" s="965"/>
      <c r="I13" s="965"/>
      <c r="J13" s="2667"/>
      <c r="K13" s="2844"/>
      <c r="L13" s="2841"/>
      <c r="M13" s="2841"/>
      <c r="N13" s="2667"/>
      <c r="O13" s="2678"/>
      <c r="P13" s="2667"/>
      <c r="Q13" s="2667"/>
      <c r="R13" s="2667"/>
    </row>
    <row r="14" spans="1:28">
      <c r="A14" s="1241"/>
      <c r="B14" s="2633"/>
      <c r="C14" s="2634" t="s">
        <v>2937</v>
      </c>
      <c r="D14" s="2635">
        <v>70</v>
      </c>
      <c r="E14" s="2635">
        <v>40</v>
      </c>
      <c r="F14" s="2635"/>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f>IF(B12="出让",IF(E13="","",ROUNDDOWN(MIN((E13-$D$3)/365,E14),2)),E14)</f>
        <v>28</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21"/>
      <c r="C16" s="3122"/>
      <c r="D16" s="3123"/>
      <c r="E16" s="2641" t="s">
        <v>2940</v>
      </c>
      <c r="F16" s="3124"/>
      <c r="G16" s="3125"/>
      <c r="H16" s="3125"/>
      <c r="I16" s="3126"/>
      <c r="J16" s="2667"/>
      <c r="K16" s="2846"/>
      <c r="L16" s="2679"/>
      <c r="M16" s="2679"/>
      <c r="N16" s="2737"/>
      <c r="O16" s="2679"/>
      <c r="P16" s="2737"/>
      <c r="Q16" s="2667"/>
      <c r="R16" s="2667"/>
    </row>
    <row r="17" spans="1:28">
      <c r="A17" s="319" t="s">
        <v>2941</v>
      </c>
      <c r="B17" s="308" t="s">
        <v>2942</v>
      </c>
      <c r="C17" s="11">
        <f>'数据-汇总表'!E3</f>
        <v>83.16</v>
      </c>
      <c r="D17" s="2547" t="s">
        <v>2943</v>
      </c>
      <c r="E17" s="3127" t="s">
        <v>2944</v>
      </c>
      <c r="F17" s="3128"/>
      <c r="G17" s="3128"/>
      <c r="H17" s="3128"/>
      <c r="I17" s="3129"/>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30" t="s">
        <v>2948</v>
      </c>
      <c r="F18" s="3131"/>
      <c r="G18" s="3131"/>
      <c r="H18" s="3131"/>
      <c r="I18" s="3132"/>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17" t="s">
        <v>2952</v>
      </c>
      <c r="C20" s="3118"/>
      <c r="D20" s="3119" t="s">
        <v>2953</v>
      </c>
      <c r="E20" s="3120"/>
      <c r="F20" s="2876" t="s">
        <v>1742</v>
      </c>
      <c r="G20" s="2893"/>
      <c r="H20" s="2893"/>
      <c r="I20" s="2893"/>
      <c r="J20" s="2667"/>
      <c r="K20" s="311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04" t="s">
        <v>2960</v>
      </c>
      <c r="B27" s="326" t="s">
        <v>2961</v>
      </c>
      <c r="C27" s="2644" t="s">
        <v>3067</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04"/>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04"/>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05"/>
      <c r="B30" s="308" t="s">
        <v>2964</v>
      </c>
      <c r="C30" s="3106"/>
      <c r="D30" s="3107"/>
      <c r="E30" s="2893"/>
      <c r="F30" s="2893"/>
      <c r="G30" s="2893"/>
      <c r="H30" s="2893"/>
      <c r="I30" s="2893"/>
      <c r="J30" s="2667"/>
      <c r="K30" s="2844"/>
      <c r="L30" s="2841"/>
      <c r="M30" s="2841"/>
      <c r="N30" s="2667"/>
      <c r="O30" s="2678"/>
      <c r="P30" s="2667"/>
      <c r="Q30" s="2667"/>
      <c r="R30" s="2667"/>
      <c r="S30" s="2667"/>
      <c r="T30" s="2667"/>
      <c r="U30" s="2667"/>
      <c r="V30" s="2667"/>
    </row>
    <row r="31" spans="1:28">
      <c r="A31" s="3108" t="s">
        <v>2965</v>
      </c>
      <c r="B31" s="2650" t="s">
        <v>3068</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09"/>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09"/>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t="s">
        <v>3069</v>
      </c>
      <c r="C34" s="2216" t="s">
        <v>3070</v>
      </c>
      <c r="D34" s="2216" t="s">
        <v>3071</v>
      </c>
      <c r="E34" s="2216" t="s">
        <v>3072</v>
      </c>
      <c r="F34" s="2216" t="s">
        <v>3073</v>
      </c>
      <c r="G34" s="2216"/>
      <c r="H34" s="2216"/>
      <c r="I34" s="2893"/>
      <c r="J34" s="2667"/>
      <c r="K34" s="2655">
        <f>COUNTIF(B34:H34,"——")</f>
        <v>0</v>
      </c>
      <c r="L34" s="329" t="s">
        <v>2967</v>
      </c>
      <c r="M34" s="329" t="s">
        <v>2968</v>
      </c>
      <c r="N34" s="329" t="s">
        <v>2969</v>
      </c>
      <c r="O34" s="329" t="s">
        <v>2970</v>
      </c>
      <c r="P34" s="329" t="s">
        <v>2971</v>
      </c>
      <c r="Q34" s="329" t="s">
        <v>2972</v>
      </c>
      <c r="R34" s="329" t="s">
        <v>2973</v>
      </c>
      <c r="S34" s="3103" t="s">
        <v>2974</v>
      </c>
      <c r="T34" s="2656" t="str">
        <f>NUMBERSTRING(7-K34,1)&amp;"通"</f>
        <v>七通</v>
      </c>
      <c r="U34" s="2667"/>
      <c r="V34" s="2667"/>
    </row>
    <row r="35" spans="1:30">
      <c r="A35" s="2657"/>
      <c r="B35" s="3110" t="s">
        <v>2975</v>
      </c>
      <c r="C35" s="3110"/>
      <c r="D35" s="3110"/>
      <c r="E35" s="3110"/>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3"/>
      <c r="T35" s="335" t="str">
        <f>IF(T34="一通",L35,IF(T34="二通",M35,IF(T34="三通",N35,IF(T34="四通",O35,IF(T34="五通",P35,IF(T34="六通",Q35,R35))))))</f>
        <v>通路、通电、通讯、通上水、通下水、、</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t="s">
        <v>269</v>
      </c>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t="s">
        <v>271</v>
      </c>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FF00"/>
  </sheetPr>
  <dimension ref="A1"/>
  <sheetViews>
    <sheetView workbookViewId="0"/>
  </sheetViews>
  <sheetFormatPr defaultColWidth="11" defaultRowHeight="13.5"/>
  <sheetData/>
  <phoneticPr fontId="14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6" width="9.875" style="1760" customWidth="1"/>
    <col min="17" max="17" width="9.375" style="1760" customWidth="1"/>
    <col min="18" max="18" width="9.125" style="1760" customWidth="1"/>
    <col min="19" max="28" width="10.875" style="1760" customWidth="1"/>
    <col min="29" max="29" width="11" style="1760" bestFit="1" customWidth="1"/>
    <col min="30" max="30" width="10" style="1760" bestFit="1" customWidth="1"/>
    <col min="31" max="31" width="9.875" style="1760" customWidth="1"/>
    <col min="32" max="46" width="9.5" style="1760" customWidth="1"/>
    <col min="47" max="47" width="18.125" style="1760" customWidth="1"/>
    <col min="48" max="50" width="9.8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83.16</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83.16</v>
      </c>
      <c r="H5" s="16">
        <f t="shared" ref="H5:AT5" si="0">SUM(H13:H656)</f>
        <v>83.16</v>
      </c>
      <c r="I5" s="16">
        <f t="shared" si="0"/>
        <v>83.16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83.16</v>
      </c>
      <c r="BA5" s="18">
        <f t="shared" si="1"/>
        <v>83.16</v>
      </c>
      <c r="BB5" s="18">
        <f t="shared" si="1"/>
        <v>83.16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3075</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2"/>
      <c r="C13" s="1182" t="s">
        <v>3171</v>
      </c>
      <c r="D13" s="1812" t="s">
        <v>3074</v>
      </c>
      <c r="E13" s="16">
        <f>IF($C$3="是",ROUND($A$3*G13/$B$3,2),ROUND($A$3*(G13-AT13)/$B$3,2))</f>
        <v>0</v>
      </c>
      <c r="F13" s="32"/>
      <c r="G13" s="33">
        <f>H13+AC13+AT13</f>
        <v>83.16</v>
      </c>
      <c r="H13" s="20">
        <f>SUMIF(I$12:AB$12,"总值",I13:AB13)</f>
        <v>83.16</v>
      </c>
      <c r="I13" s="1813">
        <v>83.16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t="str">
        <f>C13</f>
        <v>客房</v>
      </c>
      <c r="AX13" s="11" t="e">
        <f>#REF!</f>
        <v>#REF!</v>
      </c>
      <c r="AY13" s="1535">
        <f>ROUND($AY$6*AZ13/$AZ$5,2)</f>
        <v>0</v>
      </c>
      <c r="AZ13" s="16">
        <f>BA13+BL13</f>
        <v>83.16</v>
      </c>
      <c r="BA13" s="16">
        <f>SUM(BB13:BK13)</f>
        <v>83.16</v>
      </c>
      <c r="BB13" s="16">
        <f>IF($D13="是",I13-J13,0)</f>
        <v>83.16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110" zoomScaleSheetLayoutView="110" workbookViewId="0">
      <selection activeCell="C23" sqref="C23"/>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6" t="s">
        <v>1794</v>
      </c>
      <c r="F2" s="2888"/>
      <c r="G2" s="2879"/>
      <c r="H2" s="2880"/>
      <c r="I2" s="2550" t="s">
        <v>1818</v>
      </c>
      <c r="J2" s="2888"/>
      <c r="K2" s="2888"/>
      <c r="L2" s="2888"/>
      <c r="M2" s="2888"/>
      <c r="N2" s="2890"/>
      <c r="O2" s="2888"/>
      <c r="P2" s="2888"/>
    </row>
    <row r="3" spans="1:16" ht="15.75" thickBot="1">
      <c r="A3" s="3145" t="s">
        <v>1791</v>
      </c>
      <c r="B3" s="3145"/>
      <c r="C3" s="3145"/>
      <c r="D3" s="46">
        <f>'数据-基础表'!AY6</f>
        <v>0</v>
      </c>
      <c r="E3" s="46">
        <f>'数据-基础表'!AZ5</f>
        <v>83.16</v>
      </c>
      <c r="F3" s="2888"/>
      <c r="G3" s="1307"/>
      <c r="H3" s="1157" t="s">
        <v>1792</v>
      </c>
      <c r="I3" s="964" t="e">
        <f>ROUND('数据-基础表'!B3/'数据-基础表'!A3,2)</f>
        <v>#DIV/0!</v>
      </c>
      <c r="J3" s="2888"/>
      <c r="K3" s="2888"/>
      <c r="L3" s="2888"/>
      <c r="M3" s="2888"/>
      <c r="N3" s="2890"/>
      <c r="O3" s="2888"/>
      <c r="P3" s="2888"/>
    </row>
    <row r="4" spans="1:16" ht="15">
      <c r="A4" s="3146"/>
      <c r="B4" s="3147"/>
      <c r="C4" s="3148"/>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49" t="s">
        <v>1796</v>
      </c>
      <c r="C5" s="3149"/>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49" t="s">
        <v>1797</v>
      </c>
      <c r="C6" s="3149"/>
      <c r="D6" s="48">
        <f>ROUND($D$3*E6/$E$3,2)</f>
        <v>0</v>
      </c>
      <c r="E6" s="49">
        <f>E3-E5</f>
        <v>83.16</v>
      </c>
      <c r="F6" s="2888"/>
      <c r="G6" s="2882" t="s">
        <v>1798</v>
      </c>
      <c r="H6" s="1308" t="s">
        <v>1799</v>
      </c>
      <c r="I6" s="2883" t="e">
        <f>ROUND(F31/D31,2)</f>
        <v>#DIV/0!</v>
      </c>
      <c r="J6" s="2888"/>
      <c r="K6" s="2888"/>
      <c r="L6" s="2888"/>
      <c r="M6" s="2888"/>
      <c r="N6" s="2888"/>
      <c r="O6" s="2888"/>
      <c r="P6" s="2888"/>
    </row>
    <row r="7" spans="1:16" ht="15.75" thickBot="1">
      <c r="A7" s="3141"/>
      <c r="B7" s="3142"/>
      <c r="C7" s="3143"/>
      <c r="D7" s="1828" t="s">
        <v>1793</v>
      </c>
      <c r="E7" s="1832" t="s">
        <v>1800</v>
      </c>
      <c r="F7" s="2888"/>
      <c r="G7" s="2884" t="s">
        <v>1801</v>
      </c>
      <c r="H7" s="2885"/>
      <c r="I7" s="2886">
        <v>3.5</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83.16</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83.16</v>
      </c>
      <c r="F16" s="2888"/>
      <c r="G16" s="2889"/>
      <c r="H16" s="1835" t="s">
        <v>1821</v>
      </c>
      <c r="I16" s="1836"/>
      <c r="J16" s="1301"/>
      <c r="K16" s="3138" t="s">
        <v>1821</v>
      </c>
      <c r="L16" s="3139"/>
      <c r="M16" s="3139"/>
      <c r="N16" s="3139"/>
      <c r="O16" s="3139"/>
      <c r="P16" s="3140"/>
    </row>
    <row r="17" spans="1:19" ht="15">
      <c r="A17" s="1837" t="s">
        <v>1822</v>
      </c>
      <c r="B17" s="1838" t="s">
        <v>1823</v>
      </c>
      <c r="C17" s="1839" t="s">
        <v>1824</v>
      </c>
      <c r="D17" s="1840" t="s">
        <v>1812</v>
      </c>
      <c r="E17" s="1841" t="s">
        <v>1813</v>
      </c>
      <c r="F17" s="1842"/>
      <c r="G17" s="1843"/>
      <c r="H17" s="1844" t="s">
        <v>1825</v>
      </c>
      <c r="I17" s="1845" t="s">
        <v>1810</v>
      </c>
      <c r="J17" s="1301"/>
      <c r="K17" s="3135" t="s">
        <v>1826</v>
      </c>
      <c r="L17" s="3136"/>
      <c r="M17" s="3137"/>
      <c r="N17" s="3135" t="s">
        <v>1827</v>
      </c>
      <c r="O17" s="3136"/>
      <c r="P17" s="313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3172</v>
      </c>
      <c r="D19" s="48">
        <f>ROUND($D$3*E19/$E$3,2)</f>
        <v>0</v>
      </c>
      <c r="E19" s="56">
        <f t="shared" ref="E19:E26" si="1">SUM(F19:G19)</f>
        <v>83.16</v>
      </c>
      <c r="F19" s="3028">
        <f>'数据-基础表'!I13</f>
        <v>83.16</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83.16</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83.16</v>
      </c>
      <c r="F27" s="1302">
        <f>IF(SUM(F19:F26)=E8,SUM(F19:F26),"地上面积有误")</f>
        <v>83.16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83.16</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83.16</v>
      </c>
      <c r="F31" s="686">
        <f>F27+F30</f>
        <v>83.16</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SheetLayoutView="90" workbookViewId="0">
      <pane xSplit="3" ySplit="5" topLeftCell="D16" activePane="bottomRight" state="frozen"/>
      <selection activeCell="C50" sqref="C50"/>
      <selection pane="topRight" activeCell="C50" sqref="C50"/>
      <selection pane="bottomLeft" activeCell="C50" sqref="C50"/>
      <selection pane="bottomRight" activeCell="E33" sqref="E33"/>
    </sheetView>
  </sheetViews>
  <sheetFormatPr defaultColWidth="13.875" defaultRowHeight="12.75"/>
  <cols>
    <col min="1" max="1" width="20.875" style="1933" customWidth="1"/>
    <col min="2" max="2" width="12" style="1870" customWidth="1"/>
    <col min="3" max="3" width="12.8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875" style="1870" customWidth="1"/>
    <col min="31" max="31" width="8" style="1870" customWidth="1"/>
    <col min="32" max="34" width="7.125" style="1870" customWidth="1"/>
    <col min="35" max="39" width="8" style="1870" customWidth="1"/>
    <col min="40" max="40" width="13.875" style="1869"/>
    <col min="41" max="41" width="11.625" style="1869" customWidth="1"/>
    <col min="42" max="42" width="9.875" style="1869" customWidth="1"/>
    <col min="43" max="67" width="13.875" style="1869"/>
    <col min="68" max="16384" width="13.8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44125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商业（客房）</v>
      </c>
      <c r="B6" s="1901" t="str">
        <f>IF(A6=0,"","经营性")</f>
        <v>经营性</v>
      </c>
      <c r="C6" s="1902" t="s">
        <v>1343</v>
      </c>
      <c r="D6" s="967">
        <f>SUMIF(项目基本情况!D$12:I$12,C6,项目基本情况!D$14:I$14)</f>
        <v>40</v>
      </c>
      <c r="E6" s="966">
        <f>IF(B6="","",SUMIF(项目基本情况!D$12:I$12,C6,项目基本情况!D$13:I$13))</f>
        <v>54346</v>
      </c>
      <c r="F6" s="68">
        <f>SUMIF(项目基本情况!D$12:I$12,C6,项目基本情况!D$15:I$15)</f>
        <v>28</v>
      </c>
      <c r="G6" s="69">
        <f>IF(ISERROR(ROUND(POWER(1+H6,D6-F6)*(POWER(1+H6,F6)-1)/(POWER(1+H6,D6)-1),3)),0,ROUND(POWER(1+H6,D6-F6)*(POWER(1+H6,F6)-1)/(POWER(1+H6,D6)-1),3))</f>
        <v>0.84199999999999997</v>
      </c>
      <c r="H6" s="741">
        <v>0.04</v>
      </c>
      <c r="I6" s="741">
        <v>4.4999999999999998E-2</v>
      </c>
      <c r="J6" s="70">
        <v>0.06</v>
      </c>
      <c r="K6" s="1161">
        <f>SUMIF('数据-汇总表'!C$19:C$33,A6,'数据-汇总表'!E$19:E$33)</f>
        <v>83.16</v>
      </c>
      <c r="L6" s="742">
        <v>3800</v>
      </c>
      <c r="M6" s="71">
        <f t="shared" ref="M6:M14" si="0">ROUND(K6*L6/10000,0)</f>
        <v>32</v>
      </c>
      <c r="N6" s="740">
        <v>0.7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7000</v>
      </c>
      <c r="V6" s="75">
        <v>1.4999999999999999E-2</v>
      </c>
      <c r="W6" s="75">
        <v>0.15</v>
      </c>
      <c r="X6" s="1171"/>
      <c r="Y6" s="76">
        <f>N6</f>
        <v>0.7</v>
      </c>
      <c r="Z6" s="77"/>
      <c r="AA6" s="70"/>
      <c r="AB6" s="70"/>
      <c r="AC6" s="1171"/>
      <c r="AD6" s="78">
        <f>Y6</f>
        <v>0.7</v>
      </c>
      <c r="AE6" s="1172">
        <f ca="1">IF(AN6="",0,SUMIF(INDIRECT("'"&amp;AN6&amp;"'"&amp;"!E:E"),$AE$5,INDIRECT("'"&amp;AN6&amp;"'"&amp;"!F:F")))</f>
        <v>28</v>
      </c>
      <c r="AF6" s="1534"/>
      <c r="AG6" s="143">
        <f>IF(AF6="",0,AE6-AF6)</f>
        <v>0</v>
      </c>
      <c r="AH6" s="79">
        <v>1</v>
      </c>
      <c r="AI6" s="81">
        <v>12</v>
      </c>
      <c r="AJ6" s="82"/>
      <c r="AK6" s="83">
        <v>0.02</v>
      </c>
      <c r="AL6" s="84">
        <v>2E-3</v>
      </c>
      <c r="AM6" s="85">
        <v>0.02</v>
      </c>
      <c r="AN6" s="1903" t="s">
        <v>3079</v>
      </c>
      <c r="AO6" s="55">
        <f ca="1">SUMIF(INDIRECT("'"&amp;AN6&amp;"'"&amp;"!A:A"),"总价",INDIRECT("'"&amp;AN6&amp;"'"&amp;"!B:B"))</f>
        <v>112</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0.84199999999999997</v>
      </c>
      <c r="H16" s="95">
        <f>ROUND(SUMPRODUCT(H6:H13,K6:K13)/SUMPRODUCT((H6:H13&gt;0)*(K6:K13)),3)</f>
        <v>0.04</v>
      </c>
      <c r="I16" s="96"/>
      <c r="J16" s="96"/>
      <c r="K16" s="97">
        <f>SUM(K6:K15)</f>
        <v>83.16</v>
      </c>
      <c r="L16" s="98">
        <f>ROUND(M16*10000/SUM(K6:K14),0)</f>
        <v>3848</v>
      </c>
      <c r="M16" s="98">
        <f>SUM(M6:M14)</f>
        <v>32</v>
      </c>
      <c r="N16" s="99">
        <f>ROUND(SUMPRODUCT(M6:M14,N6:N14)/M16,3)</f>
        <v>0.7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160</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24</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269</v>
      </c>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f>C55</f>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875" style="2720" customWidth="1"/>
    <col min="10" max="10" width="2.625" style="2719" customWidth="1"/>
    <col min="11" max="11" width="11.875" style="2719" customWidth="1"/>
    <col min="12" max="12" width="16.875" style="2720" customWidth="1"/>
    <col min="13" max="13" width="2.625" style="2719" customWidth="1"/>
    <col min="14" max="14" width="11.875" style="2719" customWidth="1"/>
    <col min="15" max="15" width="16.875" style="2720" customWidth="1"/>
    <col min="16" max="16" width="2.625" style="2719" customWidth="1"/>
    <col min="17" max="17" width="11.875" style="2719" customWidth="1"/>
    <col min="18" max="18" width="16.875" style="2721" customWidth="1"/>
    <col min="19" max="29" width="9" style="907"/>
    <col min="30" max="16384" width="9" style="1874"/>
  </cols>
  <sheetData>
    <row r="1" spans="1:29" s="2685" customFormat="1" ht="18.75" thickBot="1">
      <c r="A1" s="3150" t="s">
        <v>3032</v>
      </c>
      <c r="B1" s="3151"/>
      <c r="C1" s="3151"/>
      <c r="D1" s="3151"/>
      <c r="E1" s="3151"/>
      <c r="F1" s="3151"/>
      <c r="G1" s="3151"/>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875" style="2741" customWidth="1"/>
    <col min="10" max="16384" width="9" style="2741"/>
  </cols>
  <sheetData>
    <row r="1" spans="1:11" ht="16.5">
      <c r="A1" s="2740" t="s">
        <v>1331</v>
      </c>
      <c r="B1" s="2740">
        <f>SUM(B14:B23)</f>
        <v>83.16</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44125</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256</v>
      </c>
      <c r="C5" s="2740">
        <f ca="1">ROUND(B5*10000/$B$1,0)</f>
        <v>30784</v>
      </c>
      <c r="D5" s="2740" t="e">
        <f ca="1">ROUND(B5*10000/$B$2,0)</f>
        <v>#DIV/0!</v>
      </c>
      <c r="E5" s="2917"/>
      <c r="F5" s="2918"/>
      <c r="G5" s="2918"/>
      <c r="H5" s="2919"/>
      <c r="I5" s="2919"/>
      <c r="J5" s="2919"/>
      <c r="K5" s="2919"/>
    </row>
    <row r="6" spans="1:11" ht="16.5">
      <c r="A6" s="2740" t="s">
        <v>1322</v>
      </c>
      <c r="B6" s="2740">
        <f ca="1">SUM(G14:G23)</f>
        <v>256</v>
      </c>
      <c r="C6" s="2740">
        <f ca="1">ROUND(B6*10000/$B$1,0)</f>
        <v>30784</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83.16</v>
      </c>
      <c r="C14" s="2746">
        <f>结果表!C118</f>
        <v>0</v>
      </c>
      <c r="D14" s="2746">
        <f ca="1">结果表!H118</f>
        <v>256</v>
      </c>
      <c r="E14" s="2746">
        <f ca="1">ROUND(D14*10000/B14,0)</f>
        <v>30784</v>
      </c>
      <c r="F14" s="2746" t="e">
        <f ca="1">ROUND(D14*10000/C14,0)</f>
        <v>#DIV/0!</v>
      </c>
      <c r="G14" s="2746">
        <f ca="1">结果表!D122</f>
        <v>256</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tabSelected="1" view="pageBreakPreview" zoomScale="90" zoomScaleSheetLayoutView="90" zoomScalePageLayoutView="80" workbookViewId="0">
      <selection activeCell="J8" sqref="J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3172</v>
      </c>
      <c r="D1" s="1935"/>
      <c r="E1" s="1935"/>
      <c r="F1" s="1937" t="s">
        <v>1950</v>
      </c>
      <c r="G1" s="1748" t="s">
        <v>3068</v>
      </c>
      <c r="H1" s="1938" t="str">
        <f>IF(G1="现房","——","估价对象范围")</f>
        <v>——</v>
      </c>
      <c r="I1" s="1939"/>
    </row>
    <row r="2" spans="1:12" ht="21.75" customHeight="1" thickBot="1">
      <c r="A2" s="3186" t="str">
        <f>项目基本情况!S2</f>
        <v>北京市房地产</v>
      </c>
      <c r="B2" s="3187"/>
      <c r="C2" s="3187"/>
      <c r="D2" s="3187"/>
      <c r="E2" s="3187"/>
      <c r="F2" s="3187"/>
      <c r="G2" s="3187"/>
      <c r="H2" s="3187"/>
      <c r="I2" s="3188"/>
    </row>
    <row r="3" spans="1:12" ht="12.75">
      <c r="A3" s="3190" t="s">
        <v>1951</v>
      </c>
      <c r="B3" s="3191"/>
      <c r="C3" s="3191"/>
      <c r="D3" s="3191"/>
      <c r="E3" s="3191"/>
      <c r="F3" s="3191"/>
      <c r="G3" s="3191"/>
      <c r="H3" s="3191"/>
      <c r="I3" s="3191"/>
    </row>
    <row r="4" spans="1:12" ht="14.25">
      <c r="A4" s="1942" t="s">
        <v>1952</v>
      </c>
      <c r="B4" s="1943" t="s">
        <v>1953</v>
      </c>
      <c r="C4" s="1944" t="s">
        <v>3169</v>
      </c>
      <c r="D4" s="1944" t="s">
        <v>3079</v>
      </c>
      <c r="E4" s="3192" t="s">
        <v>1954</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1955</v>
      </c>
      <c r="B5" s="3153">
        <v>25</v>
      </c>
      <c r="C5" s="3169">
        <v>65</v>
      </c>
      <c r="D5" s="3189">
        <f>100-C5</f>
        <v>35</v>
      </c>
      <c r="E5" s="136" t="s">
        <v>1956</v>
      </c>
      <c r="F5" s="1945"/>
      <c r="G5" s="1945"/>
      <c r="H5" s="1945"/>
      <c r="I5" s="1559"/>
    </row>
    <row r="6" spans="1:12" ht="12.75">
      <c r="A6" s="3166"/>
      <c r="B6" s="3153"/>
      <c r="C6" s="3170"/>
      <c r="D6" s="3189"/>
      <c r="E6" s="136" t="s">
        <v>1957</v>
      </c>
      <c r="F6" s="1945"/>
      <c r="G6" s="1945"/>
      <c r="H6" s="1945"/>
      <c r="I6" s="1559"/>
    </row>
    <row r="7" spans="1:12" ht="12.75">
      <c r="A7" s="3166"/>
      <c r="B7" s="3153"/>
      <c r="C7" s="3171"/>
      <c r="D7" s="3189"/>
      <c r="E7" s="136" t="s">
        <v>1958</v>
      </c>
      <c r="F7" s="1945"/>
      <c r="G7" s="1945"/>
      <c r="H7" s="1945"/>
      <c r="I7" s="1559"/>
      <c r="J7" s="734">
        <f ca="1">G20*'数据-汇总表'!F19</f>
        <v>2562991.1999999997</v>
      </c>
    </row>
    <row r="8" spans="1:12" ht="12.75">
      <c r="A8" s="3166" t="s">
        <v>1959</v>
      </c>
      <c r="B8" s="3153">
        <v>15</v>
      </c>
      <c r="C8" s="3169"/>
      <c r="D8" s="3189"/>
      <c r="E8" s="136" t="s">
        <v>1960</v>
      </c>
      <c r="F8" s="1945"/>
      <c r="G8" s="1945"/>
      <c r="H8" s="1945"/>
      <c r="I8" s="1559"/>
    </row>
    <row r="9" spans="1:12" ht="12.75">
      <c r="A9" s="3166"/>
      <c r="B9" s="3153"/>
      <c r="C9" s="3171"/>
      <c r="D9" s="3189"/>
      <c r="E9" s="136" t="s">
        <v>1961</v>
      </c>
      <c r="F9" s="1945"/>
      <c r="G9" s="1945"/>
      <c r="H9" s="1945"/>
      <c r="I9" s="1559"/>
    </row>
    <row r="10" spans="1:12" ht="12.75">
      <c r="A10" s="3166" t="s">
        <v>1962</v>
      </c>
      <c r="B10" s="3153">
        <v>15</v>
      </c>
      <c r="C10" s="3169"/>
      <c r="D10" s="3189"/>
      <c r="E10" s="136" t="s">
        <v>1963</v>
      </c>
      <c r="F10" s="1945"/>
      <c r="G10" s="1945"/>
      <c r="H10" s="1945"/>
      <c r="I10" s="1559"/>
    </row>
    <row r="11" spans="1:12" ht="12.75">
      <c r="A11" s="3166"/>
      <c r="B11" s="3153"/>
      <c r="C11" s="3171"/>
      <c r="D11" s="3189"/>
      <c r="E11" s="136" t="s">
        <v>1964</v>
      </c>
      <c r="F11" s="1945"/>
      <c r="G11" s="1945"/>
      <c r="H11" s="1945"/>
      <c r="I11" s="1559"/>
    </row>
    <row r="12" spans="1:12" ht="12.75">
      <c r="A12" s="3166" t="s">
        <v>1965</v>
      </c>
      <c r="B12" s="3153">
        <v>15</v>
      </c>
      <c r="C12" s="3169"/>
      <c r="D12" s="3189"/>
      <c r="E12" s="136" t="s">
        <v>1966</v>
      </c>
      <c r="F12" s="1945"/>
      <c r="G12" s="1945"/>
      <c r="H12" s="1945"/>
      <c r="I12" s="1559"/>
    </row>
    <row r="13" spans="1:12" ht="12.75">
      <c r="A13" s="3166"/>
      <c r="B13" s="3153"/>
      <c r="C13" s="3171"/>
      <c r="D13" s="3189"/>
      <c r="E13" s="136" t="s">
        <v>1967</v>
      </c>
      <c r="F13" s="1945"/>
      <c r="G13" s="1945"/>
      <c r="H13" s="1945"/>
      <c r="I13" s="1559"/>
    </row>
    <row r="14" spans="1:12" ht="12.75">
      <c r="A14" s="3166" t="s">
        <v>1968</v>
      </c>
      <c r="B14" s="3153">
        <v>30</v>
      </c>
      <c r="C14" s="3169"/>
      <c r="D14" s="3189"/>
      <c r="E14" s="136" t="s">
        <v>1969</v>
      </c>
      <c r="F14" s="1945"/>
      <c r="G14" s="1945"/>
      <c r="H14" s="1945"/>
      <c r="I14" s="1559"/>
    </row>
    <row r="15" spans="1:12" ht="12.75">
      <c r="A15" s="3166"/>
      <c r="B15" s="3153"/>
      <c r="C15" s="3170"/>
      <c r="D15" s="3189"/>
      <c r="E15" s="136" t="s">
        <v>1970</v>
      </c>
      <c r="F15" s="1945"/>
      <c r="G15" s="1945"/>
      <c r="H15" s="1945"/>
      <c r="I15" s="1559"/>
    </row>
    <row r="16" spans="1:12" ht="12.75">
      <c r="A16" s="3166"/>
      <c r="B16" s="3153"/>
      <c r="C16" s="3171"/>
      <c r="D16" s="3189"/>
      <c r="E16" s="136" t="s">
        <v>1971</v>
      </c>
      <c r="F16" s="1945"/>
      <c r="G16" s="1945"/>
      <c r="H16" s="1945"/>
      <c r="I16" s="1559"/>
    </row>
    <row r="17" spans="1:36" ht="15">
      <c r="A17" s="1946" t="s">
        <v>1972</v>
      </c>
      <c r="B17" s="60"/>
      <c r="C17" s="137">
        <f>SUM(C5:C16)</f>
        <v>65</v>
      </c>
      <c r="D17" s="137">
        <f>SUM(D5:D16)</f>
        <v>35</v>
      </c>
      <c r="E17" s="134"/>
      <c r="F17" s="134"/>
      <c r="G17" s="134"/>
      <c r="H17" s="134"/>
      <c r="I17" s="134"/>
      <c r="K17" s="308"/>
      <c r="L17" s="308" t="s">
        <v>1973</v>
      </c>
      <c r="M17" s="308" t="s">
        <v>1974</v>
      </c>
    </row>
    <row r="18" spans="1:36" ht="31.7" customHeight="1" thickBot="1">
      <c r="A18" s="1947" t="s">
        <v>1975</v>
      </c>
      <c r="B18" s="1948"/>
      <c r="C18" s="138">
        <f>ROUND(C17/SUM(C17:D17),2)</f>
        <v>0.65</v>
      </c>
      <c r="D18" s="138">
        <f>1-C18</f>
        <v>0.35</v>
      </c>
      <c r="E18" s="3176" t="s">
        <v>2873</v>
      </c>
      <c r="F18" s="3177"/>
      <c r="G18" s="3177"/>
      <c r="H18" s="3177"/>
      <c r="I18" s="3177"/>
      <c r="K18" s="308" t="s">
        <v>1976</v>
      </c>
      <c r="L18" s="308">
        <f>IF(C1="",'数据-汇总表'!E3,SUMIF(项目类型,C1,'数据-汇总表'!E17:E26)+SUMIF(项目类型,C1,'数据-汇总表'!I17:I26))</f>
        <v>83.16</v>
      </c>
      <c r="M18" s="308">
        <f>IF(C1="",'数据-汇总表'!E3,SUMIF(项目类型,C1,'数据-汇总表'!E17:E26))</f>
        <v>83.16</v>
      </c>
    </row>
    <row r="19" spans="1:36" ht="15">
      <c r="A19" s="1949" t="s">
        <v>1977</v>
      </c>
      <c r="B19" s="1950" t="s">
        <v>1978</v>
      </c>
      <c r="C19" s="139">
        <f ca="1">SUMIF(INDIRECT("'"&amp;C4&amp;"'"&amp;"!A:A"),结果表!B19,INDIRECT("'"&amp;C4&amp;"'"&amp;"!B:B"))</f>
        <v>334</v>
      </c>
      <c r="D19" s="140">
        <f ca="1">SUMIF(INDIRECT("'"&amp;D4&amp;"'"&amp;"!A:A"),结果表!B19,INDIRECT("'"&amp;D4&amp;"'"&amp;"!B:B"))</f>
        <v>112</v>
      </c>
      <c r="E19" s="1949" t="s">
        <v>1979</v>
      </c>
      <c r="F19" s="1950" t="s">
        <v>1978</v>
      </c>
      <c r="G19" s="141">
        <f ca="1">ROUND(C19*$C$18+D19*$D$18,0)</f>
        <v>256</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40164</v>
      </c>
      <c r="D20" s="143">
        <f ca="1">SUMIF(INDIRECT("'"&amp;D4&amp;"'"&amp;"!A:A"),结果表!B20,INDIRECT("'"&amp;D4&amp;"'"&amp;"!B:B"))</f>
        <v>13468</v>
      </c>
      <c r="E20" s="1952"/>
      <c r="F20" s="1157" t="s">
        <v>1982</v>
      </c>
      <c r="G20" s="144">
        <f ca="1">ROUND(C20*$C$18+D20*$D$18,0)</f>
        <v>30820</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1.9821428571428572</v>
      </c>
      <c r="E22" s="134"/>
      <c r="F22" s="134"/>
      <c r="G22" s="134"/>
      <c r="H22" s="134"/>
      <c r="I22" s="134"/>
    </row>
    <row r="23" spans="1:36" ht="13.5" thickBot="1">
      <c r="A23" s="1935"/>
      <c r="B23" s="1935"/>
      <c r="C23" s="1935"/>
      <c r="D23" s="1935"/>
      <c r="E23" s="134"/>
      <c r="F23" s="134"/>
      <c r="G23" s="134"/>
      <c r="H23" s="134"/>
      <c r="I23" s="134"/>
    </row>
    <row r="24" spans="1:36" ht="14.25">
      <c r="A24" s="3160" t="s">
        <v>1986</v>
      </c>
      <c r="B24" s="1950" t="s">
        <v>1978</v>
      </c>
      <c r="C24" s="141">
        <f>IF(B30=0,0,D30)</f>
        <v>0</v>
      </c>
      <c r="D24" s="1957"/>
      <c r="E24" s="134"/>
      <c r="F24" s="134"/>
      <c r="G24" s="134"/>
      <c r="H24" s="134"/>
      <c r="I24" s="134"/>
    </row>
    <row r="25" spans="1:36" ht="14.25">
      <c r="A25" s="3161"/>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t="s">
        <v>3143</v>
      </c>
      <c r="B27" s="147">
        <f>'数据-汇总表'!E19</f>
        <v>83.16</v>
      </c>
      <c r="C27" s="147">
        <f>1560*1%</f>
        <v>15.6</v>
      </c>
      <c r="D27" s="148">
        <f>ROUND(B27*C27,0)</f>
        <v>1297</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256</v>
      </c>
      <c r="D32" s="1963" t="s">
        <v>3144</v>
      </c>
      <c r="E32" s="134"/>
      <c r="F32" s="134"/>
      <c r="G32" s="134"/>
      <c r="H32" s="134"/>
      <c r="I32" s="134"/>
    </row>
    <row r="33" spans="1:15" ht="15">
      <c r="A33" s="894" t="s">
        <v>1993</v>
      </c>
      <c r="B33" s="1964"/>
      <c r="C33" s="1965" t="s">
        <v>3145</v>
      </c>
      <c r="D33" s="1966"/>
      <c r="E33" s="1967" t="s">
        <v>1994</v>
      </c>
      <c r="F33" s="1968" t="str">
        <f>IF(D32="楼面单价","取值（单价）","取值（总价）")</f>
        <v>取值（总价）</v>
      </c>
      <c r="G33" s="134"/>
      <c r="H33" s="134"/>
      <c r="I33" s="134"/>
    </row>
    <row r="34" spans="1:15" ht="15">
      <c r="A34" s="1969"/>
      <c r="B34" s="1970" t="s">
        <v>1995</v>
      </c>
      <c r="C34" s="153">
        <f>IF(C33="自定义",F34,C32-C35)</f>
        <v>0</v>
      </c>
      <c r="D34" s="970">
        <f ca="1">IF(C33="自定义",ROUND(C34/C32,3),IF(C33="收益比率",SUMIF(INDIRECT("'"&amp;D33&amp;"'"&amp;"!b:b"),"土地收益比率",INDIRECT("'"&amp;D33&amp;"'"&amp;"!c:c")),SUMIF(INDIRECT("'"&amp;D33&amp;"'"&amp;"!b:b"),"土地成本比率",INDIRECT("'"&amp;D33&amp;"'"&amp;"!c:c"))))</f>
        <v>0</v>
      </c>
      <c r="E34" s="1971" t="s">
        <v>1996</v>
      </c>
      <c r="F34" s="1500"/>
      <c r="G34" s="134"/>
      <c r="H34" s="134"/>
      <c r="I34" s="134"/>
    </row>
    <row r="35" spans="1:15" ht="15.75" thickBot="1">
      <c r="A35" s="1972"/>
      <c r="B35" s="1973" t="s">
        <v>1997</v>
      </c>
      <c r="C35" s="1332">
        <f>IF(C33="自定义",F35,ROUND(C32*D35,0))</f>
        <v>0</v>
      </c>
      <c r="D35" s="1333">
        <f ca="1">IF(C33="自定义",ROUND(C35/C32,3),IF(C33="收益比率",SUMIF(INDIRECT("'"&amp;D33&amp;"'"&amp;"!b:b"),"建筑物收益比率",INDIRECT("'"&amp;D33&amp;"'"&amp;"!c:c")),SUMIF(INDIRECT("'"&amp;D33&amp;"'"&amp;"!b:b"),"建筑物成本比率",INDIRECT("'"&amp;D33&amp;"'"&amp;"!c:c"))))</f>
        <v>0</v>
      </c>
      <c r="E35" s="1974" t="s">
        <v>1998</v>
      </c>
      <c r="F35" s="159"/>
      <c r="G35" s="134"/>
      <c r="H35" s="134"/>
      <c r="I35" s="134"/>
    </row>
    <row r="36" spans="1:15" ht="15.75" thickBot="1">
      <c r="A36" s="3180" t="s">
        <v>1999</v>
      </c>
      <c r="B36" s="1975" t="s">
        <v>2000</v>
      </c>
      <c r="C36" s="150"/>
      <c r="D36" s="1976"/>
      <c r="E36" s="1977"/>
      <c r="F36" s="1978"/>
      <c r="G36" s="134"/>
      <c r="H36" s="134"/>
      <c r="I36" s="134"/>
    </row>
    <row r="37" spans="1:15" ht="15.75" thickBot="1">
      <c r="A37" s="3181"/>
      <c r="B37" s="1862" t="s">
        <v>2001</v>
      </c>
      <c r="C37" s="152"/>
      <c r="D37" s="1301"/>
      <c r="E37" s="1301"/>
      <c r="F37" s="1978"/>
      <c r="G37" s="134"/>
      <c r="H37" s="134"/>
      <c r="I37" s="134"/>
    </row>
    <row r="38" spans="1:15" ht="15.75" thickBot="1">
      <c r="A38" s="3182"/>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57" t="s">
        <v>2013</v>
      </c>
      <c r="B45" s="3158"/>
      <c r="C45" s="3159"/>
      <c r="D45" s="160">
        <f ca="1">ROUND(H101*F45,0)</f>
        <v>256</v>
      </c>
      <c r="E45" s="161" t="s">
        <v>2014</v>
      </c>
      <c r="F45" s="162">
        <v>1</v>
      </c>
      <c r="G45" s="163" t="s">
        <v>2015</v>
      </c>
      <c r="H45" s="134"/>
      <c r="I45" s="134"/>
      <c r="J45" s="3238" t="s">
        <v>2016</v>
      </c>
      <c r="K45" s="3238"/>
      <c r="L45" s="3238"/>
      <c r="M45" s="3238"/>
      <c r="N45" s="3238"/>
      <c r="O45" s="3238"/>
    </row>
    <row r="46" spans="1:15" ht="14.25" customHeight="1">
      <c r="A46" s="3154" t="s">
        <v>2017</v>
      </c>
      <c r="B46" s="3155"/>
      <c r="C46" s="3155"/>
      <c r="D46" s="3155"/>
      <c r="E46" s="3155"/>
      <c r="F46" s="3155"/>
      <c r="G46" s="3156"/>
      <c r="H46" s="1994"/>
      <c r="I46" s="164"/>
      <c r="J46" s="2751">
        <v>1</v>
      </c>
      <c r="K46" s="3219" t="s">
        <v>2018</v>
      </c>
      <c r="L46" s="3219"/>
      <c r="M46" s="3239"/>
      <c r="N46" s="3239"/>
      <c r="O46" s="3239"/>
    </row>
    <row r="47" spans="1:15" ht="12" customHeight="1">
      <c r="A47" s="165" t="s">
        <v>2019</v>
      </c>
      <c r="B47" s="166"/>
      <c r="C47" s="167"/>
      <c r="D47" s="1247" t="s">
        <v>2020</v>
      </c>
      <c r="E47" s="308" t="s">
        <v>2021</v>
      </c>
      <c r="F47" s="168" t="s">
        <v>2022</v>
      </c>
      <c r="G47" s="2774" t="s">
        <v>2023</v>
      </c>
      <c r="H47" s="2775"/>
      <c r="I47" s="164"/>
      <c r="J47" s="2751">
        <v>2</v>
      </c>
      <c r="K47" s="3219" t="s">
        <v>2024</v>
      </c>
      <c r="L47" s="3219"/>
      <c r="M47" s="3240">
        <f>'数据-取费表'!B2</f>
        <v>44125</v>
      </c>
      <c r="N47" s="3240"/>
      <c r="O47" s="3240"/>
    </row>
    <row r="48" spans="1:15" ht="25.5">
      <c r="A48" s="3185" t="s">
        <v>2025</v>
      </c>
      <c r="B48" s="3168"/>
      <c r="C48" s="3168"/>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19" t="s">
        <v>2027</v>
      </c>
      <c r="L48" s="3219"/>
      <c r="M48" s="3241">
        <f ca="1">H101</f>
        <v>256</v>
      </c>
      <c r="N48" s="3241"/>
      <c r="O48" s="3241"/>
    </row>
    <row r="49" spans="1:35" ht="25.5" customHeight="1">
      <c r="A49" s="2558" t="s">
        <v>2028</v>
      </c>
      <c r="B49" s="3152" t="s">
        <v>2029</v>
      </c>
      <c r="C49" s="3152"/>
      <c r="D49" s="1777">
        <v>0</v>
      </c>
      <c r="E49" s="330" t="s">
        <v>2030</v>
      </c>
      <c r="F49" s="2652" t="s">
        <v>34</v>
      </c>
      <c r="G49" s="3225"/>
      <c r="H49" s="2530" t="s">
        <v>2876</v>
      </c>
      <c r="I49" s="2531"/>
      <c r="J49" s="2751">
        <v>4</v>
      </c>
      <c r="K49" s="3219" t="str">
        <f>IF(项目基本情况!E8="房地产抵押价值","房地产抵押价值","抵押担保权已注销时的房地产抵押价值")</f>
        <v>抵押担保权已注销时的房地产抵押价值</v>
      </c>
      <c r="L49" s="3219"/>
      <c r="M49" s="3241" t="str">
        <f>IF(项目基本情况!E8="房地产抵押价值",H107,H109)</f>
        <v>——</v>
      </c>
      <c r="N49" s="3241"/>
      <c r="O49" s="3241"/>
    </row>
    <row r="50" spans="1:35" ht="25.5" customHeight="1">
      <c r="A50" s="2779"/>
      <c r="B50" s="3152" t="s">
        <v>2031</v>
      </c>
      <c r="C50" s="3152"/>
      <c r="D50" s="2780"/>
      <c r="E50" s="338"/>
      <c r="F50" s="2652"/>
      <c r="G50" s="3226"/>
      <c r="H50" s="2532" t="s">
        <v>2877</v>
      </c>
      <c r="I50" s="2531"/>
      <c r="J50" s="3238" t="s">
        <v>2032</v>
      </c>
      <c r="K50" s="3238"/>
      <c r="L50" s="3238"/>
      <c r="M50" s="3238"/>
      <c r="N50" s="3238"/>
      <c r="O50" s="3238"/>
    </row>
    <row r="51" spans="1:35" ht="20.45" customHeight="1">
      <c r="A51" s="2781"/>
      <c r="B51" s="3152" t="s">
        <v>2033</v>
      </c>
      <c r="C51" s="3152"/>
      <c r="D51" s="1247"/>
      <c r="E51" s="333"/>
      <c r="F51" s="2652"/>
      <c r="G51" s="3227"/>
      <c r="H51" s="2532" t="s">
        <v>2878</v>
      </c>
      <c r="I51" s="2531"/>
      <c r="J51" s="2752" t="s">
        <v>2034</v>
      </c>
      <c r="K51" s="3219" t="s">
        <v>2035</v>
      </c>
      <c r="L51" s="3219"/>
      <c r="M51" s="2752" t="s">
        <v>2036</v>
      </c>
      <c r="N51" s="2752" t="s">
        <v>2037</v>
      </c>
      <c r="O51" s="2752" t="s">
        <v>2038</v>
      </c>
    </row>
    <row r="52" spans="1:35" ht="24" customHeight="1">
      <c r="A52" s="2560" t="s">
        <v>2039</v>
      </c>
      <c r="B52" s="3152" t="s">
        <v>2040</v>
      </c>
      <c r="C52" s="3152"/>
      <c r="D52" s="1247">
        <f ca="1">ROUND(D45*'数据-取费表'!B41/(1+'数据-取费表'!C42),0)</f>
        <v>13</v>
      </c>
      <c r="E52" s="2559" t="s">
        <v>2041</v>
      </c>
      <c r="F52" s="2782">
        <f>'数据-取费表'!B41</f>
        <v>5.5000000000000007E-2</v>
      </c>
      <c r="G52" s="2783"/>
      <c r="H52" s="2772"/>
      <c r="I52" s="1995"/>
      <c r="J52" s="2751">
        <v>1</v>
      </c>
      <c r="K52" s="3220" t="s">
        <v>2042</v>
      </c>
      <c r="L52" s="3220"/>
      <c r="M52" s="2753" t="b">
        <f>D48</f>
        <v>0</v>
      </c>
      <c r="N52" s="2751" t="str">
        <f>E48</f>
        <v>销售额×税（费）率</v>
      </c>
      <c r="O52" s="2754">
        <f>F48</f>
        <v>5.5000000000000007E-2</v>
      </c>
    </row>
    <row r="53" spans="1:35" ht="12" customHeight="1">
      <c r="A53" s="2560" t="s">
        <v>2043</v>
      </c>
      <c r="B53" s="3178" t="s">
        <v>3037</v>
      </c>
      <c r="C53" s="3179"/>
      <c r="D53" s="1247">
        <f ca="1">ROUND(D45*'数据-取费表'!B41/(1+'数据-取费表'!C42),0)</f>
        <v>13</v>
      </c>
      <c r="E53" s="2559" t="s">
        <v>2041</v>
      </c>
      <c r="F53" s="2782">
        <f>'数据-取费表'!B41</f>
        <v>5.5000000000000007E-2</v>
      </c>
      <c r="G53" s="2783"/>
      <c r="H53" s="2772"/>
      <c r="I53" s="1995"/>
      <c r="J53" s="2751">
        <v>2</v>
      </c>
      <c r="K53" s="3220" t="s">
        <v>2044</v>
      </c>
      <c r="L53" s="3220"/>
      <c r="M53" s="2753">
        <f t="shared" ref="M53:O54" ca="1" si="0">D55</f>
        <v>0</v>
      </c>
      <c r="N53" s="2751" t="str">
        <f t="shared" si="0"/>
        <v>销售额×税（费）率</v>
      </c>
      <c r="O53" s="2754" t="str">
        <f t="shared" si="0"/>
        <v>免征</v>
      </c>
    </row>
    <row r="54" spans="1:35" ht="12" customHeight="1">
      <c r="A54" s="2560" t="s">
        <v>2045</v>
      </c>
      <c r="B54" s="3178" t="s">
        <v>3038</v>
      </c>
      <c r="C54" s="3179"/>
      <c r="D54" s="1247">
        <f ca="1">C68</f>
        <v>13</v>
      </c>
      <c r="E54" s="333" t="s">
        <v>2046</v>
      </c>
      <c r="F54" s="2782">
        <f>'数据-取费表'!B41</f>
        <v>5.5000000000000007E-2</v>
      </c>
      <c r="G54" s="2783"/>
      <c r="H54" s="2784"/>
      <c r="I54" s="1995"/>
      <c r="J54" s="2751">
        <v>3</v>
      </c>
      <c r="K54" s="3220" t="s">
        <v>2047</v>
      </c>
      <c r="L54" s="3220"/>
      <c r="M54" s="2753">
        <f t="shared" ca="1" si="0"/>
        <v>145</v>
      </c>
      <c r="N54" s="2751" t="str">
        <f t="shared" si="0"/>
        <v>增值额×税（费）率</v>
      </c>
      <c r="O54" s="2755" t="str">
        <f t="shared" si="0"/>
        <v>免征</v>
      </c>
    </row>
    <row r="55" spans="1:35" ht="24" customHeight="1">
      <c r="A55" s="3167" t="s">
        <v>2048</v>
      </c>
      <c r="B55" s="3168"/>
      <c r="C55" s="3168"/>
      <c r="D55" s="2549">
        <f ca="1">IF(H55="个人住宅",0,ROUND(D45*I55,0))</f>
        <v>0</v>
      </c>
      <c r="E55" s="2559" t="s">
        <v>2049</v>
      </c>
      <c r="F55" s="2782" t="str">
        <f>IF(H55="正常",I55,"免征")</f>
        <v>免征</v>
      </c>
      <c r="G55" s="2783"/>
      <c r="H55" s="2778"/>
      <c r="I55" s="170">
        <f>'数据-取费表'!B49</f>
        <v>5.0000000000000001E-4</v>
      </c>
      <c r="J55" s="2751">
        <f>IF(H59="非个人房产","",4)</f>
        <v>4</v>
      </c>
      <c r="K55" s="3220" t="str">
        <f>IF(H59="非个人房产","——","个人所得税")</f>
        <v>个人所得税</v>
      </c>
      <c r="L55" s="3220"/>
      <c r="M55" s="2756">
        <f ca="1">D59</f>
        <v>2</v>
      </c>
      <c r="N55" s="2230" t="str">
        <f>E59</f>
        <v>差额计税</v>
      </c>
      <c r="O55" s="2757">
        <f>F59</f>
        <v>0.01</v>
      </c>
    </row>
    <row r="56" spans="1:35" ht="24.75">
      <c r="A56" s="3167" t="s">
        <v>2050</v>
      </c>
      <c r="B56" s="3168"/>
      <c r="C56" s="3168"/>
      <c r="D56" s="2549">
        <f ca="1">IF(H56="个人住宅",D57,D58)</f>
        <v>145</v>
      </c>
      <c r="E56" s="2559" t="s">
        <v>2051</v>
      </c>
      <c r="F56" s="2782" t="str">
        <f>IF(H56="正常",F58,"免征")</f>
        <v>免征</v>
      </c>
      <c r="G56" s="2785" t="s">
        <v>2052</v>
      </c>
      <c r="H56" s="2786"/>
      <c r="I56" s="1996"/>
      <c r="J56" s="2751" t="str">
        <f>IF(项目基本情况!K6="上海银行",IF(J55="",4,J55+1),"")</f>
        <v/>
      </c>
      <c r="K56" s="3243" t="str">
        <f>IF(项目基本情况!K6="上海银行","其他处置费用","")</f>
        <v/>
      </c>
      <c r="L56" s="3244"/>
      <c r="M56" s="2753" t="str">
        <f>IF(项目基本情况!K6="上海银行",M69,"")</f>
        <v/>
      </c>
      <c r="N56" s="3243" t="str">
        <f>IF(项目基本情况!K6="上海银行","包含处置中涉及的律师、诉讼、拍卖、评估等费用","")</f>
        <v/>
      </c>
      <c r="O56" s="3246"/>
    </row>
    <row r="57" spans="1:35" ht="12.75">
      <c r="A57" s="2560" t="s">
        <v>2028</v>
      </c>
      <c r="B57" s="3178" t="s">
        <v>2053</v>
      </c>
      <c r="C57" s="3179"/>
      <c r="D57" s="1777">
        <v>0</v>
      </c>
      <c r="E57" s="330" t="s">
        <v>2030</v>
      </c>
      <c r="F57" s="308"/>
      <c r="G57" s="2783"/>
      <c r="H57" s="2787"/>
      <c r="I57" s="1996"/>
      <c r="J57" s="3220">
        <f>IF(AND(J55="",J56=""),4,IF(项目基本情况!K6="上海银行",结果表!J56+1,结果表!J55+1))</f>
        <v>5</v>
      </c>
      <c r="K57" s="3220" t="s">
        <v>2054</v>
      </c>
      <c r="L57" s="2758" t="s">
        <v>2055</v>
      </c>
      <c r="M57" s="2759"/>
      <c r="N57" s="2760">
        <f ca="1">SUMIF(M52:M56,"&lt;9e307")</f>
        <v>147</v>
      </c>
      <c r="O57" s="2761"/>
      <c r="P57" s="2921" t="e">
        <f ca="1">N57/M49</f>
        <v>#VALUE!</v>
      </c>
    </row>
    <row r="58" spans="1:35" ht="24.75">
      <c r="A58" s="2560" t="s">
        <v>2039</v>
      </c>
      <c r="B58" s="3178" t="s">
        <v>2056</v>
      </c>
      <c r="C58" s="3152"/>
      <c r="D58" s="2549">
        <f ca="1">IF(H58="转让取得",C81,C97)</f>
        <v>145</v>
      </c>
      <c r="E58" s="2559" t="s">
        <v>2051</v>
      </c>
      <c r="F58" s="308" t="s">
        <v>34</v>
      </c>
      <c r="G58" s="2783"/>
      <c r="H58" s="2786"/>
      <c r="I58" s="1996"/>
      <c r="J58" s="3220"/>
      <c r="K58" s="3220"/>
      <c r="L58" s="2758" t="s">
        <v>2057</v>
      </c>
      <c r="M58" s="2762"/>
      <c r="N58" s="2763" t="str">
        <f ca="1">NUMBERSTRING(INT(N57*10000),2)&amp;"元整"</f>
        <v>壹佰肆拾柒万元整</v>
      </c>
      <c r="O58" s="2764"/>
    </row>
    <row r="59" spans="1:35" ht="24.75" thickBot="1">
      <c r="A59" s="3223" t="s">
        <v>2058</v>
      </c>
      <c r="B59" s="3224"/>
      <c r="C59" s="3224"/>
      <c r="D59" s="2788">
        <f ca="1">IF(H59="非个人房产","——",IF(H59="个人住宅（满五唯一有凭证）",0,IF(H59="个人其他（无凭证）",ROUND(D45*F59,0),ROUND(C67*F59,0))))</f>
        <v>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221">
        <f>J57+1</f>
        <v>6</v>
      </c>
      <c r="K59" s="3220" t="s">
        <v>2059</v>
      </c>
      <c r="L59" s="2751" t="s">
        <v>2055</v>
      </c>
      <c r="M59" s="2765"/>
      <c r="N59" s="2766" t="e">
        <f ca="1">M49-N57</f>
        <v>#VALUE!</v>
      </c>
      <c r="O59" s="2767"/>
    </row>
    <row r="60" spans="1:35" ht="12" customHeight="1">
      <c r="A60" s="1997"/>
      <c r="B60" s="1935"/>
      <c r="C60" s="1935"/>
      <c r="D60" s="1935"/>
      <c r="E60" s="1765"/>
      <c r="F60" s="1996"/>
      <c r="G60" s="1996"/>
      <c r="H60" s="1998"/>
      <c r="I60" s="134"/>
      <c r="J60" s="3222"/>
      <c r="K60" s="3220"/>
      <c r="L60" s="2758" t="s">
        <v>2057</v>
      </c>
      <c r="M60" s="2762"/>
      <c r="N60" s="2763" t="e">
        <f ca="1">NUMBERSTRING(INT(N59*10000),2)&amp;"元整"</f>
        <v>#VALUE!</v>
      </c>
      <c r="O60" s="2764"/>
    </row>
    <row r="61" spans="1:35" ht="13.5" thickBot="1">
      <c r="A61" s="3165" t="s">
        <v>2060</v>
      </c>
      <c r="B61" s="3165"/>
      <c r="C61" s="3165"/>
      <c r="D61" s="3165"/>
      <c r="E61" s="3165"/>
      <c r="F61" s="1996"/>
      <c r="G61" s="1996"/>
      <c r="H61" s="1998"/>
      <c r="I61" s="134"/>
      <c r="J61" s="2751">
        <f>J59+1</f>
        <v>7</v>
      </c>
      <c r="K61" s="3220" t="s">
        <v>2061</v>
      </c>
      <c r="L61" s="3220"/>
      <c r="M61" s="2768"/>
      <c r="N61" s="2769" t="e">
        <f ca="1">ROUND(N59*10000/'数据-汇总表'!E3,0)</f>
        <v>#VALUE!</v>
      </c>
      <c r="O61" s="2770"/>
    </row>
    <row r="62" spans="1:35" ht="12.75">
      <c r="A62" s="3183" t="s">
        <v>2062</v>
      </c>
      <c r="B62" s="3184"/>
      <c r="C62" s="2211"/>
      <c r="D62" s="2211" t="s">
        <v>2063</v>
      </c>
      <c r="E62" s="171" t="s">
        <v>2064</v>
      </c>
      <c r="F62" s="1996"/>
      <c r="G62" s="1996"/>
      <c r="H62" s="1998"/>
      <c r="I62" s="134"/>
    </row>
    <row r="63" spans="1:35" ht="12.75">
      <c r="A63" s="178" t="s">
        <v>775</v>
      </c>
      <c r="B63" s="172" t="s">
        <v>2065</v>
      </c>
      <c r="C63" s="2792">
        <f ca="1">ROUND((C64+C65)/(1+'数据-取费表'!C42),0)</f>
        <v>244</v>
      </c>
      <c r="D63" s="172"/>
      <c r="E63" s="173"/>
      <c r="F63" s="1996"/>
      <c r="G63" s="1996"/>
      <c r="H63" s="1998"/>
      <c r="I63" s="134"/>
      <c r="J63" s="3245"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256</v>
      </c>
      <c r="D64" s="175" t="s">
        <v>32</v>
      </c>
      <c r="E64" s="177"/>
      <c r="F64" s="1996"/>
      <c r="G64" s="1996"/>
      <c r="H64" s="1998"/>
      <c r="I64" s="134"/>
      <c r="J64" s="3245"/>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45"/>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45"/>
      <c r="K66" s="1503" t="s">
        <v>2074</v>
      </c>
      <c r="L66" s="1503" t="e">
        <f>M49*0.5%</f>
        <v>#VALUE!</v>
      </c>
      <c r="M66" s="308" t="e">
        <f>IF(L66&gt;0.5,0.5,ROUND(L66,0))</f>
        <v>#VALUE!</v>
      </c>
      <c r="N66" s="2772" t="s">
        <v>2075</v>
      </c>
      <c r="Z66" s="1940"/>
      <c r="AI66" s="1941"/>
    </row>
    <row r="67" spans="1:35" ht="14.25" customHeight="1">
      <c r="A67" s="178" t="s">
        <v>773</v>
      </c>
      <c r="B67" s="179" t="s">
        <v>2076</v>
      </c>
      <c r="C67" s="2796">
        <f ca="1">C63-C66</f>
        <v>244</v>
      </c>
      <c r="D67" s="175" t="s">
        <v>32</v>
      </c>
      <c r="E67" s="177"/>
      <c r="F67" s="1996"/>
      <c r="G67" s="1996"/>
      <c r="H67" s="1998"/>
      <c r="I67" s="134"/>
      <c r="J67" s="3245"/>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13</v>
      </c>
      <c r="D68" s="2798">
        <f>'数据-取费表'!B41</f>
        <v>5.5000000000000007E-2</v>
      </c>
      <c r="E68" s="184"/>
      <c r="F68" s="1996"/>
      <c r="G68" s="1996"/>
      <c r="H68" s="1998"/>
      <c r="I68" s="134"/>
      <c r="J68" s="3245"/>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45"/>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4" t="s">
        <v>2081</v>
      </c>
      <c r="B70" s="3205"/>
      <c r="C70" s="3205"/>
      <c r="D70" s="3205"/>
      <c r="E70" s="3205"/>
      <c r="F70" s="3205"/>
      <c r="G70" s="3205"/>
      <c r="H70" s="3205"/>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3" t="s">
        <v>2062</v>
      </c>
      <c r="B71" s="3184"/>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244</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78" t="s">
        <v>2089</v>
      </c>
      <c r="F76" s="3152"/>
      <c r="G76" s="3152"/>
      <c r="H76" s="320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v>
      </c>
      <c r="D78" s="2805">
        <f>'数据-取费表'!B43</f>
        <v>5.000000000000001E-3</v>
      </c>
      <c r="E78" s="3162" t="s">
        <v>2093</v>
      </c>
      <c r="F78" s="3163"/>
      <c r="G78" s="3163"/>
      <c r="H78" s="317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243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243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145</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4" t="s">
        <v>2097</v>
      </c>
      <c r="B83" s="3205"/>
      <c r="C83" s="3205"/>
      <c r="D83" s="3205"/>
      <c r="E83" s="3205"/>
      <c r="F83" s="3205"/>
      <c r="G83" s="3205"/>
      <c r="H83" s="320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3" t="s">
        <v>2062</v>
      </c>
      <c r="B84" s="3184"/>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244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47" t="s">
        <v>2871</v>
      </c>
      <c r="H90" s="3248"/>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62" t="s">
        <v>2106</v>
      </c>
      <c r="F91" s="3163"/>
      <c r="G91" s="316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62" t="s">
        <v>2109</v>
      </c>
      <c r="F92" s="3163"/>
      <c r="G92" s="3163"/>
      <c r="H92" s="3172"/>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v>
      </c>
      <c r="D93" s="2805">
        <f>'数据-取费表'!B43</f>
        <v>5.000000000000001E-3</v>
      </c>
      <c r="E93" s="3162" t="s">
        <v>2093</v>
      </c>
      <c r="F93" s="3163"/>
      <c r="G93" s="3163"/>
      <c r="H93" s="317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73" t="s">
        <v>2113</v>
      </c>
      <c r="F94" s="3174"/>
      <c r="G94" s="3174"/>
      <c r="H94" s="317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243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243</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145</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6" t="s">
        <v>2115</v>
      </c>
      <c r="B100" s="3147"/>
      <c r="C100" s="3147"/>
      <c r="D100" s="3164"/>
      <c r="E100" s="3147" t="s">
        <v>2116</v>
      </c>
      <c r="F100" s="3147"/>
      <c r="G100" s="3147"/>
      <c r="H100" s="3164"/>
      <c r="I100" s="134"/>
    </row>
    <row r="101" spans="1:35" ht="18.75" customHeight="1">
      <c r="A101" s="3228" t="s">
        <v>2117</v>
      </c>
      <c r="B101" s="3229"/>
      <c r="C101" s="2813" t="str">
        <f>C4</f>
        <v>成本法</v>
      </c>
      <c r="D101" s="2814" t="str">
        <f>D4</f>
        <v>收益法</v>
      </c>
      <c r="E101" s="3242" t="s">
        <v>2118</v>
      </c>
      <c r="F101" s="3196"/>
      <c r="G101" s="2015" t="s">
        <v>2119</v>
      </c>
      <c r="H101" s="2823">
        <f ca="1">H118</f>
        <v>256</v>
      </c>
      <c r="I101" s="134"/>
    </row>
    <row r="102" spans="1:35" ht="18.75" customHeight="1">
      <c r="A102" s="3198" t="s">
        <v>2120</v>
      </c>
      <c r="B102" s="2812" t="s">
        <v>2119</v>
      </c>
      <c r="C102" s="2813">
        <f ca="1">C19</f>
        <v>334</v>
      </c>
      <c r="D102" s="2814">
        <f ca="1">D19</f>
        <v>112</v>
      </c>
      <c r="E102" s="3242"/>
      <c r="F102" s="3196"/>
      <c r="G102" s="2015" t="s">
        <v>2121</v>
      </c>
      <c r="H102" s="2783">
        <f ca="1">I118</f>
        <v>30784</v>
      </c>
      <c r="I102" s="134"/>
    </row>
    <row r="103" spans="1:35" ht="42.75" customHeight="1">
      <c r="A103" s="3198"/>
      <c r="B103" s="2812" t="s">
        <v>2121</v>
      </c>
      <c r="C103" s="2815">
        <f ca="1">C20</f>
        <v>40164</v>
      </c>
      <c r="D103" s="2816">
        <f ca="1">D20</f>
        <v>13468</v>
      </c>
      <c r="E103" s="3236" t="s">
        <v>2122</v>
      </c>
      <c r="F103" s="3237"/>
      <c r="G103" s="2016" t="s">
        <v>2123</v>
      </c>
      <c r="H103" s="2823">
        <f>IF(D36="正常操作",H104+H105+H106,H105+H106)</f>
        <v>0</v>
      </c>
      <c r="I103" s="134"/>
    </row>
    <row r="104" spans="1:35" ht="18.75" customHeight="1">
      <c r="A104" s="3198" t="s">
        <v>2124</v>
      </c>
      <c r="B104" s="2817" t="s">
        <v>2119</v>
      </c>
      <c r="C104" s="2818">
        <f ca="1">H118</f>
        <v>256</v>
      </c>
      <c r="D104" s="2819"/>
      <c r="E104" s="1862" t="s">
        <v>2125</v>
      </c>
      <c r="F104" s="1853"/>
      <c r="G104" s="2016" t="s">
        <v>2123</v>
      </c>
      <c r="H104" s="2824">
        <f>IF(D36="同一抵押权人同一抵押物续贷",C36&amp;"（续贷，未扣减，详见特别提示）",C36)</f>
        <v>0</v>
      </c>
      <c r="I104" s="134"/>
    </row>
    <row r="105" spans="1:35" ht="18.75" customHeight="1" thickBot="1">
      <c r="A105" s="3199"/>
      <c r="B105" s="2820" t="s">
        <v>2121</v>
      </c>
      <c r="C105" s="2821">
        <f ca="1">I118</f>
        <v>30784</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95" t="str">
        <f>IF(项目基本情况!E8="已注销","——","3.房地产抵押价值")</f>
        <v>3.房地产抵押价值</v>
      </c>
      <c r="F107" s="3196"/>
      <c r="G107" s="2015" t="s">
        <v>2119</v>
      </c>
      <c r="H107" s="2823">
        <f ca="1">IF(E107="——","——",H101-H103)</f>
        <v>256</v>
      </c>
      <c r="I107" s="134"/>
    </row>
    <row r="108" spans="1:35" ht="18.75" customHeight="1">
      <c r="A108" s="134"/>
      <c r="B108" s="134"/>
      <c r="C108" s="134"/>
      <c r="D108" s="134"/>
      <c r="E108" s="3195"/>
      <c r="F108" s="3196"/>
      <c r="G108" s="2015" t="s">
        <v>2121</v>
      </c>
      <c r="H108" s="2783">
        <f ca="1">ROUND(H107*10000/'数据-汇总表'!E3,0)</f>
        <v>30784</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96"/>
      <c r="G109" s="2015" t="s">
        <v>2119</v>
      </c>
      <c r="H109" s="2826" t="str">
        <f>IF(E109="——","——",H101-H105-H106)</f>
        <v>——</v>
      </c>
      <c r="I109" s="134"/>
    </row>
    <row r="110" spans="1:35" ht="18.75" customHeight="1">
      <c r="A110" s="134"/>
      <c r="B110" s="134"/>
      <c r="C110" s="134"/>
      <c r="D110" s="134"/>
      <c r="E110" s="3195"/>
      <c r="F110" s="3196"/>
      <c r="G110" s="2015" t="s">
        <v>2121</v>
      </c>
      <c r="H110" s="2783"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5" t="s">
        <v>2119</v>
      </c>
      <c r="H111" s="2823" t="str">
        <f>IF(E111="——","——",N59)</f>
        <v>——</v>
      </c>
      <c r="I111" s="134"/>
    </row>
    <row r="112" spans="1:35" ht="18.75" customHeight="1" thickBot="1">
      <c r="A112" s="134"/>
      <c r="B112" s="134"/>
      <c r="C112" s="134"/>
      <c r="D112" s="134"/>
      <c r="E112" s="3231"/>
      <c r="F112" s="3232"/>
      <c r="G112" s="2018" t="s">
        <v>2121</v>
      </c>
      <c r="H112" s="2827" t="str">
        <f>IF(E111="——","——",N61)</f>
        <v>——</v>
      </c>
      <c r="I112" s="134"/>
    </row>
    <row r="113" spans="1:27" ht="18.75" customHeight="1">
      <c r="A113" s="134"/>
      <c r="B113" s="134"/>
      <c r="C113" s="134"/>
      <c r="D113" s="134"/>
      <c r="E113" s="3200" t="s">
        <v>2127</v>
      </c>
      <c r="F113" s="3200"/>
      <c r="G113" s="3200"/>
      <c r="H113" s="3200"/>
      <c r="I113" s="134"/>
    </row>
    <row r="114" spans="1:27" ht="3.75" customHeight="1">
      <c r="A114" s="1935"/>
      <c r="B114" s="1935"/>
      <c r="C114" s="1935"/>
      <c r="D114" s="1935"/>
      <c r="E114" s="1997"/>
      <c r="F114" s="1997"/>
      <c r="G114" s="1997"/>
      <c r="H114" s="1997"/>
      <c r="I114" s="1935"/>
    </row>
    <row r="115" spans="1:27" ht="18.75" customHeight="1">
      <c r="A115" s="3213" t="s">
        <v>2129</v>
      </c>
      <c r="B115" s="3214"/>
      <c r="C115" s="3214"/>
      <c r="D115" s="3214"/>
      <c r="E115" s="3214"/>
      <c r="F115" s="3214"/>
      <c r="G115" s="3214"/>
      <c r="H115" s="3214"/>
      <c r="I115" s="3215"/>
    </row>
    <row r="116" spans="1:27" ht="27" customHeight="1">
      <c r="A116" s="3166" t="s">
        <v>2130</v>
      </c>
      <c r="B116" s="3201" t="s">
        <v>2131</v>
      </c>
      <c r="C116" s="3201" t="s">
        <v>2132</v>
      </c>
      <c r="D116" s="3217" t="s">
        <v>2133</v>
      </c>
      <c r="E116" s="3218"/>
      <c r="F116" s="3209" t="s">
        <v>2134</v>
      </c>
      <c r="G116" s="3209"/>
      <c r="H116" s="3166" t="s">
        <v>2135</v>
      </c>
      <c r="I116" s="3166"/>
    </row>
    <row r="117" spans="1:27" ht="18.75" customHeight="1">
      <c r="A117" s="3166"/>
      <c r="B117" s="3202"/>
      <c r="C117" s="3202"/>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83.16</v>
      </c>
      <c r="C118" s="2554">
        <f>M19</f>
        <v>0</v>
      </c>
      <c r="D118" s="2554">
        <f>ROUND(IF(D32="总价",C34,E118*B118/10000),0)</f>
        <v>0</v>
      </c>
      <c r="E118" s="2554">
        <f>ROUND(IF(C33="自定义",IF(D32="楼面单价",C34,D118*10000/B118),I118-G118),0)</f>
        <v>0</v>
      </c>
      <c r="F118" s="2554">
        <f>ROUND(IF(D32="总价",C35,G118*B118/10000),0)</f>
        <v>0</v>
      </c>
      <c r="G118" s="2554">
        <f>ROUND(IF(D32="楼面单价",C35,F118*10000/B118),0)</f>
        <v>0</v>
      </c>
      <c r="H118" s="2554">
        <f ca="1">ROUND(IF(D32="总价",C32,I118*B118/10000),0)</f>
        <v>256</v>
      </c>
      <c r="I118" s="2554">
        <f ca="1">ROUND(IF(D32="楼面单价",C32,H118*10000/B118),0)</f>
        <v>30784</v>
      </c>
    </row>
    <row r="119" spans="1:27" ht="18.75" customHeight="1">
      <c r="A119" s="3166" t="s">
        <v>2139</v>
      </c>
      <c r="B119" s="3166"/>
      <c r="C119" s="3166"/>
      <c r="D119" s="3206" t="str">
        <f>NUMBERSTRING(INT(D118*10000),2)&amp;"元整"</f>
        <v>零元整</v>
      </c>
      <c r="E119" s="3208"/>
      <c r="F119" s="3206" t="str">
        <f>NUMBERSTRING(INT(F118*10000),2)&amp;"元整"</f>
        <v>零元整</v>
      </c>
      <c r="G119" s="3208"/>
      <c r="H119" s="3206" t="str">
        <f ca="1">NUMBERSTRING(INT(H118*10000),2)&amp;"元整"</f>
        <v>贰佰伍拾陆万元整</v>
      </c>
      <c r="I119" s="3208"/>
    </row>
    <row r="120" spans="1:27" ht="18.75" customHeight="1">
      <c r="A120" s="3233" t="str">
        <f>IF(项目基本情况!B9="房地产市场价值","",MID(E103,3,LEN(E103)-2))</f>
        <v/>
      </c>
      <c r="B120" s="3234"/>
      <c r="C120" s="3235"/>
      <c r="D120" s="3233">
        <f>H103</f>
        <v>0</v>
      </c>
      <c r="E120" s="3234"/>
      <c r="F120" s="3234"/>
      <c r="G120" s="3234"/>
      <c r="H120" s="3234"/>
      <c r="I120" s="323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10" t="s">
        <v>2139</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
      </c>
      <c r="B122" s="3197"/>
      <c r="C122" s="3197"/>
      <c r="D122" s="3233">
        <f ca="1">H107</f>
        <v>256</v>
      </c>
      <c r="E122" s="3234"/>
      <c r="F122" s="3234"/>
      <c r="G122" s="3234"/>
      <c r="H122" s="3234"/>
      <c r="I122" s="3235"/>
      <c r="AA122" s="734"/>
    </row>
    <row r="123" spans="1:27" ht="18.75" customHeight="1">
      <c r="A123" s="3166" t="s">
        <v>2139</v>
      </c>
      <c r="B123" s="3166"/>
      <c r="C123" s="3166"/>
      <c r="D123" s="3206" t="str">
        <f ca="1">NUMBERSTRING(INT(D122*10000),2)&amp;"元整"</f>
        <v>贰佰伍拾陆万元整</v>
      </c>
      <c r="E123" s="3207"/>
      <c r="F123" s="3207"/>
      <c r="G123" s="3207"/>
      <c r="H123" s="3207"/>
      <c r="I123" s="3208"/>
      <c r="AA123" s="734"/>
    </row>
    <row r="124" spans="1:27" ht="18.75" customHeight="1">
      <c r="A124" s="3197" t="str">
        <f>IF(项目基本情况!B9="房地产市场价值","",MID(E109,3,LEN(E109)-2))</f>
        <v/>
      </c>
      <c r="B124" s="3197"/>
      <c r="C124" s="3197"/>
      <c r="D124" s="3233" t="str">
        <f>H109</f>
        <v>——</v>
      </c>
      <c r="E124" s="3234"/>
      <c r="F124" s="3234"/>
      <c r="G124" s="3234"/>
      <c r="H124" s="3234"/>
      <c r="I124" s="3235"/>
      <c r="AA124" s="734"/>
    </row>
    <row r="125" spans="1:27" ht="18.75" customHeight="1">
      <c r="A125" s="3166" t="s">
        <v>2139</v>
      </c>
      <c r="B125" s="3166"/>
      <c r="C125" s="3166"/>
      <c r="D125" s="3206" t="e">
        <f>NUMBERSTRING(INT(D124*10000),2)&amp;"元整"</f>
        <v>#VALUE!</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2139</v>
      </c>
      <c r="B127" s="3166"/>
      <c r="C127" s="3166"/>
      <c r="D127" s="3206" t="e">
        <f>NUMBERSTRING(INT(D126*10000),2)&amp;"元整"</f>
        <v>#VALUE!</v>
      </c>
      <c r="E127" s="3207"/>
      <c r="F127" s="3207"/>
      <c r="G127" s="3207"/>
      <c r="H127" s="3207"/>
      <c r="I127" s="3208"/>
      <c r="AA127" s="734"/>
    </row>
    <row r="128" spans="1:27" ht="21.75" customHeight="1">
      <c r="A128" s="3216" t="s">
        <v>2140</v>
      </c>
      <c r="B128" s="3216"/>
      <c r="C128" s="3216"/>
      <c r="D128" s="3216"/>
      <c r="E128" s="3216"/>
      <c r="F128" s="3216"/>
      <c r="G128" s="3216"/>
      <c r="H128" s="3216"/>
      <c r="I128" s="321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北京市房地产市场价值预评估</v>
      </c>
      <c r="C37" s="3060"/>
      <c r="D37" s="3060"/>
      <c r="E37" s="3060"/>
      <c r="F37" s="3060"/>
      <c r="G37" s="3060"/>
      <c r="H37" s="3060"/>
      <c r="I37" s="3060"/>
    </row>
    <row r="38" spans="1:9">
      <c r="A38" s="953"/>
      <c r="B38" s="953"/>
    </row>
    <row r="39" spans="1:9">
      <c r="A39" s="951" t="s">
        <v>818</v>
      </c>
      <c r="B39" s="951" t="s">
        <v>820</v>
      </c>
    </row>
    <row r="40" spans="1:9">
      <c r="A40" s="951"/>
      <c r="B40" s="1661" t="str">
        <f>项目基本情况!B5</f>
        <v>石景山法院</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叶凌（注册号：1119970111)、陈颖（注册号：1120060040)</v>
      </c>
    </row>
    <row r="47" spans="1:9">
      <c r="A47" s="951"/>
      <c r="B47" s="951" t="str">
        <f>项目基本情况!K5</f>
        <v>（注册号：0)、（注册号：0)</v>
      </c>
    </row>
    <row r="48" spans="1:9">
      <c r="A48" s="951" t="s">
        <v>818</v>
      </c>
      <c r="B48" s="951" t="s">
        <v>824</v>
      </c>
    </row>
    <row r="49" spans="2:2">
      <c r="B49" s="1661" t="str">
        <f>"康正预评字"&amp;项目基本情况!B2&amp;"号"</f>
        <v>康正预评字2020-1-0511号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8"/>
  <sheetViews>
    <sheetView workbookViewId="0">
      <selection activeCell="D22" sqref="D22"/>
    </sheetView>
  </sheetViews>
  <sheetFormatPr defaultColWidth="11" defaultRowHeight="13.5"/>
  <cols>
    <col min="3" max="3" width="33.5" customWidth="1"/>
  </cols>
  <sheetData>
    <row r="1" spans="1:17">
      <c r="A1" s="3250" t="s">
        <v>3165</v>
      </c>
      <c r="B1" s="3250"/>
      <c r="C1" s="3250"/>
      <c r="D1" s="3250"/>
      <c r="E1" s="3250"/>
      <c r="F1" s="3250"/>
      <c r="G1" s="3250"/>
      <c r="H1" s="3250"/>
      <c r="I1" s="3250"/>
      <c r="J1" s="3250"/>
      <c r="K1" s="3250"/>
      <c r="L1" s="3250"/>
      <c r="M1" s="3250"/>
      <c r="N1" s="3250"/>
      <c r="O1" s="3250"/>
      <c r="P1" s="3250"/>
      <c r="Q1" s="3250"/>
    </row>
    <row r="2" spans="1:17">
      <c r="A2" s="3250"/>
      <c r="B2" s="3250"/>
      <c r="C2" s="3250"/>
      <c r="D2" s="3250"/>
      <c r="E2" s="3250"/>
      <c r="F2" s="3250"/>
      <c r="G2" s="3250"/>
      <c r="H2" s="3250"/>
      <c r="I2" s="3250"/>
      <c r="J2" s="3250"/>
      <c r="K2" s="3250"/>
      <c r="L2" s="3250"/>
      <c r="M2" s="3250"/>
      <c r="N2" s="3250"/>
      <c r="O2" s="3250"/>
      <c r="P2" s="3250"/>
      <c r="Q2" s="3250"/>
    </row>
    <row r="3" spans="1:17">
      <c r="A3" s="3250"/>
      <c r="B3" s="3250"/>
      <c r="C3" s="3250"/>
      <c r="D3" s="3250"/>
      <c r="E3" s="3250"/>
      <c r="F3" s="3250"/>
      <c r="G3" s="3250"/>
      <c r="H3" s="3250"/>
      <c r="I3" s="3250"/>
      <c r="J3" s="3250"/>
      <c r="K3" s="3250"/>
      <c r="L3" s="3250"/>
      <c r="M3" s="3250"/>
      <c r="N3" s="3250"/>
      <c r="O3" s="3250"/>
      <c r="P3" s="3250"/>
      <c r="Q3" s="3250"/>
    </row>
    <row r="4" spans="1:17">
      <c r="A4" s="3250"/>
      <c r="B4" s="3250"/>
      <c r="C4" s="3250"/>
      <c r="D4" s="3250"/>
      <c r="E4" s="3250"/>
      <c r="F4" s="3250"/>
      <c r="G4" s="3250"/>
      <c r="H4" s="3250"/>
      <c r="I4" s="3250"/>
      <c r="J4" s="3250"/>
      <c r="K4" s="3250"/>
      <c r="L4" s="3250"/>
      <c r="M4" s="3250"/>
      <c r="N4" s="3250"/>
      <c r="O4" s="3250"/>
      <c r="P4" s="3250"/>
      <c r="Q4" s="3250"/>
    </row>
    <row r="5" spans="1:17">
      <c r="A5" s="3250"/>
      <c r="B5" s="3250"/>
      <c r="C5" s="3250"/>
      <c r="D5" s="3250"/>
      <c r="E5" s="3250"/>
      <c r="F5" s="3250"/>
      <c r="G5" s="3250"/>
      <c r="H5" s="3250"/>
      <c r="I5" s="3250"/>
      <c r="J5" s="3250"/>
      <c r="K5" s="3250"/>
      <c r="L5" s="3250"/>
      <c r="M5" s="3250"/>
      <c r="N5" s="3250"/>
      <c r="O5" s="3250"/>
      <c r="P5" s="3250"/>
      <c r="Q5" s="3250"/>
    </row>
    <row r="6" spans="1:17">
      <c r="A6" s="3250"/>
      <c r="B6" s="3250"/>
      <c r="C6" s="3250"/>
      <c r="D6" s="3250"/>
      <c r="E6" s="3250"/>
      <c r="F6" s="3250"/>
      <c r="G6" s="3250"/>
      <c r="H6" s="3250"/>
      <c r="I6" s="3250"/>
      <c r="J6" s="3250"/>
      <c r="K6" s="3250"/>
      <c r="L6" s="3250"/>
      <c r="M6" s="3250"/>
      <c r="N6" s="3250"/>
      <c r="O6" s="3250"/>
      <c r="P6" s="3250"/>
      <c r="Q6" s="3250"/>
    </row>
    <row r="7" spans="1:17">
      <c r="A7" s="3250"/>
      <c r="B7" s="3250"/>
      <c r="C7" s="3250"/>
      <c r="D7" s="3250"/>
      <c r="E7" s="3250"/>
      <c r="F7" s="3250"/>
      <c r="G7" s="3250"/>
      <c r="H7" s="3250"/>
      <c r="I7" s="3250"/>
      <c r="J7" s="3250"/>
      <c r="K7" s="3250"/>
      <c r="L7" s="3250"/>
      <c r="M7" s="3250"/>
      <c r="N7" s="3250"/>
      <c r="O7" s="3250"/>
      <c r="P7" s="3250"/>
      <c r="Q7" s="3250"/>
    </row>
    <row r="8" spans="1:17">
      <c r="A8" s="3250"/>
      <c r="B8" s="3250"/>
      <c r="C8" s="3250"/>
      <c r="D8" s="3250"/>
      <c r="E8" s="3250"/>
      <c r="F8" s="3250"/>
      <c r="G8" s="3250"/>
      <c r="H8" s="3250"/>
      <c r="I8" s="3250"/>
      <c r="J8" s="3250"/>
      <c r="K8" s="3250"/>
      <c r="L8" s="3250"/>
      <c r="M8" s="3250"/>
      <c r="N8" s="3250"/>
      <c r="O8" s="3250"/>
      <c r="P8" s="3250"/>
      <c r="Q8" s="3250"/>
    </row>
    <row r="9" spans="1:17">
      <c r="A9" s="3250"/>
      <c r="B9" s="3250"/>
      <c r="C9" s="3250"/>
      <c r="D9" s="3250"/>
      <c r="E9" s="3250"/>
      <c r="F9" s="3250"/>
      <c r="G9" s="3250"/>
      <c r="H9" s="3250"/>
      <c r="I9" s="3250"/>
      <c r="J9" s="3250"/>
      <c r="K9" s="3250"/>
      <c r="L9" s="3250"/>
      <c r="M9" s="3250"/>
      <c r="N9" s="3250"/>
      <c r="O9" s="3250"/>
      <c r="P9" s="3250"/>
      <c r="Q9" s="3250"/>
    </row>
    <row r="10" spans="1:17">
      <c r="A10" s="3250"/>
      <c r="B10" s="3250"/>
      <c r="C10" s="3250"/>
      <c r="D10" s="3250"/>
      <c r="E10" s="3250"/>
      <c r="F10" s="3250"/>
      <c r="G10" s="3250"/>
      <c r="H10" s="3250"/>
      <c r="I10" s="3250"/>
      <c r="J10" s="3250"/>
      <c r="K10" s="3250"/>
      <c r="L10" s="3250"/>
      <c r="M10" s="3250"/>
      <c r="N10" s="3250"/>
      <c r="O10" s="3250"/>
      <c r="P10" s="3250"/>
      <c r="Q10" s="3250"/>
    </row>
    <row r="12" spans="1:17">
      <c r="C12" s="3054" t="s">
        <v>3162</v>
      </c>
      <c r="D12" s="3055" t="s">
        <v>3157</v>
      </c>
      <c r="E12" s="3055" t="s">
        <v>3158</v>
      </c>
      <c r="F12" s="3055" t="s">
        <v>3159</v>
      </c>
      <c r="G12" s="3055" t="s">
        <v>3158</v>
      </c>
    </row>
    <row r="13" spans="1:17">
      <c r="C13" s="3055">
        <f>'数据-汇总表'!E3</f>
        <v>83.16</v>
      </c>
      <c r="D13" s="3054">
        <f>'比较法-住宅'!C49</f>
        <v>61971</v>
      </c>
      <c r="E13" s="3054">
        <v>0.7</v>
      </c>
      <c r="F13" s="3054">
        <f ca="1">收益法!B3</f>
        <v>13468</v>
      </c>
      <c r="G13" s="3054">
        <f>1-E13</f>
        <v>0.30000000000000004</v>
      </c>
    </row>
    <row r="14" spans="1:17">
      <c r="C14" s="3055" t="s">
        <v>3160</v>
      </c>
      <c r="D14" s="3251">
        <f ca="1">ROUND(D13*E13+F13*G13,0)</f>
        <v>47420</v>
      </c>
      <c r="E14" s="3251"/>
      <c r="F14" s="3251"/>
      <c r="G14" s="3251"/>
    </row>
    <row r="15" spans="1:17">
      <c r="C15" s="3058"/>
      <c r="D15" s="3251">
        <f ca="1">ROUND(D14*C13,0)</f>
        <v>3943447</v>
      </c>
      <c r="E15" s="3251"/>
      <c r="F15" s="3251"/>
      <c r="G15" s="3251"/>
    </row>
    <row r="16" spans="1:17">
      <c r="C16" s="3057" t="s">
        <v>3163</v>
      </c>
      <c r="D16" s="3251">
        <f>ROUND(1560*1%*C13,0)</f>
        <v>1297</v>
      </c>
      <c r="E16" s="3251"/>
      <c r="F16" s="3251"/>
      <c r="G16" s="3251"/>
    </row>
    <row r="17" spans="3:7">
      <c r="C17" s="3059" t="s">
        <v>3164</v>
      </c>
      <c r="D17" s="3249">
        <f ca="1">D15-D16</f>
        <v>3942150</v>
      </c>
      <c r="E17" s="3249"/>
      <c r="F17" s="3249"/>
      <c r="G17" s="3249"/>
    </row>
    <row r="18" spans="3:7">
      <c r="C18" s="3056" t="s">
        <v>3161</v>
      </c>
      <c r="D18" s="3249">
        <f ca="1">ROUND(D17/C13,0)</f>
        <v>47404</v>
      </c>
      <c r="E18" s="3249"/>
      <c r="F18" s="3249"/>
      <c r="G18" s="3249"/>
    </row>
  </sheetData>
  <mergeCells count="6">
    <mergeCell ref="D18:G18"/>
    <mergeCell ref="A1:Q10"/>
    <mergeCell ref="D14:G14"/>
    <mergeCell ref="D15:G15"/>
    <mergeCell ref="D16:G16"/>
    <mergeCell ref="D17:G1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35</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4209</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16632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16632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16632</v>
      </c>
      <c r="D10" s="954">
        <f ca="1">IF(B1="",'数据-汇总表'!E6,IF(INDIRECT("'数据-取费表'!c"&amp;$G$1)="住宅",INDIRECT("'数据-取费表'!s"&amp;$G$1),INDIRECT("'数据-取费表'!k"&amp;$G$1)+INDIRECT("'数据-取费表'!s"&amp;$G$1)))</f>
        <v>83.16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16632</v>
      </c>
      <c r="D19" s="958">
        <f ca="1">D9+D10</f>
        <v>83.16</v>
      </c>
      <c r="E19" s="217">
        <f>'数据-取费表'!B31</f>
        <v>200</v>
      </c>
      <c r="F19" s="237"/>
      <c r="G19" s="2044"/>
    </row>
    <row r="20" spans="1:7" s="220" customFormat="1" ht="13.5" customHeight="1">
      <c r="A20" s="261" t="s">
        <v>2261</v>
      </c>
      <c r="B20" s="216" t="s">
        <v>2262</v>
      </c>
      <c r="C20" s="238">
        <f ca="1">ROUND((C5+C19)*F20,0)</f>
        <v>665</v>
      </c>
      <c r="D20" s="238"/>
      <c r="E20" s="238"/>
      <c r="F20" s="239">
        <f>'数据-取费表'!B37</f>
        <v>0.02</v>
      </c>
      <c r="G20" s="240" t="s">
        <v>2263</v>
      </c>
    </row>
    <row r="21" spans="1:7" s="220" customFormat="1" ht="13.5" customHeight="1">
      <c r="A21" s="261" t="s">
        <v>2264</v>
      </c>
      <c r="B21" s="216" t="s">
        <v>2265</v>
      </c>
      <c r="C21" s="241">
        <f>F21</f>
        <v>0</v>
      </c>
      <c r="D21" s="242" t="s">
        <v>2266</v>
      </c>
      <c r="E21" s="238"/>
      <c r="F21" s="239">
        <f>'数据-取费表'!B38</f>
        <v>0</v>
      </c>
      <c r="G21" s="240" t="s">
        <v>2267</v>
      </c>
    </row>
    <row r="22" spans="1:7" s="220" customFormat="1" ht="13.5" customHeight="1">
      <c r="A22" s="261" t="s">
        <v>2268</v>
      </c>
      <c r="B22" s="216" t="s">
        <v>2269</v>
      </c>
      <c r="C22" s="1289">
        <f ca="1">ROUND(SUM(C23:C25),0)</f>
        <v>1460</v>
      </c>
      <c r="D22" s="241">
        <f ca="1">C26</f>
        <v>0</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723</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723</v>
      </c>
      <c r="D24" s="244"/>
      <c r="E24" s="244"/>
      <c r="F24" s="245"/>
      <c r="G24" s="246" t="s">
        <v>2273</v>
      </c>
    </row>
    <row r="25" spans="1:7" s="220" customFormat="1" ht="24">
      <c r="A25" s="888" t="s">
        <v>2163</v>
      </c>
      <c r="B25" s="221" t="s">
        <v>2274</v>
      </c>
      <c r="C25" s="1290">
        <f ca="1">ROUND(IF('数据-取费表'!B22&lt;=1,C20*F22*'数据-取费表'!B22/2,C20*(POWER((1+F22),'数据-取费表'!B22/2)-1)),0)</f>
        <v>14</v>
      </c>
      <c r="D25" s="244"/>
      <c r="E25" s="247"/>
      <c r="F25" s="245"/>
      <c r="G25" s="248" t="s">
        <v>2275</v>
      </c>
    </row>
    <row r="26" spans="1:7" s="220" customFormat="1">
      <c r="A26" s="888" t="s">
        <v>795</v>
      </c>
      <c r="B26" s="221" t="s">
        <v>2198</v>
      </c>
      <c r="C26" s="244">
        <f ca="1">ROUND(IF('数据-取费表'!B22&lt;=1,F21*F22*'数据-取费表'!B22/2,F21*(POWER((1+F22),'数据-取费表'!B22/2)-1)),4)</f>
        <v>0</v>
      </c>
      <c r="D26" s="244"/>
      <c r="E26" s="247"/>
      <c r="F26" s="245"/>
      <c r="G26" s="249"/>
    </row>
    <row r="27" spans="1:7" s="220" customFormat="1" ht="24.75">
      <c r="A27" s="261" t="s">
        <v>2199</v>
      </c>
      <c r="B27" s="250" t="s">
        <v>2200</v>
      </c>
      <c r="C27" s="251">
        <f ca="1">C28</f>
        <v>5089</v>
      </c>
      <c r="D27" s="241">
        <f ca="1">C29</f>
        <v>0</v>
      </c>
      <c r="E27" s="242" t="s">
        <v>2201</v>
      </c>
      <c r="F27" s="252">
        <f ca="1">IF(B1="",'数据-取费表'!Q16,INDIRECT("'数据-取费表'!q"&amp;$G$1))</f>
        <v>0.15</v>
      </c>
      <c r="G27" s="253" t="s">
        <v>2202</v>
      </c>
    </row>
    <row r="28" spans="1:7" s="220" customFormat="1" ht="13.5" customHeight="1">
      <c r="A28" s="888" t="s">
        <v>791</v>
      </c>
      <c r="B28" s="254" t="s">
        <v>2203</v>
      </c>
      <c r="C28" s="255">
        <f ca="1">ROUND((C5+C19+C20)*F27,0)</f>
        <v>5089</v>
      </c>
      <c r="D28" s="241"/>
      <c r="E28" s="242"/>
      <c r="F28" s="252"/>
      <c r="G28" s="253"/>
    </row>
    <row r="29" spans="1:7" s="220" customFormat="1" ht="13.5" customHeight="1">
      <c r="A29" s="888" t="s">
        <v>792</v>
      </c>
      <c r="B29" s="254" t="s">
        <v>2204</v>
      </c>
      <c r="C29" s="244">
        <f ca="1">ROUND(C21*F27,4)</f>
        <v>0</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42716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346860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316008</v>
      </c>
      <c r="D34" s="223"/>
      <c r="E34" s="226"/>
      <c r="F34" s="263"/>
      <c r="G34" s="225"/>
    </row>
    <row r="35" spans="1:7" ht="13.5" customHeight="1">
      <c r="A35" s="888" t="s">
        <v>796</v>
      </c>
      <c r="B35" s="221" t="s">
        <v>2214</v>
      </c>
      <c r="C35" s="226">
        <f ca="1">ROUND(C34*F35,0)</f>
        <v>9480</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16632</v>
      </c>
      <c r="D37" s="223">
        <f ca="1">D19</f>
        <v>83.16</v>
      </c>
      <c r="E37" s="255">
        <f>'数据-取费表'!B35</f>
        <v>200</v>
      </c>
      <c r="F37" s="265"/>
      <c r="G37" s="267"/>
    </row>
    <row r="38" spans="1:7" ht="13.5" customHeight="1">
      <c r="A38" s="888" t="s">
        <v>799</v>
      </c>
      <c r="B38" s="221" t="s">
        <v>2220</v>
      </c>
      <c r="C38" s="226">
        <f ca="1">ROUND(C34*F38,0)</f>
        <v>4740</v>
      </c>
      <c r="D38" s="226"/>
      <c r="E38" s="226"/>
      <c r="F38" s="265">
        <f>'数据-取费表'!B36</f>
        <v>1.4999999999999999E-2</v>
      </c>
      <c r="G38" s="225" t="s">
        <v>2215</v>
      </c>
    </row>
    <row r="39" spans="1:7" s="220" customFormat="1" ht="13.5" customHeight="1">
      <c r="A39" s="261" t="s">
        <v>2221</v>
      </c>
      <c r="B39" s="216" t="s">
        <v>2222</v>
      </c>
      <c r="C39" s="238">
        <f ca="1">ROUND(C33*F20,0)</f>
        <v>6937</v>
      </c>
      <c r="D39" s="238"/>
      <c r="E39" s="238"/>
      <c r="F39" s="2537">
        <f>F20</f>
        <v>0.02</v>
      </c>
      <c r="G39" s="240" t="s">
        <v>2223</v>
      </c>
    </row>
    <row r="40" spans="1:7" s="220" customFormat="1" ht="13.5" customHeight="1">
      <c r="A40" s="261" t="s">
        <v>2224</v>
      </c>
      <c r="B40" s="216" t="s">
        <v>2225</v>
      </c>
      <c r="C40" s="1497">
        <f>F21</f>
        <v>0</v>
      </c>
      <c r="D40" s="242" t="s">
        <v>2226</v>
      </c>
      <c r="E40" s="238"/>
      <c r="F40" s="2537">
        <f>F21</f>
        <v>0</v>
      </c>
      <c r="G40" s="240" t="s">
        <v>2227</v>
      </c>
    </row>
    <row r="41" spans="1:7" s="220" customFormat="1" ht="13.5" customHeight="1">
      <c r="A41" s="261" t="s">
        <v>2228</v>
      </c>
      <c r="B41" s="216" t="s">
        <v>2229</v>
      </c>
      <c r="C41" s="238">
        <f ca="1">ROUND(SUM(C42:C43),0)</f>
        <v>7695</v>
      </c>
      <c r="D41" s="241">
        <f ca="1">C44</f>
        <v>0</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7544</v>
      </c>
      <c r="D42" s="244"/>
      <c r="E42" s="244"/>
      <c r="F42" s="245"/>
      <c r="G42" s="3252" t="s">
        <v>2278</v>
      </c>
    </row>
    <row r="43" spans="1:7" ht="13.5" customHeight="1">
      <c r="A43" s="888" t="s">
        <v>792</v>
      </c>
      <c r="B43" s="221" t="s">
        <v>2232</v>
      </c>
      <c r="C43" s="244">
        <f ca="1">ROUND(IF('数据-取费表'!B22&lt;=1,C39*F22*'数据-取费表'!B20/2,C39*(POWER((1+F22),'数据-取费表'!B20/2)-1)),0)</f>
        <v>151</v>
      </c>
      <c r="D43" s="244"/>
      <c r="E43" s="244"/>
      <c r="F43" s="245"/>
      <c r="G43" s="3253"/>
    </row>
    <row r="44" spans="1:7" ht="13.5" customHeight="1">
      <c r="A44" s="888" t="s">
        <v>793</v>
      </c>
      <c r="B44" s="221" t="s">
        <v>2233</v>
      </c>
      <c r="C44" s="244">
        <f ca="1">ROUND(IF('数据-取费表'!B22&lt;=1,C40*F22*'数据-取费表'!B20/2,C40*(POWER((1+F22),'数据-取费表'!B20/2)-1)),4)</f>
        <v>0</v>
      </c>
      <c r="D44" s="244"/>
      <c r="E44" s="244"/>
      <c r="F44" s="245"/>
      <c r="G44" s="3254"/>
    </row>
    <row r="45" spans="1:7" s="220" customFormat="1" ht="13.5" customHeight="1">
      <c r="A45" s="261" t="s">
        <v>2234</v>
      </c>
      <c r="B45" s="250" t="s">
        <v>2200</v>
      </c>
      <c r="C45" s="251">
        <f ca="1">C46</f>
        <v>53070</v>
      </c>
      <c r="D45" s="241">
        <f ca="1">C47</f>
        <v>0</v>
      </c>
      <c r="E45" s="242" t="s">
        <v>2226</v>
      </c>
      <c r="F45" s="2539">
        <f ca="1">F27</f>
        <v>0.15</v>
      </c>
      <c r="G45" s="253" t="s">
        <v>2235</v>
      </c>
    </row>
    <row r="46" spans="1:7" s="220" customFormat="1" ht="13.5" customHeight="1">
      <c r="A46" s="888" t="s">
        <v>791</v>
      </c>
      <c r="B46" s="254" t="s">
        <v>2236</v>
      </c>
      <c r="C46" s="255">
        <f ca="1">ROUND((C33+C39)*F27,0)</f>
        <v>53070</v>
      </c>
      <c r="D46" s="269"/>
      <c r="E46" s="242"/>
      <c r="F46" s="252"/>
      <c r="G46" s="253"/>
    </row>
    <row r="47" spans="1:7" s="220" customFormat="1" ht="13.5" customHeight="1">
      <c r="A47" s="888" t="s">
        <v>792</v>
      </c>
      <c r="B47" s="254" t="s">
        <v>2237</v>
      </c>
      <c r="C47" s="244">
        <f ca="1">ROUND(C40*F27,4)</f>
        <v>0</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437486</v>
      </c>
      <c r="D49" s="238"/>
      <c r="E49" s="238"/>
      <c r="F49" s="270"/>
      <c r="G49" s="240" t="s">
        <v>2241</v>
      </c>
    </row>
    <row r="50" spans="1:7" s="264" customFormat="1">
      <c r="A50" s="261" t="s">
        <v>2242</v>
      </c>
      <c r="B50" s="216" t="s">
        <v>2243</v>
      </c>
      <c r="C50" s="238"/>
      <c r="D50" s="238"/>
      <c r="E50" s="238"/>
      <c r="F50" s="270">
        <f>IF('数据-取费表'!B24=0,'数据-取费表'!N16,1)</f>
        <v>0.7</v>
      </c>
      <c r="G50" s="253"/>
    </row>
    <row r="51" spans="1:7" ht="16.5" customHeight="1">
      <c r="A51" s="261" t="s">
        <v>2245</v>
      </c>
      <c r="B51" s="216" t="s">
        <v>2280</v>
      </c>
      <c r="C51" s="238">
        <f ca="1">ROUND(C49*F50,0)</f>
        <v>306240</v>
      </c>
      <c r="D51" s="238"/>
      <c r="E51" s="238"/>
      <c r="F51" s="270"/>
      <c r="G51" s="240" t="s">
        <v>2247</v>
      </c>
    </row>
    <row r="52" spans="1:7" s="214" customFormat="1" ht="16.5" thickBot="1">
      <c r="A52" s="271" t="s">
        <v>2248</v>
      </c>
      <c r="B52" s="272"/>
      <c r="C52" s="273">
        <f ca="1">C31+C51</f>
        <v>348956</v>
      </c>
      <c r="D52" s="272"/>
      <c r="E52" s="272"/>
      <c r="F52" s="272"/>
      <c r="G52" s="274"/>
    </row>
    <row r="55" spans="1:7" ht="15">
      <c r="B55" s="276" t="s">
        <v>2249</v>
      </c>
      <c r="C55" s="277"/>
    </row>
    <row r="56" spans="1:7">
      <c r="B56" s="279" t="s">
        <v>1478</v>
      </c>
      <c r="C56" s="281">
        <f ca="1">1-C57</f>
        <v>0.122</v>
      </c>
    </row>
    <row r="57" spans="1:7">
      <c r="B57" s="279" t="s">
        <v>1479</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875" style="737" customWidth="1"/>
    <col min="2" max="2" width="25.875" style="889" customWidth="1"/>
    <col min="3" max="3" width="10.375" style="932" customWidth="1"/>
    <col min="4" max="4" width="9.875" style="889" customWidth="1"/>
    <col min="5" max="5" width="9.5" style="737" customWidth="1"/>
    <col min="6" max="6" width="10.125" style="889" customWidth="1"/>
    <col min="7" max="7" width="10.8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180</v>
      </c>
      <c r="C2" s="282" t="s">
        <v>2282</v>
      </c>
      <c r="D2" s="282"/>
      <c r="E2" s="3039"/>
      <c r="F2" s="3039"/>
      <c r="G2" s="3039"/>
      <c r="H2" s="3039"/>
      <c r="I2" s="3039"/>
      <c r="J2" s="3039"/>
      <c r="K2" s="3039"/>
    </row>
    <row r="3" spans="1:33" ht="18" customHeight="1" thickBot="1">
      <c r="A3" s="209" t="s">
        <v>2151</v>
      </c>
      <c r="B3" s="210">
        <f ca="1">ROUND(B2*10000/IF(C1="",'数据-汇总表'!E3,INDIRECT("'数据-取费表'!K"&amp;$K$1)),0)</f>
        <v>21645</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83.16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83.16</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-158</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v>
      </c>
      <c r="D20" s="955">
        <f ca="1">IF(C1="",'数据-汇总表'!E6,IF(INDIRECT("'数据-取费表'!c"&amp;$K$1)="住宅",INDIRECT("'数据-取费表'!s"&amp;$K$1),INDIRECT("'数据-取费表'!k"&amp;$K$1)+INDIRECT("'数据-取费表'!s"&amp;$K$1)))</f>
        <v>83.16</v>
      </c>
      <c r="E20" s="24">
        <f>'数据-取费表'!B28</f>
        <v>200</v>
      </c>
      <c r="F20" s="913"/>
      <c r="G20" s="15"/>
      <c r="H20" s="918"/>
      <c r="I20" s="918"/>
      <c r="J20" s="918"/>
      <c r="K20" s="919"/>
    </row>
    <row r="21" spans="1:33" s="912" customFormat="1" ht="13.5" customHeight="1">
      <c r="A21" s="898" t="s">
        <v>802</v>
      </c>
      <c r="B21" s="922" t="s">
        <v>2318</v>
      </c>
      <c r="C21" s="923">
        <f ca="1">C16+C17+C18</f>
        <v>-158</v>
      </c>
      <c r="D21" s="924"/>
      <c r="E21" s="287"/>
      <c r="F21" s="287"/>
      <c r="G21" s="136" t="s">
        <v>2319</v>
      </c>
      <c r="H21" s="916"/>
      <c r="I21" s="916"/>
      <c r="J21" s="916"/>
      <c r="K21" s="917"/>
    </row>
    <row r="22" spans="1:33" s="912" customFormat="1" ht="13.5" customHeight="1">
      <c r="A22" s="898" t="s">
        <v>2291</v>
      </c>
      <c r="B22" s="922" t="s">
        <v>2320</v>
      </c>
      <c r="C22" s="923">
        <f ca="1">ROUND(C21*F22,0)</f>
        <v>-3</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2331</v>
      </c>
      <c r="B28" s="2053" t="s">
        <v>2332</v>
      </c>
      <c r="C28" s="293">
        <f ca="1">C30</f>
        <v>-24</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-24</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180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23" zoomScaleNormal="70" zoomScaleSheetLayoutView="10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t="s">
        <v>3172</v>
      </c>
      <c r="D1" s="1548" t="s">
        <v>70</v>
      </c>
      <c r="E1" s="1549" t="s">
        <v>1352</v>
      </c>
      <c r="F1" s="1193">
        <f ca="1">J53</f>
        <v>28</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112</v>
      </c>
      <c r="C2" s="1573" t="s">
        <v>1481</v>
      </c>
      <c r="D2" s="1573"/>
      <c r="E2" s="1574"/>
      <c r="F2" s="1575"/>
      <c r="G2" s="2937"/>
      <c r="H2" s="2926"/>
      <c r="I2" s="2926"/>
      <c r="J2" s="2926"/>
      <c r="K2" s="2927"/>
      <c r="L2" s="2926"/>
      <c r="M2" s="2926"/>
    </row>
    <row r="3" spans="1:37" ht="18" customHeight="1" thickBot="1">
      <c r="A3" s="1576" t="s">
        <v>1482</v>
      </c>
      <c r="B3" s="1577">
        <f ca="1">IF(ISERROR(B2*10000/F43),0,ROUND(B2*10000/F43,0))</f>
        <v>13468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7</v>
      </c>
      <c r="D5" s="1550" t="s">
        <v>1367</v>
      </c>
      <c r="E5" s="1203"/>
      <c r="F5" s="1204"/>
      <c r="G5" s="1570"/>
      <c r="H5" s="305">
        <v>1</v>
      </c>
      <c r="I5" s="306" t="s">
        <v>1366</v>
      </c>
      <c r="J5" s="1202">
        <f ca="1">J6+J10+J12</f>
        <v>0</v>
      </c>
      <c r="K5" s="1550" t="s">
        <v>1367</v>
      </c>
      <c r="L5" s="1203"/>
      <c r="M5" s="1204"/>
    </row>
    <row r="6" spans="1:37" ht="18" customHeight="1">
      <c r="A6" s="1201" t="s">
        <v>1003</v>
      </c>
      <c r="B6" s="3257" t="s">
        <v>1368</v>
      </c>
      <c r="C6" s="1206">
        <f ca="1">ROUND(F6*F8*F7*(1-F9)/10000,0)</f>
        <v>7</v>
      </c>
      <c r="D6" s="160" t="s">
        <v>2850</v>
      </c>
      <c r="E6" s="308" t="s">
        <v>1370</v>
      </c>
      <c r="F6" s="309">
        <f ca="1">INDIRECT("'数据-取费表'!u"&amp;$G$1)</f>
        <v>7000</v>
      </c>
      <c r="G6" s="1570"/>
      <c r="H6" s="1201" t="s">
        <v>1003</v>
      </c>
      <c r="I6" s="3257" t="s">
        <v>1368</v>
      </c>
      <c r="J6" s="307">
        <f ca="1">ROUND(M6*M8*M7*(1-M9)/10000,0)</f>
        <v>0</v>
      </c>
      <c r="K6" s="1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1</v>
      </c>
      <c r="G7" s="1570"/>
      <c r="H7" s="310"/>
      <c r="I7" s="3258"/>
      <c r="J7" s="312"/>
      <c r="K7" s="313"/>
      <c r="L7" s="308" t="s">
        <v>1371</v>
      </c>
      <c r="M7" s="309">
        <f ca="1">F7</f>
        <v>1</v>
      </c>
    </row>
    <row r="8" spans="1:37" ht="18" customHeight="1">
      <c r="A8" s="310"/>
      <c r="B8" s="3258"/>
      <c r="C8" s="312"/>
      <c r="D8" s="313"/>
      <c r="E8" s="308" t="s">
        <v>1372</v>
      </c>
      <c r="F8" s="309">
        <f ca="1">INDIRECT("'数据-取费表'!ai"&amp;$G$1)</f>
        <v>12</v>
      </c>
      <c r="G8" s="1570"/>
      <c r="H8" s="310"/>
      <c r="I8" s="3258"/>
      <c r="J8" s="312"/>
      <c r="K8" s="313"/>
      <c r="L8" s="308" t="s">
        <v>1372</v>
      </c>
      <c r="M8" s="309">
        <f ca="1">INDIRECT("'数据-取费表'!ai"&amp;$G$1)</f>
        <v>12</v>
      </c>
    </row>
    <row r="9" spans="1:37" ht="18" customHeight="1">
      <c r="A9" s="310"/>
      <c r="B9" s="3259"/>
      <c r="C9" s="312"/>
      <c r="D9" s="313"/>
      <c r="E9" s="308" t="s">
        <v>1373</v>
      </c>
      <c r="F9" s="318">
        <f ca="1">INDIRECT("'数据-取费表'!w"&amp;$G$1)</f>
        <v>0.15</v>
      </c>
      <c r="G9" s="1570"/>
      <c r="H9" s="310"/>
      <c r="I9" s="325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t="s">
        <v>3080</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31</v>
      </c>
      <c r="D13" s="1241" t="s">
        <v>1380</v>
      </c>
      <c r="E13" s="1241" t="s">
        <v>1381</v>
      </c>
      <c r="F13" s="1242">
        <f ca="1">INDIRECT("'数据-取费表'!y"&amp;$G$1)</f>
        <v>0.7</v>
      </c>
      <c r="G13" s="1570"/>
      <c r="H13" s="1239">
        <v>2</v>
      </c>
      <c r="I13" s="1240" t="s">
        <v>1379</v>
      </c>
      <c r="J13" s="1200">
        <f ca="1">ROUND(J14*J15,0)</f>
        <v>31</v>
      </c>
      <c r="K13" s="1247" t="s">
        <v>1380</v>
      </c>
      <c r="L13" s="1578"/>
      <c r="M13" s="1579"/>
    </row>
    <row r="14" spans="1:37" ht="18" customHeight="1">
      <c r="A14" s="1113" t="s">
        <v>1002</v>
      </c>
      <c r="B14" s="308" t="s">
        <v>1382</v>
      </c>
      <c r="C14" s="324">
        <f ca="1">INDIRECT("'数据-取费表'!m"&amp;$G$1)+INDIRECT("'数据-取费表'!t"&amp;$G$1)</f>
        <v>32</v>
      </c>
      <c r="D14" s="1531" t="s">
        <v>1383</v>
      </c>
      <c r="E14" s="1528"/>
      <c r="F14" s="325"/>
      <c r="G14" s="1570"/>
      <c r="H14" s="1113" t="s">
        <v>1003</v>
      </c>
      <c r="I14" s="308" t="s">
        <v>1384</v>
      </c>
      <c r="J14" s="24">
        <f ca="1">C29</f>
        <v>44</v>
      </c>
      <c r="K14" s="15"/>
      <c r="L14" s="916"/>
      <c r="M14" s="917"/>
    </row>
    <row r="15" spans="1:37" s="1583" customFormat="1" ht="18" customHeight="1" thickBot="1">
      <c r="A15" s="1113" t="s">
        <v>1004</v>
      </c>
      <c r="B15" s="308" t="s">
        <v>1385</v>
      </c>
      <c r="C15" s="24">
        <f ca="1">ROUND(C14*F15,0)</f>
        <v>1</v>
      </c>
      <c r="D15" s="326" t="s">
        <v>1386</v>
      </c>
      <c r="E15" s="326" t="s">
        <v>1387</v>
      </c>
      <c r="F15" s="327">
        <f>'数据-取费表'!B33</f>
        <v>0.03</v>
      </c>
      <c r="G15" s="1582"/>
      <c r="H15" s="1249" t="s">
        <v>1007</v>
      </c>
      <c r="I15" s="1250" t="s">
        <v>1381</v>
      </c>
      <c r="J15" s="1259">
        <f ca="1">INDIRECT("'数据-取费表'!ad"&amp;$G$1)</f>
        <v>0.7</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v>
      </c>
      <c r="K16" s="1247" t="s">
        <v>1390</v>
      </c>
      <c r="L16" s="1248"/>
      <c r="M16" s="1204"/>
    </row>
    <row r="17" spans="1:37" s="1583" customFormat="1" ht="18" customHeight="1">
      <c r="A17" s="1113" t="s">
        <v>1355</v>
      </c>
      <c r="B17" s="308" t="s">
        <v>1391</v>
      </c>
      <c r="C17" s="24">
        <f ca="1">ROUND(F17*(F43+INDIRECT("'数据-取费表'!S"&amp;$G$1))/10000,0)</f>
        <v>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35</v>
      </c>
      <c r="D19" s="136" t="s">
        <v>1401</v>
      </c>
      <c r="E19" s="1546"/>
      <c r="F19" s="26"/>
      <c r="G19" s="1570"/>
      <c r="H19" s="1113" t="s">
        <v>1004</v>
      </c>
      <c r="I19" s="308" t="s">
        <v>1402</v>
      </c>
      <c r="J19" s="24">
        <f ca="1">IF(K19="按租金收入计税",ROUND(J6*M19/(1+'数据-取费表'!C42),2),ROUND(C29*M19*0.7,2))</f>
        <v>0.37</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v>
      </c>
      <c r="D20" s="329" t="s">
        <v>1405</v>
      </c>
      <c r="E20" s="308" t="s">
        <v>1387</v>
      </c>
      <c r="F20" s="328">
        <f>'数据-取费表'!B37</f>
        <v>0.02</v>
      </c>
      <c r="G20" s="1582"/>
      <c r="H20" s="1113" t="s">
        <v>1354</v>
      </c>
      <c r="I20" s="160" t="s">
        <v>1406</v>
      </c>
      <c r="J20" s="25">
        <f ca="1">ROUND(M20*M21/10000,2)</f>
        <v>0</v>
      </c>
      <c r="K20" s="330" t="s">
        <v>1407</v>
      </c>
      <c r="L20" s="308" t="s">
        <v>1408</v>
      </c>
      <c r="M20" s="331">
        <f>'数据-取费表'!B52</f>
        <v>24</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0.9</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0.1</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0</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v>
      </c>
      <c r="K25" s="1255" t="s">
        <v>1429</v>
      </c>
      <c r="L25" s="1256"/>
      <c r="M25" s="1257"/>
    </row>
    <row r="26" spans="1:37">
      <c r="A26" s="1113" t="s">
        <v>1002</v>
      </c>
      <c r="B26" s="308" t="s">
        <v>1430</v>
      </c>
      <c r="C26" s="24">
        <f ca="1">ROUND((C19+C20)*F26,0)</f>
        <v>5</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44</v>
      </c>
      <c r="D29" s="1252"/>
      <c r="E29" s="1250"/>
      <c r="F29" s="1253"/>
      <c r="G29" s="1582"/>
      <c r="H29" s="340" t="s">
        <v>1001</v>
      </c>
      <c r="I29" s="341" t="s">
        <v>1444</v>
      </c>
      <c r="J29" s="342">
        <f ca="1">ROUND(J26/(1+F40)^F41,0)</f>
        <v>0</v>
      </c>
      <c r="K29" s="343" t="s">
        <v>1445</v>
      </c>
      <c r="L29" s="344"/>
      <c r="M29" s="345">
        <f ca="1">INDIRECT("'数据-取费表'!k"&amp;$G$1)</f>
        <v>83.16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IF(项目基本情况!B11="自然人","——",ROUND(F34*F35/10000,2))</f>
        <v>——</v>
      </c>
      <c r="D34" s="330" t="s">
        <v>1407</v>
      </c>
      <c r="E34" s="308" t="s">
        <v>1408</v>
      </c>
      <c r="F34" s="331">
        <f>'数据-取费表'!B52</f>
        <v>24</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0.9</v>
      </c>
      <c r="D36" s="1530" t="s">
        <v>1447</v>
      </c>
      <c r="E36" s="308" t="s">
        <v>1387</v>
      </c>
      <c r="F36" s="334">
        <f ca="1">INDIRECT("'数据-取费表'!Ak"&amp;$G$1)</f>
        <v>0.02</v>
      </c>
      <c r="G36" s="1570"/>
      <c r="H36" s="2931"/>
      <c r="I36" s="1584"/>
      <c r="J36" s="1585"/>
      <c r="K36" s="2772"/>
      <c r="L36" s="2931"/>
      <c r="M36" s="2931"/>
    </row>
    <row r="37" spans="1:18" ht="18" customHeight="1">
      <c r="A37" s="1113" t="s">
        <v>1043</v>
      </c>
      <c r="B37" s="308" t="s">
        <v>1418</v>
      </c>
      <c r="C37" s="24">
        <f ca="1">ROUND(C13*F37,1)</f>
        <v>0.1</v>
      </c>
      <c r="D37" s="1530" t="s">
        <v>1419</v>
      </c>
      <c r="E37" s="308" t="s">
        <v>1420</v>
      </c>
      <c r="F37" s="336">
        <f ca="1">INDIRECT("'数据-取费表'!Al"&amp;$G$1)</f>
        <v>2E-3</v>
      </c>
      <c r="G37" s="1570"/>
      <c r="H37" s="2931"/>
      <c r="I37" s="1584"/>
      <c r="J37" s="1585"/>
      <c r="K37" s="2772"/>
      <c r="L37" s="2931"/>
      <c r="M37" s="2931"/>
    </row>
    <row r="38" spans="1:18" ht="18" customHeight="1" thickBot="1">
      <c r="A38" s="1249" t="s">
        <v>1358</v>
      </c>
      <c r="B38" s="1250" t="s">
        <v>1404</v>
      </c>
      <c r="C38" s="1251">
        <f ca="1">ROUND(C5*F38,1)</f>
        <v>0.1</v>
      </c>
      <c r="D38" s="1252" t="s">
        <v>1424</v>
      </c>
      <c r="E38" s="1250" t="s">
        <v>1420</v>
      </c>
      <c r="F38" s="1246">
        <f ca="1">INDIRECT("'数据-取费表'!Am"&amp;$G$1)</f>
        <v>0.02</v>
      </c>
      <c r="G38" s="1570"/>
      <c r="H38" s="2931"/>
      <c r="I38" s="1584"/>
      <c r="J38" s="1585"/>
      <c r="K38" s="2935"/>
      <c r="L38" s="2931"/>
      <c r="M38" s="2931"/>
    </row>
    <row r="39" spans="1:18" ht="24.6" customHeight="1" thickTop="1">
      <c r="A39" s="1239" t="s">
        <v>999</v>
      </c>
      <c r="B39" s="1254" t="s">
        <v>1448</v>
      </c>
      <c r="C39" s="316">
        <f ca="1">C5-C30</f>
        <v>6</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112</v>
      </c>
      <c r="D40" s="330" t="s">
        <v>1434</v>
      </c>
      <c r="E40" s="308" t="s">
        <v>1435</v>
      </c>
      <c r="F40" s="318">
        <f ca="1">INDIRECT("'数据-取费表'!I"&amp;$G$1)</f>
        <v>4.4999999999999998E-2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28</v>
      </c>
      <c r="G41" s="1570"/>
      <c r="H41" s="1353"/>
      <c r="I41" s="1584"/>
      <c r="J41" s="1585"/>
      <c r="K41" s="2772"/>
      <c r="L41" s="1353"/>
      <c r="M41" s="1353"/>
    </row>
    <row r="42" spans="1:18" ht="18" customHeight="1">
      <c r="A42" s="314"/>
      <c r="B42" s="315"/>
      <c r="C42" s="316"/>
      <c r="D42" s="333"/>
      <c r="E42" s="308" t="s">
        <v>1442</v>
      </c>
      <c r="F42" s="318">
        <f ca="1">INDIRECT("'数据-取费表'!v"&amp;$G$1)</f>
        <v>1.4999999999999999E-2</v>
      </c>
      <c r="G42" s="1570"/>
      <c r="H42" s="1353"/>
      <c r="I42" s="1584"/>
      <c r="J42" s="1585"/>
      <c r="K42" s="2772"/>
      <c r="L42" s="1353"/>
      <c r="M42" s="1353"/>
    </row>
    <row r="43" spans="1:18" ht="18" customHeight="1" thickBot="1">
      <c r="A43" s="340" t="s">
        <v>1001</v>
      </c>
      <c r="B43" s="341" t="s">
        <v>1452</v>
      </c>
      <c r="C43" s="342">
        <f ca="1">ROUND(C40*10000/F43,0)</f>
        <v>13468</v>
      </c>
      <c r="D43" s="343" t="s">
        <v>1453</v>
      </c>
      <c r="E43" s="344" t="s">
        <v>1454</v>
      </c>
      <c r="F43" s="345">
        <f ca="1">INDIRECT("'数据-取费表'!k"&amp;$G$1)</f>
        <v>83.16</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-128</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3081</v>
      </c>
      <c r="K47" s="1602" t="s">
        <v>1492</v>
      </c>
      <c r="L47" s="1603">
        <f ca="1">INDIRECT("'数据-取费表'!d"&amp;$G$1)</f>
        <v>40</v>
      </c>
      <c r="M47" s="1566" t="str">
        <f>IF(ISNUMBER(FIND("住宅",C1)),"住宅","非住宅")</f>
        <v>非住宅</v>
      </c>
      <c r="O47" s="1604" t="s">
        <v>1008</v>
      </c>
      <c r="P47" s="1605" t="s">
        <v>1493</v>
      </c>
      <c r="Q47" s="1606">
        <f ca="1">C40+J29</f>
        <v>112</v>
      </c>
      <c r="R47" s="1606" t="s">
        <v>1494</v>
      </c>
    </row>
    <row r="48" spans="1:18" s="1570" customFormat="1" ht="28.5" thickBot="1">
      <c r="A48" s="1270" t="s">
        <v>1103</v>
      </c>
      <c r="B48" s="306" t="s">
        <v>1366</v>
      </c>
      <c r="C48" s="1545">
        <f ca="1">C49+C53+C55</f>
        <v>0</v>
      </c>
      <c r="D48" s="1272"/>
      <c r="E48" s="1273"/>
      <c r="F48" s="1093"/>
      <c r="G48" s="731"/>
      <c r="H48" s="732"/>
      <c r="I48" s="1607" t="s">
        <v>1495</v>
      </c>
      <c r="J48" s="1608" t="s">
        <v>3082</v>
      </c>
      <c r="K48" s="1609" t="s">
        <v>1496</v>
      </c>
      <c r="L48" s="1610">
        <f ca="1">INDIRECT("'数据-取费表'!f"&amp;$G$1)</f>
        <v>28</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1996</v>
      </c>
      <c r="K49" s="1609" t="s">
        <v>1500</v>
      </c>
      <c r="L49" s="1613"/>
      <c r="O49" s="1614" t="s">
        <v>1010</v>
      </c>
      <c r="P49" s="1605" t="s">
        <v>1501</v>
      </c>
      <c r="Q49" s="1606">
        <f ca="1">C29</f>
        <v>44</v>
      </c>
      <c r="R49" s="1606" t="s">
        <v>1494</v>
      </c>
    </row>
    <row r="50" spans="1:18" s="1570" customFormat="1" ht="13.5" thickBot="1">
      <c r="A50" s="1107"/>
      <c r="B50" s="1110"/>
      <c r="C50" s="1278"/>
      <c r="D50" s="1084"/>
      <c r="E50" s="1187" t="s">
        <v>1371</v>
      </c>
      <c r="F50" s="1188">
        <f ca="1">F7</f>
        <v>1</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12</v>
      </c>
      <c r="I51" s="1618" t="s">
        <v>1505</v>
      </c>
      <c r="J51" s="1619">
        <f>IF(J49="",J50,J49+J50-YEAR('数据-取费表'!B2))</f>
        <v>36</v>
      </c>
      <c r="K51" s="1620" t="s">
        <v>1506</v>
      </c>
      <c r="L51" s="1621">
        <f ca="1">ROUND(-PV(INDIRECT("'数据-取费表'!h"&amp;$G$1),J51,(C39-C13*C76),0),0)</f>
        <v>78</v>
      </c>
      <c r="M51" s="1622"/>
      <c r="O51" s="1614" t="s">
        <v>1012</v>
      </c>
      <c r="P51" s="1605" t="s">
        <v>1507</v>
      </c>
      <c r="Q51" s="1617">
        <f>J52</f>
        <v>6.5000000000000002E-2</v>
      </c>
      <c r="R51" s="1606"/>
    </row>
    <row r="52" spans="1:18" s="1570" customFormat="1" ht="13.5" thickBot="1">
      <c r="A52" s="1108"/>
      <c r="B52" s="1110"/>
      <c r="C52" s="1111"/>
      <c r="D52" s="1084"/>
      <c r="E52" s="1112" t="s">
        <v>1373</v>
      </c>
      <c r="F52" s="1185"/>
      <c r="I52" s="1623" t="s">
        <v>1508</v>
      </c>
      <c r="J52" s="1624">
        <v>6.5000000000000002E-2</v>
      </c>
      <c r="K52" s="1623" t="s">
        <v>1509</v>
      </c>
      <c r="L52" s="1624"/>
      <c r="O52" s="1614" t="s">
        <v>1013</v>
      </c>
      <c r="P52" s="1605" t="s">
        <v>1510</v>
      </c>
      <c r="Q52" s="1606">
        <f ca="1">J53</f>
        <v>28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28</v>
      </c>
      <c r="K53" s="3255" t="s">
        <v>1513</v>
      </c>
      <c r="L53" s="3256"/>
      <c r="O53" s="1604" t="s">
        <v>1014</v>
      </c>
      <c r="P53" s="1605" t="s">
        <v>1514</v>
      </c>
      <c r="Q53" s="1606">
        <f ca="1">Q47+Q48</f>
        <v>112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31</v>
      </c>
      <c r="D56" s="1633"/>
      <c r="E56" s="1634"/>
      <c r="F56" s="1626"/>
      <c r="I56" s="1635" t="s">
        <v>1519</v>
      </c>
      <c r="J56" s="1636" t="s">
        <v>3074</v>
      </c>
      <c r="K56" s="1607" t="s">
        <v>1520</v>
      </c>
      <c r="L56" s="1610" t="str">
        <f ca="1">IF(L48&lt;J51,"——",L48-J53)</f>
        <v>——</v>
      </c>
      <c r="O56" s="1604" t="s">
        <v>1008</v>
      </c>
      <c r="P56" s="1605" t="s">
        <v>1493</v>
      </c>
      <c r="Q56" s="1606">
        <f ca="1">C40+J29</f>
        <v>112</v>
      </c>
      <c r="R56" s="1606" t="s">
        <v>1494</v>
      </c>
    </row>
    <row r="57" spans="1:18" s="1570" customFormat="1" ht="24.75" thickBot="1">
      <c r="A57" s="1637"/>
      <c r="B57" s="1081" t="s">
        <v>1443</v>
      </c>
      <c r="C57" s="244">
        <f ca="1">C29</f>
        <v>44</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24</v>
      </c>
      <c r="I62" s="1648" t="s">
        <v>1535</v>
      </c>
      <c r="J62" s="1649" t="s">
        <v>1536</v>
      </c>
      <c r="K62" s="1649" t="s">
        <v>1537</v>
      </c>
      <c r="L62" s="1649" t="s">
        <v>1538</v>
      </c>
      <c r="M62" s="1650" t="s">
        <v>1539</v>
      </c>
      <c r="O62" s="1604" t="s">
        <v>1014</v>
      </c>
      <c r="P62" s="1605" t="s">
        <v>1540</v>
      </c>
      <c r="Q62" s="1606">
        <f ca="1">Q56+Q57</f>
        <v>112</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0.9</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0.1</v>
      </c>
      <c r="D65" s="1095" t="s">
        <v>1419</v>
      </c>
      <c r="E65" s="1081" t="s">
        <v>1420</v>
      </c>
      <c r="F65" s="336">
        <f t="shared" ca="1" si="0"/>
        <v>2E-3</v>
      </c>
      <c r="I65" s="1648" t="s">
        <v>1544</v>
      </c>
      <c r="J65" s="1649">
        <v>40</v>
      </c>
      <c r="K65" s="1649">
        <v>30</v>
      </c>
      <c r="L65" s="1649">
        <v>50</v>
      </c>
      <c r="M65" s="1651">
        <v>0.02</v>
      </c>
      <c r="O65" s="1604" t="s">
        <v>1008</v>
      </c>
      <c r="P65" s="1605" t="s">
        <v>1545</v>
      </c>
      <c r="Q65" s="1606">
        <f ca="1">C40+J29</f>
        <v>112</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-1</v>
      </c>
      <c r="D67" s="1094" t="s">
        <v>1429</v>
      </c>
      <c r="E67" s="1099"/>
      <c r="F67" s="1100"/>
      <c r="O67" s="1614" t="s">
        <v>1010</v>
      </c>
      <c r="P67" s="1605" t="s">
        <v>1527</v>
      </c>
      <c r="Q67" s="1652">
        <f ca="1">L51</f>
        <v>78</v>
      </c>
      <c r="R67" s="1606" t="s">
        <v>1547</v>
      </c>
    </row>
    <row r="68" spans="1:18" s="1570" customFormat="1" ht="16.5" thickBot="1">
      <c r="A68" s="1078" t="s">
        <v>1000</v>
      </c>
      <c r="B68" s="1079" t="s">
        <v>1450</v>
      </c>
      <c r="C68" s="307">
        <f ca="1">ROUND(C67*(1-((1+F70)/(1+F68))^F69)/(F68-F70),0)</f>
        <v>-16</v>
      </c>
      <c r="D68" s="1096" t="s">
        <v>1434</v>
      </c>
      <c r="E68" s="1081" t="s">
        <v>1435</v>
      </c>
      <c r="F68" s="318">
        <f ca="1">F40</f>
        <v>4.4999999999999998E-2</v>
      </c>
      <c r="O68" s="1614" t="s">
        <v>1011</v>
      </c>
      <c r="P68" s="1653" t="s">
        <v>1548</v>
      </c>
      <c r="Q68" s="1606">
        <f ca="1">ROUND(Q69-Q70*Q71,0)</f>
        <v>4</v>
      </c>
      <c r="R68" s="1606" t="s">
        <v>1019</v>
      </c>
    </row>
    <row r="69" spans="1:18" s="1570" customFormat="1" ht="13.5" thickBot="1">
      <c r="A69" s="1082"/>
      <c r="B69" s="1083"/>
      <c r="C69" s="312"/>
      <c r="D69" s="1101" t="s">
        <v>1438</v>
      </c>
      <c r="E69" s="1081" t="s">
        <v>1439</v>
      </c>
      <c r="F69" s="339">
        <f ca="1">F41</f>
        <v>28</v>
      </c>
      <c r="O69" s="1614" t="s">
        <v>1016</v>
      </c>
      <c r="P69" s="1653" t="s">
        <v>1549</v>
      </c>
      <c r="Q69" s="1606">
        <f ca="1">C39</f>
        <v>6</v>
      </c>
      <c r="R69" s="1606" t="s">
        <v>1494</v>
      </c>
    </row>
    <row r="70" spans="1:18" s="1570" customFormat="1" ht="13.5" thickBot="1">
      <c r="A70" s="1085"/>
      <c r="B70" s="1086"/>
      <c r="C70" s="316"/>
      <c r="D70" s="1097"/>
      <c r="E70" s="1081" t="s">
        <v>1442</v>
      </c>
      <c r="F70" s="1185"/>
      <c r="O70" s="1614" t="s">
        <v>1017</v>
      </c>
      <c r="P70" s="1653" t="s">
        <v>1550</v>
      </c>
      <c r="Q70" s="1606">
        <f ca="1">C13</f>
        <v>31</v>
      </c>
      <c r="R70" s="1606" t="s">
        <v>1494</v>
      </c>
    </row>
    <row r="71" spans="1:18" s="1570" customFormat="1" ht="13.5" thickBot="1">
      <c r="A71" s="1102" t="s">
        <v>1001</v>
      </c>
      <c r="B71" s="1103" t="s">
        <v>1452</v>
      </c>
      <c r="C71" s="342">
        <f ca="1">ROUND(C68*10000/F71,0)</f>
        <v>-1924</v>
      </c>
      <c r="D71" s="1104" t="s">
        <v>1453</v>
      </c>
      <c r="E71" s="1105" t="s">
        <v>1454</v>
      </c>
      <c r="F71" s="345">
        <f ca="1">F43</f>
        <v>83.16</v>
      </c>
      <c r="O71" s="1614" t="s">
        <v>1018</v>
      </c>
      <c r="P71" s="1653" t="s">
        <v>1551</v>
      </c>
      <c r="Q71" s="1617">
        <f ca="1">C76</f>
        <v>0.06</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v>
      </c>
      <c r="D75" s="1570"/>
      <c r="E75" s="1570"/>
      <c r="F75" s="1570"/>
      <c r="K75" s="1588"/>
      <c r="L75" s="1570"/>
      <c r="O75" s="1604" t="s">
        <v>1014</v>
      </c>
      <c r="P75" s="1605" t="s">
        <v>1514</v>
      </c>
      <c r="Q75" s="1606">
        <f ca="1">Q65+Q66</f>
        <v>112</v>
      </c>
      <c r="R75" s="1606" t="s">
        <v>1015</v>
      </c>
    </row>
    <row r="76" spans="1:18">
      <c r="B76" s="348" t="s">
        <v>1472</v>
      </c>
      <c r="C76" s="349">
        <f ca="1">INDIRECT("'数据-取费表'!j"&amp;$G$1)</f>
        <v>0.06</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0.66700000000000004</v>
      </c>
    </row>
    <row r="80" spans="1:18">
      <c r="B80" s="346" t="s">
        <v>1476</v>
      </c>
      <c r="C80" s="280">
        <f ca="1">ROUND(C75/C39,3)</f>
        <v>0.33300000000000002</v>
      </c>
    </row>
    <row r="81" spans="2:3">
      <c r="B81" s="276" t="s">
        <v>1477</v>
      </c>
      <c r="C81" s="244"/>
    </row>
    <row r="82" spans="2:3">
      <c r="B82" s="279" t="s">
        <v>1478</v>
      </c>
      <c r="C82" s="281">
        <f ca="1">1-C83</f>
        <v>0.72299999999999998</v>
      </c>
    </row>
    <row r="83" spans="2:3">
      <c r="B83" s="279" t="s">
        <v>1479</v>
      </c>
      <c r="C83" s="280">
        <f ca="1">ROUND(C13/C40,3)</f>
        <v>0.27700000000000002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enableFormatConditionsCalculation="0">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7" t="s">
        <v>1368</v>
      </c>
      <c r="C6" s="1206">
        <f ca="1">ROUND(F6*F8*F7*(1-F9),0)</f>
        <v>0</v>
      </c>
      <c r="D6" s="160" t="s">
        <v>2847</v>
      </c>
      <c r="E6" s="308" t="s">
        <v>1370</v>
      </c>
      <c r="F6" s="309">
        <f ca="1">INDIRECT("'数据-取费表'!u"&amp;$G$1)</f>
        <v>0</v>
      </c>
      <c r="G6" s="1570"/>
      <c r="H6" s="1201" t="s">
        <v>1003</v>
      </c>
      <c r="I6" s="3257" t="s">
        <v>1368</v>
      </c>
      <c r="J6" s="307">
        <f ca="1">ROUND(M6*M8*M7*(1-M9),0)</f>
        <v>0</v>
      </c>
      <c r="K6" s="1562" t="s">
        <v>2848</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70"/>
      <c r="H7" s="310"/>
      <c r="I7" s="3258"/>
      <c r="J7" s="312"/>
      <c r="K7" s="313"/>
      <c r="L7" s="308" t="s">
        <v>1371</v>
      </c>
      <c r="M7" s="309">
        <f ca="1">F7</f>
        <v>0</v>
      </c>
    </row>
    <row r="8" spans="1:37" ht="18" customHeight="1">
      <c r="A8" s="310"/>
      <c r="B8" s="3258"/>
      <c r="C8" s="312"/>
      <c r="D8" s="313"/>
      <c r="E8" s="308" t="s">
        <v>1372</v>
      </c>
      <c r="F8" s="309">
        <f ca="1">INDIRECT("'数据-取费表'!ai"&amp;$G$1)</f>
        <v>0</v>
      </c>
      <c r="G8" s="1570"/>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70"/>
      <c r="H9" s="310"/>
      <c r="I9" s="325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24</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0</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f>
        <v>——</v>
      </c>
      <c r="D34" s="330" t="s">
        <v>1407</v>
      </c>
      <c r="E34" s="308" t="s">
        <v>1408</v>
      </c>
      <c r="F34" s="331">
        <f>'数据-取费表'!B52</f>
        <v>24</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55" t="s">
        <v>1513</v>
      </c>
      <c r="L53" s="3256"/>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24</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112</v>
      </c>
      <c r="C2" s="2060" t="s">
        <v>2341</v>
      </c>
      <c r="D2" s="2061" t="s">
        <v>2342</v>
      </c>
      <c r="E2" s="2835">
        <f>SUM(E6:E13)</f>
        <v>83.16</v>
      </c>
      <c r="F2" s="2938"/>
      <c r="G2" s="1676"/>
      <c r="H2" s="1676"/>
      <c r="I2" s="1676"/>
      <c r="J2" s="1676"/>
      <c r="K2" s="1676"/>
      <c r="L2" s="1676"/>
      <c r="M2" s="1676"/>
      <c r="N2" s="1676"/>
      <c r="O2" s="1676"/>
      <c r="P2" s="1676"/>
      <c r="Q2" s="1676"/>
      <c r="R2" s="1676"/>
      <c r="S2" s="1676"/>
    </row>
    <row r="3" spans="1:22" ht="15.75">
      <c r="A3" s="2058" t="s">
        <v>1360</v>
      </c>
      <c r="B3" s="2829">
        <f ca="1">ROUND(B2*10000/E2,0)</f>
        <v>13468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60" t="s">
        <v>2344</v>
      </c>
      <c r="C5" s="3261"/>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112</v>
      </c>
      <c r="C6" s="2060" t="s">
        <v>2341</v>
      </c>
      <c r="D6" s="2940"/>
      <c r="E6" s="2834">
        <f>IF(OR(A6=0,F6="否"),0,'数据-取费表'!K6+'数据-取费表'!S6)</f>
        <v>83.16</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875" customWidth="1"/>
  </cols>
  <sheetData>
    <row r="1" spans="1:9" ht="14.25">
      <c r="A1" s="3278" t="s">
        <v>1044</v>
      </c>
      <c r="B1" s="3279"/>
      <c r="C1" s="3280"/>
      <c r="D1" s="3281">
        <f>SUM(I10,I15,I20,I21,I23)</f>
        <v>0</v>
      </c>
      <c r="E1" s="3281"/>
      <c r="F1" s="3281"/>
      <c r="G1" s="3281"/>
      <c r="H1" s="3281"/>
      <c r="I1" s="3282"/>
    </row>
    <row r="2" spans="1:9">
      <c r="A2" s="3268" t="s">
        <v>1045</v>
      </c>
      <c r="B2" s="3269" t="s">
        <v>1046</v>
      </c>
      <c r="C2" s="3269"/>
      <c r="D2" s="1211" t="s">
        <v>1047</v>
      </c>
      <c r="E2" s="1211" t="s">
        <v>1048</v>
      </c>
      <c r="F2" s="1211" t="s">
        <v>1049</v>
      </c>
      <c r="G2" s="1211" t="s">
        <v>1050</v>
      </c>
      <c r="H2" s="1211" t="s">
        <v>1051</v>
      </c>
      <c r="I2" s="1212" t="s">
        <v>1052</v>
      </c>
    </row>
    <row r="3" spans="1:9">
      <c r="A3" s="3268"/>
      <c r="B3" s="3269" t="s">
        <v>1053</v>
      </c>
      <c r="C3" s="3269"/>
      <c r="D3" s="1213"/>
      <c r="E3" s="1211"/>
      <c r="F3" s="1214"/>
      <c r="G3" s="1214"/>
      <c r="H3" s="1215"/>
      <c r="I3" s="1216">
        <f>ROUND(D3*E3*F3*G3*H3/10000,0)</f>
        <v>0</v>
      </c>
    </row>
    <row r="4" spans="1:9">
      <c r="A4" s="3268"/>
      <c r="B4" s="3269" t="s">
        <v>1054</v>
      </c>
      <c r="C4" s="3269"/>
      <c r="D4" s="1213"/>
      <c r="E4" s="1211"/>
      <c r="F4" s="1214"/>
      <c r="G4" s="1214"/>
      <c r="H4" s="1215"/>
      <c r="I4" s="1216">
        <f t="shared" ref="I4:I9" si="0">ROUND(D4*E4*F4*G4*H4/10000,0)</f>
        <v>0</v>
      </c>
    </row>
    <row r="5" spans="1:9">
      <c r="A5" s="3268"/>
      <c r="B5" s="3269" t="s">
        <v>1055</v>
      </c>
      <c r="C5" s="3269"/>
      <c r="D5" s="1213"/>
      <c r="E5" s="1211"/>
      <c r="F5" s="1214"/>
      <c r="G5" s="1214"/>
      <c r="H5" s="1215"/>
      <c r="I5" s="1216">
        <f t="shared" si="0"/>
        <v>0</v>
      </c>
    </row>
    <row r="6" spans="1:9">
      <c r="A6" s="3268"/>
      <c r="B6" s="3269" t="s">
        <v>1056</v>
      </c>
      <c r="C6" s="3269"/>
      <c r="D6" s="1213"/>
      <c r="E6" s="1211"/>
      <c r="F6" s="1214"/>
      <c r="G6" s="1214"/>
      <c r="H6" s="1215"/>
      <c r="I6" s="1216">
        <f t="shared" si="0"/>
        <v>0</v>
      </c>
    </row>
    <row r="7" spans="1:9">
      <c r="A7" s="3268"/>
      <c r="B7" s="3269" t="s">
        <v>1057</v>
      </c>
      <c r="C7" s="3269"/>
      <c r="D7" s="1213"/>
      <c r="E7" s="1211"/>
      <c r="F7" s="1214"/>
      <c r="G7" s="1214"/>
      <c r="H7" s="1215"/>
      <c r="I7" s="1216">
        <f t="shared" si="0"/>
        <v>0</v>
      </c>
    </row>
    <row r="8" spans="1:9">
      <c r="A8" s="3268"/>
      <c r="B8" s="3269" t="s">
        <v>1058</v>
      </c>
      <c r="C8" s="3269"/>
      <c r="D8" s="1213"/>
      <c r="E8" s="1211"/>
      <c r="F8" s="1214"/>
      <c r="G8" s="1214"/>
      <c r="H8" s="1215"/>
      <c r="I8" s="1216">
        <f t="shared" si="0"/>
        <v>0</v>
      </c>
    </row>
    <row r="9" spans="1:9">
      <c r="A9" s="3268"/>
      <c r="B9" s="3269" t="s">
        <v>1059</v>
      </c>
      <c r="C9" s="3269"/>
      <c r="D9" s="1213"/>
      <c r="E9" s="1211"/>
      <c r="F9" s="1214"/>
      <c r="G9" s="1214"/>
      <c r="H9" s="1215"/>
      <c r="I9" s="1216">
        <f t="shared" si="0"/>
        <v>0</v>
      </c>
    </row>
    <row r="10" spans="1:9">
      <c r="A10" s="3268"/>
      <c r="B10" s="3270" t="s">
        <v>1060</v>
      </c>
      <c r="C10" s="3270"/>
      <c r="D10" s="1217"/>
      <c r="E10" s="1217" t="e">
        <f>ROUND(D1*10000/D10/H9,0)</f>
        <v>#DIV/0!</v>
      </c>
      <c r="F10" s="1218"/>
      <c r="G10" s="1218"/>
      <c r="H10" s="1219"/>
      <c r="I10" s="1220">
        <f>SUM(I3:I9)</f>
        <v>0</v>
      </c>
    </row>
    <row r="11" spans="1:9" ht="14.25">
      <c r="A11" s="3268" t="s">
        <v>1061</v>
      </c>
      <c r="B11" s="3269" t="s">
        <v>1062</v>
      </c>
      <c r="C11" s="3269"/>
      <c r="D11" s="1213" t="s">
        <v>1063</v>
      </c>
      <c r="E11" s="1213" t="s">
        <v>1064</v>
      </c>
      <c r="F11" s="1214" t="s">
        <v>1065</v>
      </c>
      <c r="G11" s="1214" t="s">
        <v>1051</v>
      </c>
      <c r="H11" s="1221" t="s">
        <v>1066</v>
      </c>
      <c r="I11" s="1212" t="s">
        <v>1052</v>
      </c>
    </row>
    <row r="12" spans="1:9">
      <c r="A12" s="3268"/>
      <c r="B12" s="3269" t="s">
        <v>1067</v>
      </c>
      <c r="C12" s="3269"/>
      <c r="D12" s="1213"/>
      <c r="E12" s="1213"/>
      <c r="F12" s="1214"/>
      <c r="G12" s="1215"/>
      <c r="H12" s="1222"/>
      <c r="I12" s="1212">
        <f>ROUND(D12*E12*F12*G12/10000,0)</f>
        <v>0</v>
      </c>
    </row>
    <row r="13" spans="1:9">
      <c r="A13" s="3268"/>
      <c r="B13" s="3269" t="s">
        <v>1068</v>
      </c>
      <c r="C13" s="3269"/>
      <c r="D13" s="1213"/>
      <c r="E13" s="1213"/>
      <c r="F13" s="1214"/>
      <c r="G13" s="1215"/>
      <c r="H13" s="1222"/>
      <c r="I13" s="1212">
        <f>ROUND(D13*E13*F13*G13/10000,0)</f>
        <v>0</v>
      </c>
    </row>
    <row r="14" spans="1:9">
      <c r="A14" s="3268"/>
      <c r="B14" s="3269" t="s">
        <v>1069</v>
      </c>
      <c r="C14" s="3269"/>
      <c r="D14" s="1213"/>
      <c r="E14" s="1213"/>
      <c r="F14" s="1214"/>
      <c r="G14" s="1215"/>
      <c r="H14" s="1222"/>
      <c r="I14" s="1212">
        <f>ROUND(D14*E14*F14*G14/10000,0)</f>
        <v>0</v>
      </c>
    </row>
    <row r="15" spans="1:9">
      <c r="A15" s="3268"/>
      <c r="B15" s="3270" t="s">
        <v>1060</v>
      </c>
      <c r="C15" s="3270"/>
      <c r="D15" s="1217"/>
      <c r="E15" s="1217">
        <f>SUM(E12:E14)</f>
        <v>0</v>
      </c>
      <c r="F15" s="1218"/>
      <c r="G15" s="1215"/>
      <c r="H15" s="1222"/>
      <c r="I15" s="1223">
        <f>SUM(I12:I14)</f>
        <v>0</v>
      </c>
    </row>
    <row r="16" spans="1:9" ht="24">
      <c r="A16" s="3268" t="s">
        <v>1070</v>
      </c>
      <c r="B16" s="3269" t="s">
        <v>1071</v>
      </c>
      <c r="C16" s="3269"/>
      <c r="D16" s="1213" t="s">
        <v>1047</v>
      </c>
      <c r="E16" s="1224" t="s">
        <v>1072</v>
      </c>
      <c r="F16" s="1214" t="s">
        <v>1073</v>
      </c>
      <c r="G16" s="1215" t="s">
        <v>1051</v>
      </c>
      <c r="H16" s="1221" t="s">
        <v>1066</v>
      </c>
      <c r="I16" s="1212" t="s">
        <v>1052</v>
      </c>
    </row>
    <row r="17" spans="1:9" ht="14.25">
      <c r="A17" s="3268"/>
      <c r="B17" s="3269" t="s">
        <v>1074</v>
      </c>
      <c r="C17" s="3269"/>
      <c r="D17" s="1213"/>
      <c r="E17" s="1213"/>
      <c r="F17" s="1214"/>
      <c r="G17" s="1215"/>
      <c r="H17" s="1225"/>
      <c r="I17" s="1226">
        <f>ROUND(D17*E17*F17*G17/10000,0)</f>
        <v>0</v>
      </c>
    </row>
    <row r="18" spans="1:9" ht="14.25">
      <c r="A18" s="3268"/>
      <c r="B18" s="3269" t="s">
        <v>1075</v>
      </c>
      <c r="C18" s="3269"/>
      <c r="D18" s="1213"/>
      <c r="E18" s="1213"/>
      <c r="F18" s="1214"/>
      <c r="G18" s="1215"/>
      <c r="H18" s="1225"/>
      <c r="I18" s="1226">
        <f>ROUND(D18*E18*F18*G18/10000,0)</f>
        <v>0</v>
      </c>
    </row>
    <row r="19" spans="1:9" ht="14.25">
      <c r="A19" s="3268"/>
      <c r="B19" s="3269" t="s">
        <v>1076</v>
      </c>
      <c r="C19" s="3269"/>
      <c r="D19" s="1213"/>
      <c r="E19" s="1213"/>
      <c r="F19" s="1214"/>
      <c r="G19" s="1215"/>
      <c r="H19" s="1225"/>
      <c r="I19" s="1226">
        <f>ROUND(D19*E19*F19*G19/10000,0)</f>
        <v>0</v>
      </c>
    </row>
    <row r="20" spans="1:9">
      <c r="A20" s="3268"/>
      <c r="B20" s="3270" t="s">
        <v>1060</v>
      </c>
      <c r="C20" s="3270"/>
      <c r="D20" s="1217">
        <f>SUM(D17:D19)</f>
        <v>0</v>
      </c>
      <c r="E20" s="1217"/>
      <c r="F20" s="1218"/>
      <c r="G20" s="1215"/>
      <c r="H20" s="1222"/>
      <c r="I20" s="1223">
        <f>SUM(I17:I19)</f>
        <v>0</v>
      </c>
    </row>
    <row r="21" spans="1:9">
      <c r="A21" s="3268" t="s">
        <v>1077</v>
      </c>
      <c r="B21" s="3271"/>
      <c r="C21" s="3271"/>
      <c r="D21" s="3271"/>
      <c r="E21" s="3271"/>
      <c r="F21" s="3271"/>
      <c r="G21" s="3271"/>
      <c r="H21" s="1504">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65">
        <f>C27-C30-C31-C32</f>
        <v>0</v>
      </c>
      <c r="F26" s="3265"/>
      <c r="G26" s="3265"/>
      <c r="H26" s="1501" t="s">
        <v>1306</v>
      </c>
    </row>
    <row r="27" spans="1:9">
      <c r="A27" s="1234">
        <v>1</v>
      </c>
      <c r="B27" s="1235" t="s">
        <v>1086</v>
      </c>
      <c r="C27" s="1235">
        <f>C28+C29</f>
        <v>0</v>
      </c>
      <c r="D27" s="1235"/>
      <c r="E27" s="3266"/>
      <c r="F27" s="3266"/>
      <c r="G27" s="3266"/>
    </row>
    <row r="28" spans="1:9">
      <c r="A28" s="1236" t="s">
        <v>1087</v>
      </c>
      <c r="B28" s="1235" t="s">
        <v>1088</v>
      </c>
      <c r="C28" s="1235"/>
      <c r="D28" s="1235"/>
      <c r="E28" s="3266"/>
      <c r="F28" s="3266"/>
      <c r="G28" s="326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7"/>
      <c r="F32" s="3267"/>
      <c r="G32" s="3267"/>
    </row>
    <row r="33" spans="1:7" hidden="1">
      <c r="A33" s="3262" t="s">
        <v>1097</v>
      </c>
      <c r="B33" s="3263"/>
      <c r="C33" s="3263"/>
      <c r="D33" s="3264"/>
      <c r="E33" s="3265"/>
      <c r="F33" s="3265"/>
      <c r="G33" s="3265"/>
    </row>
    <row r="34" spans="1:7" hidden="1">
      <c r="A34" s="1238">
        <v>1</v>
      </c>
      <c r="B34" s="1235" t="s">
        <v>1098</v>
      </c>
      <c r="C34" s="1235"/>
      <c r="D34" s="1235"/>
      <c r="E34" s="3266"/>
      <c r="F34" s="3266"/>
      <c r="G34" s="3266"/>
    </row>
    <row r="35" spans="1:7" hidden="1">
      <c r="A35" s="1238">
        <v>2</v>
      </c>
      <c r="B35" s="1235" t="s">
        <v>1099</v>
      </c>
      <c r="C35" s="1235"/>
      <c r="D35" s="1235"/>
      <c r="E35" s="3266"/>
      <c r="F35" s="3266"/>
      <c r="G35" s="3266"/>
    </row>
    <row r="36" spans="1:7" hidden="1">
      <c r="A36" s="1238">
        <v>3</v>
      </c>
      <c r="B36" s="1235" t="s">
        <v>1100</v>
      </c>
      <c r="C36" s="1235"/>
      <c r="D36" s="1235"/>
      <c r="E36" s="3266"/>
      <c r="F36" s="3266"/>
      <c r="G36" s="3266"/>
    </row>
    <row r="37" spans="1:7" hidden="1">
      <c r="A37" s="1238">
        <v>4</v>
      </c>
      <c r="B37" s="1235" t="s">
        <v>1101</v>
      </c>
      <c r="C37" s="1235"/>
      <c r="D37" s="1235"/>
      <c r="E37" s="3266"/>
      <c r="F37" s="3266"/>
      <c r="G37" s="3266"/>
    </row>
    <row r="38" spans="1:7" hidden="1">
      <c r="A38" s="3262" t="s">
        <v>1102</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rgb="FF92D050"/>
  </sheetPr>
  <dimension ref="P3:S50"/>
  <sheetViews>
    <sheetView workbookViewId="0">
      <selection activeCell="P10" sqref="P10"/>
    </sheetView>
  </sheetViews>
  <sheetFormatPr defaultColWidth="11" defaultRowHeight="13.5"/>
  <sheetData>
    <row r="3" spans="16:19">
      <c r="P3">
        <f>7500/83</f>
        <v>90.361445783132524</v>
      </c>
      <c r="R3">
        <f>(P3+P14+P26+P37+P50)/5</f>
        <v>93.652716578937856</v>
      </c>
    </row>
    <row r="4" spans="16:19">
      <c r="S4">
        <f>R3*'数据-汇总表'!F19</f>
        <v>7788.1599107044722</v>
      </c>
    </row>
    <row r="14" spans="16:19">
      <c r="P14">
        <f>4800/48</f>
        <v>100</v>
      </c>
    </row>
    <row r="26" spans="16:16">
      <c r="P26">
        <f>7200/82</f>
        <v>87.804878048780495</v>
      </c>
    </row>
    <row r="37" spans="16:16">
      <c r="P37">
        <f>6000/52</f>
        <v>115.38461538461539</v>
      </c>
    </row>
    <row r="50" spans="16:16">
      <c r="P50">
        <f>13000/174</f>
        <v>74.712643678160916</v>
      </c>
    </row>
  </sheetData>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 zoomScale="110" zoomScaleNormal="110" zoomScaleSheetLayoutView="140" workbookViewId="0">
      <selection activeCell="H38" sqref="H38"/>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2351</v>
      </c>
      <c r="C1" s="1406" t="s">
        <v>2352</v>
      </c>
      <c r="D1" s="1393" t="s">
        <v>3077</v>
      </c>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0</v>
      </c>
      <c r="C2" s="2069" t="s">
        <v>70</v>
      </c>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f>IF(C2="——",C49,ROUND(B2*10000/D3,0))</f>
        <v>61971</v>
      </c>
      <c r="C3" s="360" t="s">
        <v>2356</v>
      </c>
      <c r="D3" s="359">
        <f>IF(D1="",'数据-汇总表'!E3,SUMIF('数据-汇总表'!$C19:$C33,D1,'数据-汇总表'!$E19:$E33))</f>
        <v>0</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01" t="s">
        <v>2358</v>
      </c>
      <c r="D4" s="3302"/>
      <c r="E4" s="3303" t="s">
        <v>2359</v>
      </c>
      <c r="F4" s="3304"/>
      <c r="G4" s="3301" t="s">
        <v>2360</v>
      </c>
      <c r="H4" s="3302"/>
      <c r="I4" s="3301" t="s">
        <v>2361</v>
      </c>
      <c r="J4" s="3302"/>
      <c r="K4" s="2077" t="s">
        <v>2362</v>
      </c>
      <c r="L4" s="2946"/>
      <c r="M4" s="2947"/>
      <c r="N4" s="2947"/>
      <c r="O4" s="2947"/>
      <c r="P4" s="3305" t="s">
        <v>2363</v>
      </c>
      <c r="Q4" s="3306"/>
      <c r="R4" s="3311" t="s">
        <v>2359</v>
      </c>
      <c r="S4" s="3312"/>
      <c r="T4" s="3311" t="s">
        <v>2360</v>
      </c>
      <c r="U4" s="3312"/>
      <c r="V4" s="3317" t="s">
        <v>2361</v>
      </c>
      <c r="W4" s="3317"/>
      <c r="X4" s="1541"/>
      <c r="Y4" s="3311" t="s">
        <v>2363</v>
      </c>
      <c r="Z4" s="3312"/>
      <c r="AA4" s="3298" t="s">
        <v>2359</v>
      </c>
      <c r="AB4" s="3298" t="s">
        <v>2360</v>
      </c>
      <c r="AC4" s="3298" t="s">
        <v>2361</v>
      </c>
    </row>
    <row r="5" spans="1:29" ht="15.75" thickBot="1">
      <c r="A5" s="364"/>
      <c r="B5" s="365"/>
      <c r="C5" s="3325" t="s">
        <v>3083</v>
      </c>
      <c r="D5" s="3321"/>
      <c r="E5" s="3328" t="str">
        <f>C5</f>
        <v>育慧西里</v>
      </c>
      <c r="F5" s="3329"/>
      <c r="G5" s="3320" t="str">
        <f>C5</f>
        <v>育慧西里</v>
      </c>
      <c r="H5" s="3321"/>
      <c r="I5" s="3320" t="str">
        <f>C5</f>
        <v>育慧西里</v>
      </c>
      <c r="J5" s="3321"/>
      <c r="K5" s="2078"/>
      <c r="L5" s="2946"/>
      <c r="M5" s="2947"/>
      <c r="N5" s="2947"/>
      <c r="O5" s="2947"/>
      <c r="P5" s="3307"/>
      <c r="Q5" s="3308"/>
      <c r="R5" s="3313"/>
      <c r="S5" s="3314"/>
      <c r="T5" s="3313"/>
      <c r="U5" s="3314"/>
      <c r="V5" s="3317"/>
      <c r="W5" s="3317"/>
      <c r="X5" s="1541"/>
      <c r="Y5" s="3313"/>
      <c r="Z5" s="3314"/>
      <c r="AA5" s="3299"/>
      <c r="AB5" s="3299"/>
      <c r="AC5" s="3299"/>
    </row>
    <row r="6" spans="1:29" ht="15.75" hidden="1" thickBot="1">
      <c r="A6" s="366"/>
      <c r="B6" s="367"/>
      <c r="C6" s="3318"/>
      <c r="D6" s="3319"/>
      <c r="E6" s="3326" t="s">
        <v>2368</v>
      </c>
      <c r="F6" s="3327"/>
      <c r="G6" s="3318" t="s">
        <v>2368</v>
      </c>
      <c r="H6" s="3319"/>
      <c r="I6" s="3318" t="s">
        <v>2368</v>
      </c>
      <c r="J6" s="3319"/>
      <c r="K6" s="2078" t="s">
        <v>2369</v>
      </c>
      <c r="L6" s="2946"/>
      <c r="M6" s="2947"/>
      <c r="N6" s="2947"/>
      <c r="O6" s="2947"/>
      <c r="P6" s="3309"/>
      <c r="Q6" s="3310"/>
      <c r="R6" s="3313"/>
      <c r="S6" s="3314"/>
      <c r="T6" s="3315"/>
      <c r="U6" s="3316"/>
      <c r="V6" s="3317"/>
      <c r="W6" s="3317"/>
      <c r="X6" s="1541"/>
      <c r="Y6" s="3315"/>
      <c r="Z6" s="3316"/>
      <c r="AA6" s="3300"/>
      <c r="AB6" s="3300"/>
      <c r="AC6" s="3300"/>
    </row>
    <row r="7" spans="1:29" s="113" customFormat="1" ht="15.75" thickBot="1">
      <c r="A7" s="368" t="s">
        <v>2370</v>
      </c>
      <c r="B7" s="369"/>
      <c r="C7" s="370">
        <f>'数据-取费表'!B2</f>
        <v>44125</v>
      </c>
      <c r="D7" s="371">
        <v>100</v>
      </c>
      <c r="E7" s="372">
        <v>44026</v>
      </c>
      <c r="F7" s="373">
        <f>SUMIF(58:58,YEAR(E7)&amp;"-"&amp;MONTH(E7),59:59)</f>
        <v>99.5</v>
      </c>
      <c r="G7" s="372">
        <v>43981</v>
      </c>
      <c r="H7" s="371">
        <f>SUMIF(58:58,YEAR(G7)&amp;"-"&amp;MONTH(G7),59:59)</f>
        <v>99</v>
      </c>
      <c r="I7" s="372">
        <v>43992</v>
      </c>
      <c r="J7" s="371">
        <f>SUMIF(58:58,YEAR(I7)&amp;"-"&amp;MONTH(I7),59:59)</f>
        <v>99</v>
      </c>
      <c r="K7" s="2079"/>
      <c r="L7" s="2948"/>
      <c r="M7" s="2949"/>
      <c r="N7" s="2949"/>
      <c r="O7" s="2949"/>
      <c r="P7" s="3322" t="s">
        <v>2371</v>
      </c>
      <c r="Q7" s="3324"/>
      <c r="R7" s="710" t="s">
        <v>23</v>
      </c>
      <c r="S7" s="711">
        <f t="shared" ref="S7:S15" si="0">F7</f>
        <v>99.5</v>
      </c>
      <c r="T7" s="710" t="s">
        <v>23</v>
      </c>
      <c r="U7" s="711">
        <f t="shared" ref="U7:U15" si="1">H7</f>
        <v>99</v>
      </c>
      <c r="V7" s="710" t="s">
        <v>23</v>
      </c>
      <c r="W7" s="711">
        <f t="shared" ref="W7:W15" si="2">J7</f>
        <v>99</v>
      </c>
      <c r="X7" s="712"/>
      <c r="Y7" s="3322" t="s">
        <v>2371</v>
      </c>
      <c r="Z7" s="3323"/>
      <c r="AA7" s="713">
        <f>D7/F7</f>
        <v>1.0050251256281406</v>
      </c>
      <c r="AB7" s="713">
        <f>D7/H7</f>
        <v>1.0101010101010102</v>
      </c>
      <c r="AC7" s="713">
        <f>D7/J7</f>
        <v>1.0101010101010102</v>
      </c>
    </row>
    <row r="8" spans="1:29" s="113" customFormat="1" ht="15.75" thickBot="1">
      <c r="A8" s="368" t="s">
        <v>2372</v>
      </c>
      <c r="B8" s="369"/>
      <c r="C8" s="374" t="s">
        <v>2373</v>
      </c>
      <c r="D8" s="371">
        <v>100</v>
      </c>
      <c r="E8" s="2080" t="s">
        <v>3084</v>
      </c>
      <c r="F8" s="373">
        <f>SUMIF(61:61,E8,62:62)-SUMIF(61:61,C8,62:62)+100</f>
        <v>100</v>
      </c>
      <c r="G8" s="374" t="s">
        <v>3084</v>
      </c>
      <c r="H8" s="371">
        <f>SUMIF(61:61,G8,62:62)-SUMIF(61:61,C8,62:62)+100</f>
        <v>100</v>
      </c>
      <c r="I8" s="2080" t="s">
        <v>3084</v>
      </c>
      <c r="J8" s="371">
        <f>SUMIF(61:61,I8,62:62)-SUMIF(61:61,C8,62:62)+100</f>
        <v>100</v>
      </c>
      <c r="K8" s="2079"/>
      <c r="L8" s="2948"/>
      <c r="M8" s="2949"/>
      <c r="N8" s="2949"/>
      <c r="O8" s="2949"/>
      <c r="P8" s="3322" t="s">
        <v>2374</v>
      </c>
      <c r="Q8" s="3323"/>
      <c r="R8" s="710" t="s">
        <v>23</v>
      </c>
      <c r="S8" s="711">
        <f t="shared" si="0"/>
        <v>100</v>
      </c>
      <c r="T8" s="710" t="s">
        <v>23</v>
      </c>
      <c r="U8" s="711">
        <f t="shared" si="1"/>
        <v>100</v>
      </c>
      <c r="V8" s="710" t="s">
        <v>23</v>
      </c>
      <c r="W8" s="711">
        <f t="shared" si="2"/>
        <v>100</v>
      </c>
      <c r="X8" s="712"/>
      <c r="Y8" s="3322" t="s">
        <v>2374</v>
      </c>
      <c r="Z8" s="3323"/>
      <c r="AA8" s="713">
        <f t="shared" ref="AA8:AA19" si="3">D8/F8</f>
        <v>1</v>
      </c>
      <c r="AB8" s="713">
        <f t="shared" ref="AB8:AB19" si="4">D8/H8</f>
        <v>1</v>
      </c>
      <c r="AC8" s="713">
        <f t="shared" ref="AC8:AC19" si="5">D8/J8</f>
        <v>1</v>
      </c>
    </row>
    <row r="9" spans="1:29" s="113" customFormat="1">
      <c r="A9" s="375" t="s">
        <v>2375</v>
      </c>
      <c r="B9" s="67" t="s">
        <v>2376</v>
      </c>
      <c r="C9" s="376" t="s">
        <v>3085</v>
      </c>
      <c r="D9" s="131">
        <v>100</v>
      </c>
      <c r="E9" s="377" t="s">
        <v>3076</v>
      </c>
      <c r="F9" s="378">
        <f>SUMIF(63:63,E9,64:64)-SUMIF(63:63,C9,64:64)+100</f>
        <v>100</v>
      </c>
      <c r="G9" s="379" t="s">
        <v>3076</v>
      </c>
      <c r="H9" s="131">
        <f>SUMIF(63:63,G9,64:64)-SUMIF(63:63,C9,64:64)+100</f>
        <v>100</v>
      </c>
      <c r="I9" s="379" t="s">
        <v>3076</v>
      </c>
      <c r="J9" s="131">
        <f>SUMIF(63:63,I9,64:64)-SUMIF(63:63,C9,64:64)+100</f>
        <v>100</v>
      </c>
      <c r="K9" s="2079"/>
      <c r="L9" s="2948"/>
      <c r="M9" s="2949"/>
      <c r="N9" s="2949"/>
      <c r="O9" s="2949"/>
      <c r="P9" s="3297"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713">
        <f t="shared" si="5"/>
        <v>1</v>
      </c>
    </row>
    <row r="10" spans="1:29" s="386" customFormat="1" ht="27.75" thickBot="1">
      <c r="A10" s="380"/>
      <c r="B10" s="381" t="s">
        <v>2379</v>
      </c>
      <c r="C10" s="382" t="s">
        <v>3086</v>
      </c>
      <c r="D10" s="132">
        <v>100</v>
      </c>
      <c r="E10" s="383" t="s">
        <v>3086</v>
      </c>
      <c r="F10" s="384">
        <f>SUMIF(65:65,E10,66:66)-SUMIF(65:65,C10,66:66)+100</f>
        <v>100</v>
      </c>
      <c r="G10" s="382" t="s">
        <v>3086</v>
      </c>
      <c r="H10" s="132">
        <f>SUMIF(65:65,G10,66:66)-SUMIF(65:65,C10,66:66)+100</f>
        <v>100</v>
      </c>
      <c r="I10" s="382" t="s">
        <v>3086</v>
      </c>
      <c r="J10" s="132">
        <f>SUMIF(65:65,I10,66:66)-SUMIF(65:65,C10,66:66)+100</f>
        <v>100</v>
      </c>
      <c r="K10" s="385"/>
      <c r="L10" s="2950"/>
      <c r="M10" s="2951"/>
      <c r="N10" s="2951"/>
      <c r="O10" s="2951"/>
      <c r="P10" s="3297"/>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hidden="1">
      <c r="A11" s="387"/>
      <c r="B11" s="381" t="s">
        <v>2380</v>
      </c>
      <c r="C11" s="388">
        <v>2</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2"/>
      <c r="M11" s="2947"/>
      <c r="N11" s="2947"/>
      <c r="O11" s="2947"/>
      <c r="P11" s="3297"/>
      <c r="Q11" s="1529" t="str">
        <f t="shared" si="6"/>
        <v>容积率</v>
      </c>
      <c r="R11" s="710" t="s">
        <v>21</v>
      </c>
      <c r="S11" s="711">
        <f t="shared" si="0"/>
        <v>100</v>
      </c>
      <c r="T11" s="710" t="s">
        <v>21</v>
      </c>
      <c r="U11" s="711">
        <f t="shared" si="1"/>
        <v>100</v>
      </c>
      <c r="V11" s="710" t="s">
        <v>21</v>
      </c>
      <c r="W11" s="711">
        <f t="shared" si="2"/>
        <v>100</v>
      </c>
      <c r="X11" s="712"/>
      <c r="Y11" s="3153"/>
      <c r="Z11" s="55" t="str">
        <f t="shared" si="7"/>
        <v>容积率</v>
      </c>
      <c r="AA11" s="713">
        <f t="shared" si="3"/>
        <v>1</v>
      </c>
      <c r="AB11" s="713">
        <f t="shared" si="4"/>
        <v>1</v>
      </c>
      <c r="AC11" s="713">
        <f t="shared" si="5"/>
        <v>1</v>
      </c>
    </row>
    <row r="12" spans="1:29" s="113" customFormat="1" ht="15" hidden="1">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7"/>
      <c r="Q12" s="1529">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7"/>
      <c r="Q13" s="1529">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hidden="1"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7"/>
      <c r="Q14" s="1529">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53"/>
      <c r="M15" s="2947"/>
      <c r="N15" s="2947"/>
      <c r="O15" s="2947"/>
      <c r="P15" s="3295" t="s">
        <v>2382</v>
      </c>
      <c r="Q15" s="1538" t="str">
        <f t="shared" si="6"/>
        <v>居住社区成熟度</v>
      </c>
      <c r="R15" s="714" t="s">
        <v>21</v>
      </c>
      <c r="S15" s="715">
        <f t="shared" si="0"/>
        <v>100</v>
      </c>
      <c r="T15" s="714" t="s">
        <v>21</v>
      </c>
      <c r="U15" s="715">
        <f t="shared" si="1"/>
        <v>100</v>
      </c>
      <c r="V15" s="714" t="s">
        <v>21</v>
      </c>
      <c r="W15" s="715">
        <f t="shared" si="2"/>
        <v>100</v>
      </c>
      <c r="X15" s="1541"/>
      <c r="Y15" s="3288" t="s">
        <v>2382</v>
      </c>
      <c r="Z15" s="1542" t="str">
        <f t="shared" si="7"/>
        <v>居住社区成熟度</v>
      </c>
      <c r="AA15" s="1539">
        <f t="shared" si="3"/>
        <v>1</v>
      </c>
      <c r="AB15" s="1539">
        <f t="shared" si="4"/>
        <v>1</v>
      </c>
      <c r="AC15" s="1539">
        <f t="shared" si="5"/>
        <v>1</v>
      </c>
    </row>
    <row r="16" spans="1:29" ht="15">
      <c r="A16" s="387"/>
      <c r="B16" s="405"/>
      <c r="C16" s="406" t="s">
        <v>3087</v>
      </c>
      <c r="D16" s="407"/>
      <c r="E16" s="2085" t="s">
        <v>3087</v>
      </c>
      <c r="F16" s="407"/>
      <c r="G16" s="2085" t="s">
        <v>3087</v>
      </c>
      <c r="H16" s="409"/>
      <c r="I16" s="2085" t="s">
        <v>3087</v>
      </c>
      <c r="J16" s="407"/>
      <c r="K16" s="2087"/>
      <c r="L16" s="2953"/>
      <c r="M16" s="2947"/>
      <c r="N16" s="2947"/>
      <c r="O16" s="2947"/>
      <c r="P16" s="3296"/>
      <c r="Q16" s="1538"/>
      <c r="R16" s="714"/>
      <c r="S16" s="715"/>
      <c r="T16" s="714"/>
      <c r="U16" s="715"/>
      <c r="V16" s="714"/>
      <c r="W16" s="715"/>
      <c r="X16" s="1541"/>
      <c r="Y16" s="328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3"/>
      <c r="M17" s="2947"/>
      <c r="N17" s="2947"/>
      <c r="O17" s="2947"/>
      <c r="P17" s="3296"/>
      <c r="Q17" s="1538" t="str">
        <f>B17</f>
        <v>交通便捷度</v>
      </c>
      <c r="R17" s="714" t="s">
        <v>21</v>
      </c>
      <c r="S17" s="715">
        <f>F17</f>
        <v>100</v>
      </c>
      <c r="T17" s="714" t="s">
        <v>21</v>
      </c>
      <c r="U17" s="715">
        <f>H17</f>
        <v>100</v>
      </c>
      <c r="V17" s="714" t="s">
        <v>21</v>
      </c>
      <c r="W17" s="715">
        <f>J17</f>
        <v>100</v>
      </c>
      <c r="X17" s="1541"/>
      <c r="Y17" s="3289"/>
      <c r="Z17" s="1542" t="str">
        <f>Q17</f>
        <v>交通便捷度</v>
      </c>
      <c r="AA17" s="1539">
        <f t="shared" si="3"/>
        <v>1</v>
      </c>
      <c r="AB17" s="1539">
        <f t="shared" si="4"/>
        <v>1</v>
      </c>
      <c r="AC17" s="1539">
        <f t="shared" si="5"/>
        <v>1</v>
      </c>
    </row>
    <row r="18" spans="1:29" ht="15">
      <c r="A18" s="387"/>
      <c r="B18" s="415"/>
      <c r="C18" s="2089" t="s">
        <v>3087</v>
      </c>
      <c r="D18" s="409"/>
      <c r="E18" s="2089" t="s">
        <v>3087</v>
      </c>
      <c r="F18" s="409"/>
      <c r="G18" s="2089" t="s">
        <v>3087</v>
      </c>
      <c r="H18" s="407"/>
      <c r="I18" s="2089" t="s">
        <v>3087</v>
      </c>
      <c r="J18" s="407"/>
      <c r="K18" s="2087"/>
      <c r="L18" s="2953"/>
      <c r="M18" s="2947"/>
      <c r="N18" s="2947"/>
      <c r="O18" s="2947"/>
      <c r="P18" s="3296"/>
      <c r="Q18" s="1538"/>
      <c r="R18" s="714"/>
      <c r="S18" s="715"/>
      <c r="T18" s="714"/>
      <c r="U18" s="715"/>
      <c r="V18" s="714"/>
      <c r="W18" s="715"/>
      <c r="X18" s="1541"/>
      <c r="Y18" s="328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53"/>
      <c r="M19" s="2947"/>
      <c r="N19" s="2947"/>
      <c r="O19" s="2947"/>
      <c r="P19" s="3296"/>
      <c r="Q19" s="1538" t="str">
        <f>B19</f>
        <v>公共配套设施</v>
      </c>
      <c r="R19" s="714" t="s">
        <v>21</v>
      </c>
      <c r="S19" s="715">
        <f>F19</f>
        <v>100</v>
      </c>
      <c r="T19" s="714" t="s">
        <v>21</v>
      </c>
      <c r="U19" s="715">
        <f>H19</f>
        <v>100</v>
      </c>
      <c r="V19" s="714" t="s">
        <v>21</v>
      </c>
      <c r="W19" s="715">
        <f>J19</f>
        <v>100</v>
      </c>
      <c r="X19" s="1541"/>
      <c r="Y19" s="3289"/>
      <c r="Z19" s="1542" t="str">
        <f>Q19</f>
        <v>公共配套设施</v>
      </c>
      <c r="AA19" s="1539">
        <f t="shared" si="3"/>
        <v>1</v>
      </c>
      <c r="AB19" s="1539">
        <f t="shared" si="4"/>
        <v>1</v>
      </c>
      <c r="AC19" s="1539">
        <f t="shared" si="5"/>
        <v>1</v>
      </c>
    </row>
    <row r="20" spans="1:29" ht="15">
      <c r="A20" s="387"/>
      <c r="B20" s="415"/>
      <c r="C20" s="2089" t="s">
        <v>3087</v>
      </c>
      <c r="D20" s="407"/>
      <c r="E20" s="2089" t="s">
        <v>3087</v>
      </c>
      <c r="F20" s="407"/>
      <c r="G20" s="2089" t="s">
        <v>3087</v>
      </c>
      <c r="H20" s="407"/>
      <c r="I20" s="2089" t="s">
        <v>3087</v>
      </c>
      <c r="J20" s="407"/>
      <c r="K20" s="2087"/>
      <c r="L20" s="2953"/>
      <c r="M20" s="2947"/>
      <c r="N20" s="2947"/>
      <c r="O20" s="2947"/>
      <c r="P20" s="3296"/>
      <c r="Q20" s="1538"/>
      <c r="R20" s="714"/>
      <c r="S20" s="715"/>
      <c r="T20" s="714"/>
      <c r="U20" s="715"/>
      <c r="V20" s="714"/>
      <c r="W20" s="715"/>
      <c r="X20" s="1541"/>
      <c r="Y20" s="328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53"/>
      <c r="M21" s="2947"/>
      <c r="N21" s="2947"/>
      <c r="O21" s="2947"/>
      <c r="P21" s="3296"/>
      <c r="Q21" s="1538" t="str">
        <f>B21</f>
        <v>基础设施水平</v>
      </c>
      <c r="R21" s="714" t="s">
        <v>17</v>
      </c>
      <c r="S21" s="715">
        <f>F21</f>
        <v>100</v>
      </c>
      <c r="T21" s="714" t="s">
        <v>17</v>
      </c>
      <c r="U21" s="715">
        <f>H21</f>
        <v>100</v>
      </c>
      <c r="V21" s="714" t="s">
        <v>17</v>
      </c>
      <c r="W21" s="715">
        <f>J21</f>
        <v>100</v>
      </c>
      <c r="X21" s="1541"/>
      <c r="Y21" s="3289"/>
      <c r="Z21" s="1542" t="str">
        <f>Q21</f>
        <v>基础设施水平</v>
      </c>
      <c r="AA21" s="1539">
        <f t="shared" ref="AA21" si="8">D21/F21</f>
        <v>1</v>
      </c>
      <c r="AB21" s="1539">
        <f t="shared" ref="AB21" si="9">D21/H21</f>
        <v>1</v>
      </c>
      <c r="AC21" s="1539">
        <f t="shared" ref="AC21" si="10">D21/J21</f>
        <v>1</v>
      </c>
    </row>
    <row r="22" spans="1:29" ht="15">
      <c r="A22" s="387"/>
      <c r="B22" s="1293"/>
      <c r="C22" s="2089" t="s">
        <v>3088</v>
      </c>
      <c r="D22" s="407"/>
      <c r="E22" s="2089" t="s">
        <v>3088</v>
      </c>
      <c r="F22" s="407"/>
      <c r="G22" s="2089" t="s">
        <v>3088</v>
      </c>
      <c r="H22" s="407"/>
      <c r="I22" s="2089" t="s">
        <v>3088</v>
      </c>
      <c r="J22" s="407"/>
      <c r="K22" s="2093"/>
      <c r="L22" s="2953"/>
      <c r="M22" s="2947"/>
      <c r="N22" s="2947"/>
      <c r="O22" s="2947"/>
      <c r="P22" s="3296"/>
      <c r="Q22" s="1538"/>
      <c r="R22" s="714"/>
      <c r="S22" s="715"/>
      <c r="T22" s="714"/>
      <c r="U22" s="715"/>
      <c r="V22" s="714"/>
      <c r="W22" s="715"/>
      <c r="X22" s="1541"/>
      <c r="Y22" s="328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53"/>
      <c r="M23" s="2947"/>
      <c r="N23" s="2947"/>
      <c r="O23" s="2947"/>
      <c r="P23" s="3296"/>
      <c r="Q23" s="1538" t="str">
        <f>B23</f>
        <v>自然及人文环境</v>
      </c>
      <c r="R23" s="714" t="s">
        <v>21</v>
      </c>
      <c r="S23" s="715">
        <f>F23</f>
        <v>100</v>
      </c>
      <c r="T23" s="714" t="s">
        <v>21</v>
      </c>
      <c r="U23" s="715">
        <f>H23</f>
        <v>100</v>
      </c>
      <c r="V23" s="714" t="s">
        <v>21</v>
      </c>
      <c r="W23" s="715">
        <f>J23</f>
        <v>100</v>
      </c>
      <c r="X23" s="1541"/>
      <c r="Y23" s="3289"/>
      <c r="Z23" s="1542" t="str">
        <f>Q23</f>
        <v>自然及人文环境</v>
      </c>
      <c r="AA23" s="1539">
        <f>D23/F23</f>
        <v>1</v>
      </c>
      <c r="AB23" s="1539">
        <f>D23/H23</f>
        <v>1</v>
      </c>
      <c r="AC23" s="1539">
        <f>D23/J23</f>
        <v>1</v>
      </c>
    </row>
    <row r="24" spans="1:29" ht="15">
      <c r="A24" s="387"/>
      <c r="B24" s="415"/>
      <c r="C24" s="406" t="s">
        <v>3087</v>
      </c>
      <c r="D24" s="407"/>
      <c r="E24" s="406" t="s">
        <v>3087</v>
      </c>
      <c r="F24" s="407"/>
      <c r="G24" s="406" t="s">
        <v>3087</v>
      </c>
      <c r="H24" s="407"/>
      <c r="I24" s="406" t="s">
        <v>3087</v>
      </c>
      <c r="J24" s="407"/>
      <c r="K24" s="2087"/>
      <c r="L24" s="2953"/>
      <c r="M24" s="2947"/>
      <c r="N24" s="2947"/>
      <c r="O24" s="2947"/>
      <c r="P24" s="3296"/>
      <c r="Q24" s="1538"/>
      <c r="R24" s="714"/>
      <c r="S24" s="715"/>
      <c r="T24" s="714"/>
      <c r="U24" s="715"/>
      <c r="V24" s="714"/>
      <c r="W24" s="715"/>
      <c r="X24" s="1541"/>
      <c r="Y24" s="3289"/>
      <c r="Z24" s="1542"/>
      <c r="AA24" s="1539">
        <v>1</v>
      </c>
      <c r="AB24" s="1539">
        <v>1</v>
      </c>
      <c r="AC24" s="1539">
        <v>1</v>
      </c>
    </row>
    <row r="25" spans="1:29" ht="15" hidden="1">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9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9"/>
      <c r="Z25" s="1542" t="str">
        <f>Q25</f>
        <v>楼层-1</v>
      </c>
      <c r="AA25" s="1539">
        <f t="shared" ref="AA25:AA46" si="15">D25/F25</f>
        <v>1</v>
      </c>
      <c r="AB25" s="1539">
        <f t="shared" ref="AB25:AB46" si="16">D25/H25</f>
        <v>1</v>
      </c>
      <c r="AC25" s="1539">
        <f t="shared" ref="AC25:AC46" si="17">D25/J25</f>
        <v>1</v>
      </c>
    </row>
    <row r="26" spans="1:29" ht="15">
      <c r="A26" s="387"/>
      <c r="B26" s="381" t="s">
        <v>2384</v>
      </c>
      <c r="C26" s="419" t="s">
        <v>3136</v>
      </c>
      <c r="D26" s="394">
        <v>100</v>
      </c>
      <c r="E26" s="2094" t="s">
        <v>3137</v>
      </c>
      <c r="F26" s="394">
        <f>SUMIF(88:88,E26,89:89)-SUMIF(88:88,C26,89:89)+100</f>
        <v>95</v>
      </c>
      <c r="G26" s="2095" t="s">
        <v>3137</v>
      </c>
      <c r="H26" s="394">
        <f>SUMIF(88:88,G26,89:89)-SUMIF(88:88,C26,89:89)+100</f>
        <v>95</v>
      </c>
      <c r="I26" s="2095" t="s">
        <v>3137</v>
      </c>
      <c r="J26" s="394">
        <f>SUMIF(88:88,I26,89:89)-SUMIF(88:88,C26,89:89)+100</f>
        <v>95</v>
      </c>
      <c r="K26" s="385">
        <v>1</v>
      </c>
      <c r="L26" s="2953"/>
      <c r="M26" s="2947"/>
      <c r="N26" s="2947"/>
      <c r="O26" s="2947"/>
      <c r="P26" s="3296"/>
      <c r="Q26" s="1538" t="str">
        <f t="shared" si="11"/>
        <v>朝向</v>
      </c>
      <c r="R26" s="714" t="s">
        <v>21</v>
      </c>
      <c r="S26" s="715">
        <f t="shared" si="12"/>
        <v>95</v>
      </c>
      <c r="T26" s="714" t="s">
        <v>21</v>
      </c>
      <c r="U26" s="715">
        <f t="shared" si="13"/>
        <v>95</v>
      </c>
      <c r="V26" s="714" t="s">
        <v>21</v>
      </c>
      <c r="W26" s="715">
        <f t="shared" si="14"/>
        <v>95</v>
      </c>
      <c r="X26" s="1541"/>
      <c r="Y26" s="3289"/>
      <c r="Z26" s="1542" t="str">
        <f>Q26</f>
        <v>朝向</v>
      </c>
      <c r="AA26" s="1539">
        <f t="shared" si="15"/>
        <v>1.0526315789473684</v>
      </c>
      <c r="AB26" s="1539">
        <f t="shared" si="16"/>
        <v>1.0526315789473684</v>
      </c>
      <c r="AC26" s="1539">
        <f t="shared" si="17"/>
        <v>1.0526315789473684</v>
      </c>
    </row>
    <row r="27" spans="1:29" s="113" customFormat="1" ht="15">
      <c r="A27" s="390"/>
      <c r="B27" s="1295" t="s">
        <v>3089</v>
      </c>
      <c r="C27" s="391" t="s">
        <v>3138</v>
      </c>
      <c r="D27" s="421">
        <v>100</v>
      </c>
      <c r="E27" s="424" t="s">
        <v>3139</v>
      </c>
      <c r="F27" s="421">
        <f>SUMIF(90:90,E27,91:91)-SUMIF(90:90,C27,91:91)+100</f>
        <v>102</v>
      </c>
      <c r="G27" s="422" t="s">
        <v>3140</v>
      </c>
      <c r="H27" s="421">
        <f>SUMIF(90:90,G27,91:91)-SUMIF(90:90,C27,91:91)+100</f>
        <v>104</v>
      </c>
      <c r="I27" s="422" t="s">
        <v>3142</v>
      </c>
      <c r="J27" s="421">
        <f>SUMIF(90:90,I27,91:91)-SUMIF(90:90,C27,91:91)+100</f>
        <v>102</v>
      </c>
      <c r="K27" s="2082"/>
      <c r="L27" s="2948"/>
      <c r="M27" s="2949"/>
      <c r="N27" s="2949"/>
      <c r="O27" s="2949"/>
      <c r="P27" s="3296"/>
      <c r="Q27" s="1529" t="str">
        <f t="shared" si="11"/>
        <v>楼层</v>
      </c>
      <c r="R27" s="710" t="s">
        <v>21</v>
      </c>
      <c r="S27" s="711">
        <f t="shared" si="12"/>
        <v>102</v>
      </c>
      <c r="T27" s="710" t="s">
        <v>21</v>
      </c>
      <c r="U27" s="711">
        <f t="shared" si="13"/>
        <v>104</v>
      </c>
      <c r="V27" s="710" t="s">
        <v>21</v>
      </c>
      <c r="W27" s="711">
        <f t="shared" si="14"/>
        <v>102</v>
      </c>
      <c r="X27" s="712"/>
      <c r="Y27" s="3289"/>
      <c r="Z27" s="55" t="str">
        <f>Q27</f>
        <v>楼层</v>
      </c>
      <c r="AA27" s="1539">
        <f t="shared" si="15"/>
        <v>0.98039215686274506</v>
      </c>
      <c r="AB27" s="1539">
        <f t="shared" si="16"/>
        <v>0.96153846153846156</v>
      </c>
      <c r="AC27" s="1539">
        <f t="shared" si="17"/>
        <v>0.98039215686274506</v>
      </c>
    </row>
    <row r="28" spans="1:29" ht="28.5">
      <c r="A28" s="387"/>
      <c r="B28" s="1295" t="s">
        <v>3092</v>
      </c>
      <c r="C28" s="393" t="s">
        <v>3141</v>
      </c>
      <c r="D28" s="394">
        <v>100</v>
      </c>
      <c r="E28" s="393" t="str">
        <f>C28</f>
        <v>城市次干道-小营路</v>
      </c>
      <c r="F28" s="394">
        <f>SUMIF(92:92,E28,93:93)-SUMIF(92:92,C28,93:93)+100</f>
        <v>100</v>
      </c>
      <c r="G28" s="2096" t="str">
        <f>C28</f>
        <v>城市次干道-小营路</v>
      </c>
      <c r="H28" s="394">
        <f>SUMIF(92:92,G28,93:93)-SUMIF(92:92,C28,93:93)+100</f>
        <v>100</v>
      </c>
      <c r="I28" s="393" t="str">
        <f>C28</f>
        <v>城市次干道-小营路</v>
      </c>
      <c r="J28" s="394">
        <f>SUMIF(92:92,I28,93:93)-SUMIF(92:92,C28,93:93)+100</f>
        <v>100</v>
      </c>
      <c r="K28" s="2082"/>
      <c r="L28" s="2953"/>
      <c r="M28" s="2947"/>
      <c r="N28" s="2947"/>
      <c r="O28" s="2947"/>
      <c r="P28" s="3296"/>
      <c r="Q28" s="1538" t="str">
        <f t="shared" si="11"/>
        <v>道路级别</v>
      </c>
      <c r="R28" s="714" t="s">
        <v>21</v>
      </c>
      <c r="S28" s="715">
        <f t="shared" si="12"/>
        <v>100</v>
      </c>
      <c r="T28" s="714" t="s">
        <v>21</v>
      </c>
      <c r="U28" s="715">
        <f t="shared" si="13"/>
        <v>100</v>
      </c>
      <c r="V28" s="714" t="s">
        <v>21</v>
      </c>
      <c r="W28" s="715">
        <f t="shared" si="14"/>
        <v>100</v>
      </c>
      <c r="X28" s="1541"/>
      <c r="Y28" s="3289"/>
      <c r="Z28" s="1542" t="str">
        <f t="shared" ref="Z28:Z46" si="18">Q28</f>
        <v>道路级别</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96"/>
      <c r="Q29" s="1538">
        <f t="shared" si="11"/>
        <v>111</v>
      </c>
      <c r="R29" s="714" t="s">
        <v>21</v>
      </c>
      <c r="S29" s="715">
        <f t="shared" si="12"/>
        <v>100</v>
      </c>
      <c r="T29" s="714" t="s">
        <v>21</v>
      </c>
      <c r="U29" s="715">
        <f t="shared" si="13"/>
        <v>100</v>
      </c>
      <c r="V29" s="714" t="s">
        <v>21</v>
      </c>
      <c r="W29" s="715">
        <f t="shared" si="14"/>
        <v>100</v>
      </c>
      <c r="X29" s="1541"/>
      <c r="Y29" s="328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96"/>
      <c r="Q30" s="1538">
        <f t="shared" si="11"/>
        <v>111</v>
      </c>
      <c r="R30" s="714" t="s">
        <v>21</v>
      </c>
      <c r="S30" s="715">
        <f t="shared" si="12"/>
        <v>100</v>
      </c>
      <c r="T30" s="714" t="s">
        <v>21</v>
      </c>
      <c r="U30" s="715">
        <f t="shared" si="13"/>
        <v>100</v>
      </c>
      <c r="V30" s="714" t="s">
        <v>21</v>
      </c>
      <c r="W30" s="715">
        <f t="shared" si="14"/>
        <v>100</v>
      </c>
      <c r="X30" s="1541"/>
      <c r="Y30" s="328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96"/>
      <c r="Q31" s="1538">
        <f t="shared" si="11"/>
        <v>111</v>
      </c>
      <c r="R31" s="714" t="s">
        <v>21</v>
      </c>
      <c r="S31" s="715">
        <f t="shared" si="12"/>
        <v>100</v>
      </c>
      <c r="T31" s="714" t="s">
        <v>21</v>
      </c>
      <c r="U31" s="715">
        <f t="shared" si="13"/>
        <v>100</v>
      </c>
      <c r="V31" s="714" t="s">
        <v>21</v>
      </c>
      <c r="W31" s="715">
        <f t="shared" si="14"/>
        <v>100</v>
      </c>
      <c r="X31" s="1541"/>
      <c r="Y31" s="3289"/>
      <c r="Z31" s="1542">
        <f t="shared" si="18"/>
        <v>111</v>
      </c>
      <c r="AA31" s="1539">
        <f t="shared" si="15"/>
        <v>1</v>
      </c>
      <c r="AB31" s="1539">
        <f t="shared" si="16"/>
        <v>1</v>
      </c>
      <c r="AC31" s="1539">
        <f t="shared" si="17"/>
        <v>1</v>
      </c>
    </row>
    <row r="32" spans="1:29" ht="15">
      <c r="A32" s="399" t="s">
        <v>2385</v>
      </c>
      <c r="B32" s="67" t="s">
        <v>2386</v>
      </c>
      <c r="C32" s="2098" t="s">
        <v>3101</v>
      </c>
      <c r="D32" s="426">
        <v>100</v>
      </c>
      <c r="E32" s="2099" t="s">
        <v>3101</v>
      </c>
      <c r="F32" s="420">
        <f>SUMIF(100:100,E32,101:101)-SUMIF(100:100,C32,101:101)+100</f>
        <v>100</v>
      </c>
      <c r="G32" s="2098" t="s">
        <v>3101</v>
      </c>
      <c r="H32" s="426">
        <f>SUMIF(100:100,G32,101:101)-SUMIF(100:100,C32,101:101)+100</f>
        <v>100</v>
      </c>
      <c r="I32" s="2099" t="s">
        <v>3101</v>
      </c>
      <c r="J32" s="394">
        <f>SUMIF(100:100,I32,101:101)-SUMIF(100:100,C32,101:101)+100</f>
        <v>100</v>
      </c>
      <c r="K32" s="385">
        <v>1</v>
      </c>
      <c r="L32" s="2953"/>
      <c r="M32" s="2947"/>
      <c r="N32" s="2947"/>
      <c r="O32" s="2947"/>
      <c r="P32" s="3290" t="s">
        <v>2387</v>
      </c>
      <c r="Q32" s="1538" t="str">
        <f t="shared" si="11"/>
        <v>建筑类型</v>
      </c>
      <c r="R32" s="714" t="s">
        <v>21</v>
      </c>
      <c r="S32" s="715">
        <f t="shared" si="12"/>
        <v>100</v>
      </c>
      <c r="T32" s="714" t="s">
        <v>21</v>
      </c>
      <c r="U32" s="715">
        <f t="shared" si="13"/>
        <v>100</v>
      </c>
      <c r="V32" s="714" t="s">
        <v>21</v>
      </c>
      <c r="W32" s="715">
        <f t="shared" si="14"/>
        <v>100</v>
      </c>
      <c r="X32" s="1541"/>
      <c r="Y32" s="3293" t="s">
        <v>2387</v>
      </c>
      <c r="Z32" s="1542" t="str">
        <f t="shared" si="18"/>
        <v>建筑类型</v>
      </c>
      <c r="AA32" s="1539">
        <f t="shared" si="15"/>
        <v>1</v>
      </c>
      <c r="AB32" s="1539">
        <f t="shared" si="16"/>
        <v>1</v>
      </c>
      <c r="AC32" s="1539">
        <f t="shared" si="17"/>
        <v>1</v>
      </c>
    </row>
    <row r="33" spans="1:29" s="430" customFormat="1" ht="15">
      <c r="A33" s="427"/>
      <c r="B33" s="381" t="s">
        <v>2388</v>
      </c>
      <c r="C33" s="428">
        <f>'数据-汇总表'!F19</f>
        <v>83.16</v>
      </c>
      <c r="D33" s="132">
        <v>100</v>
      </c>
      <c r="E33" s="389">
        <v>101.44</v>
      </c>
      <c r="F33" s="384">
        <f>LOOKUP(E33,103:103,104:104)-LOOKUP(C33,103:103,104:104)+100</f>
        <v>98</v>
      </c>
      <c r="G33" s="388">
        <v>101.44</v>
      </c>
      <c r="H33" s="132">
        <f>LOOKUP(G33,103:103,104:104)-LOOKUP(C33,103:103,104:104)+100</f>
        <v>98</v>
      </c>
      <c r="I33" s="389">
        <v>99.37</v>
      </c>
      <c r="J33" s="132">
        <f>LOOKUP(I33,103:103,104:104)-LOOKUP(C33,103:103,104:104)+100</f>
        <v>98</v>
      </c>
      <c r="K33" s="2082"/>
      <c r="L33" s="2952"/>
      <c r="M33" s="2954"/>
      <c r="N33" s="2954"/>
      <c r="O33" s="2954"/>
      <c r="P33" s="3291"/>
      <c r="Q33" s="716" t="str">
        <f t="shared" si="11"/>
        <v>项目建筑规模</v>
      </c>
      <c r="R33" s="717" t="s">
        <v>21</v>
      </c>
      <c r="S33" s="718">
        <f t="shared" si="12"/>
        <v>98</v>
      </c>
      <c r="T33" s="717" t="s">
        <v>21</v>
      </c>
      <c r="U33" s="718">
        <f t="shared" si="13"/>
        <v>98</v>
      </c>
      <c r="V33" s="717" t="s">
        <v>21</v>
      </c>
      <c r="W33" s="718">
        <f t="shared" si="14"/>
        <v>98</v>
      </c>
      <c r="X33" s="719"/>
      <c r="Y33" s="3293"/>
      <c r="Z33" s="720" t="str">
        <f t="shared" si="18"/>
        <v>项目建筑规模</v>
      </c>
      <c r="AA33" s="1539">
        <f t="shared" si="15"/>
        <v>1.0204081632653061</v>
      </c>
      <c r="AB33" s="1539">
        <f t="shared" si="16"/>
        <v>1.0204081632653061</v>
      </c>
      <c r="AC33" s="1539">
        <f t="shared" si="17"/>
        <v>1.0204081632653061</v>
      </c>
    </row>
    <row r="34" spans="1:29" ht="15">
      <c r="A34" s="431"/>
      <c r="B34" s="381" t="s">
        <v>2389</v>
      </c>
      <c r="C34" s="2100" t="s">
        <v>3081</v>
      </c>
      <c r="D34" s="394">
        <v>100</v>
      </c>
      <c r="E34" s="2101" t="s">
        <v>3081</v>
      </c>
      <c r="F34" s="420">
        <f>SUMIF(105:105,E34,106:106)-SUMIF(105:105,C34,106:106)+100</f>
        <v>100</v>
      </c>
      <c r="G34" s="2100" t="s">
        <v>3081</v>
      </c>
      <c r="H34" s="394">
        <f>SUMIF(105:105,G34,106:106)-SUMIF(105:105,C34,106:106)+100</f>
        <v>100</v>
      </c>
      <c r="I34" s="2101" t="s">
        <v>3081</v>
      </c>
      <c r="J34" s="394">
        <f>SUMIF(105:105,I34,106:106)-SUMIF(105:105,C34,106:106)+100</f>
        <v>100</v>
      </c>
      <c r="K34" s="385">
        <v>2</v>
      </c>
      <c r="L34" s="2953"/>
      <c r="M34" s="2947"/>
      <c r="N34" s="2947"/>
      <c r="O34" s="2947"/>
      <c r="P34" s="3291"/>
      <c r="Q34" s="1538" t="str">
        <f t="shared" si="11"/>
        <v>建筑结构</v>
      </c>
      <c r="R34" s="714" t="s">
        <v>21</v>
      </c>
      <c r="S34" s="715">
        <f t="shared" si="12"/>
        <v>100</v>
      </c>
      <c r="T34" s="714" t="s">
        <v>21</v>
      </c>
      <c r="U34" s="715">
        <f t="shared" si="13"/>
        <v>100</v>
      </c>
      <c r="V34" s="714" t="s">
        <v>21</v>
      </c>
      <c r="W34" s="715">
        <f t="shared" si="14"/>
        <v>100</v>
      </c>
      <c r="X34" s="1541"/>
      <c r="Y34" s="3293"/>
      <c r="Z34" s="1542" t="str">
        <f t="shared" si="18"/>
        <v>建筑结构</v>
      </c>
      <c r="AA34" s="1539">
        <f t="shared" si="15"/>
        <v>1</v>
      </c>
      <c r="AB34" s="1539">
        <f t="shared" si="16"/>
        <v>1</v>
      </c>
      <c r="AC34" s="1539">
        <f t="shared" si="17"/>
        <v>1</v>
      </c>
    </row>
    <row r="35" spans="1:29" ht="15" hidden="1">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91"/>
      <c r="Q35" s="1538" t="str">
        <f t="shared" si="11"/>
        <v>建筑品质</v>
      </c>
      <c r="R35" s="714" t="s">
        <v>21</v>
      </c>
      <c r="S35" s="715">
        <f t="shared" si="12"/>
        <v>100</v>
      </c>
      <c r="T35" s="714" t="s">
        <v>21</v>
      </c>
      <c r="U35" s="715">
        <f t="shared" si="13"/>
        <v>100</v>
      </c>
      <c r="V35" s="714" t="s">
        <v>21</v>
      </c>
      <c r="W35" s="715">
        <f t="shared" si="14"/>
        <v>100</v>
      </c>
      <c r="X35" s="1541"/>
      <c r="Y35" s="3293"/>
      <c r="Z35" s="1542" t="str">
        <f t="shared" si="18"/>
        <v>建筑品质</v>
      </c>
      <c r="AA35" s="1539">
        <f t="shared" si="15"/>
        <v>1</v>
      </c>
      <c r="AB35" s="1539">
        <f t="shared" si="16"/>
        <v>1</v>
      </c>
      <c r="AC35" s="1539">
        <f t="shared" si="17"/>
        <v>1</v>
      </c>
    </row>
    <row r="36" spans="1:29" ht="15">
      <c r="A36" s="431"/>
      <c r="B36" s="381" t="s">
        <v>2391</v>
      </c>
      <c r="C36" s="2094" t="s">
        <v>3122</v>
      </c>
      <c r="D36" s="394">
        <v>100</v>
      </c>
      <c r="E36" s="2095" t="s">
        <v>3122</v>
      </c>
      <c r="F36" s="420">
        <f>SUMIF(109:109,E36,110:110)-SUMIF(109:109,C36,110:110)+100</f>
        <v>100</v>
      </c>
      <c r="G36" s="2094" t="s">
        <v>3122</v>
      </c>
      <c r="H36" s="394">
        <f>SUMIF(109:109,G36,110:110)-SUMIF(109:109,C36,110:110)+100</f>
        <v>100</v>
      </c>
      <c r="I36" s="2095" t="s">
        <v>3122</v>
      </c>
      <c r="J36" s="394">
        <f>SUMIF(109:109,I36,110:110)-SUMIF(109:109,C36,110:110)+100</f>
        <v>100</v>
      </c>
      <c r="K36" s="385">
        <v>2</v>
      </c>
      <c r="L36" s="2953"/>
      <c r="M36" s="2947"/>
      <c r="N36" s="2947"/>
      <c r="O36" s="2947"/>
      <c r="P36" s="3291"/>
      <c r="Q36" s="1538" t="str">
        <f t="shared" si="11"/>
        <v>公共部分装修</v>
      </c>
      <c r="R36" s="714" t="s">
        <v>21</v>
      </c>
      <c r="S36" s="715">
        <f t="shared" si="12"/>
        <v>100</v>
      </c>
      <c r="T36" s="714" t="s">
        <v>21</v>
      </c>
      <c r="U36" s="715">
        <f t="shared" si="13"/>
        <v>100</v>
      </c>
      <c r="V36" s="714" t="s">
        <v>21</v>
      </c>
      <c r="W36" s="715">
        <f t="shared" si="14"/>
        <v>100</v>
      </c>
      <c r="X36" s="1541"/>
      <c r="Y36" s="3293"/>
      <c r="Z36" s="1542" t="str">
        <f t="shared" si="18"/>
        <v>公共部分装修</v>
      </c>
      <c r="AA36" s="1539">
        <f t="shared" si="15"/>
        <v>1</v>
      </c>
      <c r="AB36" s="1539">
        <f t="shared" si="16"/>
        <v>1</v>
      </c>
      <c r="AC36" s="1539">
        <f t="shared" si="17"/>
        <v>1</v>
      </c>
    </row>
    <row r="37" spans="1:29" s="113" customFormat="1" ht="15" hidden="1">
      <c r="A37" s="432"/>
      <c r="B37" s="381" t="s">
        <v>2392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8"/>
      <c r="M37" s="2949"/>
      <c r="N37" s="2949"/>
      <c r="O37" s="2949"/>
      <c r="P37" s="3291"/>
      <c r="Q37" s="1529" t="str">
        <f t="shared" si="11"/>
        <v>成新度</v>
      </c>
      <c r="R37" s="710" t="s">
        <v>21</v>
      </c>
      <c r="S37" s="711">
        <f t="shared" si="12"/>
        <v>100</v>
      </c>
      <c r="T37" s="710" t="s">
        <v>21</v>
      </c>
      <c r="U37" s="711">
        <f t="shared" si="13"/>
        <v>100</v>
      </c>
      <c r="V37" s="710" t="s">
        <v>21</v>
      </c>
      <c r="W37" s="711">
        <f t="shared" si="14"/>
        <v>100</v>
      </c>
      <c r="X37" s="712"/>
      <c r="Y37" s="3293"/>
      <c r="Z37" s="55" t="str">
        <f t="shared" si="18"/>
        <v>成新度</v>
      </c>
      <c r="AA37" s="713">
        <f t="shared" si="15"/>
        <v>1</v>
      </c>
      <c r="AB37" s="713">
        <f t="shared" si="16"/>
        <v>1</v>
      </c>
      <c r="AC37" s="713">
        <f t="shared" si="17"/>
        <v>1</v>
      </c>
    </row>
    <row r="38" spans="1:29" ht="15">
      <c r="A38" s="431"/>
      <c r="B38" s="381" t="s">
        <v>2393</v>
      </c>
      <c r="C38" s="2094" t="s">
        <v>3124</v>
      </c>
      <c r="D38" s="394">
        <v>100</v>
      </c>
      <c r="E38" s="2095" t="s">
        <v>3124</v>
      </c>
      <c r="F38" s="420">
        <f>SUMIF(114:114,E38,115:115)-SUMIF(114:114,C38,115:115)+100</f>
        <v>100</v>
      </c>
      <c r="G38" s="2094" t="s">
        <v>3124</v>
      </c>
      <c r="H38" s="394">
        <f>SUMIF(114:114,G38,115:115)-SUMIF(114:114,C38,115:115)+100</f>
        <v>100</v>
      </c>
      <c r="I38" s="2095" t="s">
        <v>3124</v>
      </c>
      <c r="J38" s="394">
        <f>SUMIF(114:114,I38,115:115)-SUMIF(114:114,C38,115:115)+100</f>
        <v>100</v>
      </c>
      <c r="K38" s="385">
        <v>1</v>
      </c>
      <c r="L38" s="2953"/>
      <c r="M38" s="2947"/>
      <c r="N38" s="2947"/>
      <c r="O38" s="2947"/>
      <c r="P38" s="3291" t="s">
        <v>2387</v>
      </c>
      <c r="Q38" s="1538" t="str">
        <f t="shared" si="11"/>
        <v>物业管理</v>
      </c>
      <c r="R38" s="714" t="s">
        <v>21</v>
      </c>
      <c r="S38" s="715">
        <f t="shared" si="12"/>
        <v>100</v>
      </c>
      <c r="T38" s="714" t="s">
        <v>21</v>
      </c>
      <c r="U38" s="715">
        <f t="shared" si="13"/>
        <v>100</v>
      </c>
      <c r="V38" s="714" t="s">
        <v>21</v>
      </c>
      <c r="W38" s="715">
        <f t="shared" si="14"/>
        <v>100</v>
      </c>
      <c r="X38" s="1541"/>
      <c r="Y38" s="3293" t="s">
        <v>2387</v>
      </c>
      <c r="Z38" s="1542" t="str">
        <f t="shared" si="18"/>
        <v>物业管理</v>
      </c>
      <c r="AA38" s="1539">
        <f t="shared" si="15"/>
        <v>1</v>
      </c>
      <c r="AB38" s="1539">
        <f t="shared" si="16"/>
        <v>1</v>
      </c>
      <c r="AC38" s="1539">
        <f t="shared" si="17"/>
        <v>1</v>
      </c>
    </row>
    <row r="39" spans="1:29" ht="15">
      <c r="A39" s="431"/>
      <c r="B39" s="381" t="s">
        <v>2394</v>
      </c>
      <c r="C39" s="2094" t="s">
        <v>3088</v>
      </c>
      <c r="D39" s="394">
        <v>100</v>
      </c>
      <c r="E39" s="2095" t="s">
        <v>3088</v>
      </c>
      <c r="F39" s="420">
        <f>SUMIF(116:116,E39,117:117)-SUMIF(116:116,C39,117:117)+100</f>
        <v>100</v>
      </c>
      <c r="G39" s="2094" t="s">
        <v>3088</v>
      </c>
      <c r="H39" s="394">
        <f>SUMIF(116:116,G39,117:117)-SUMIF(116:116,C39,117:117)+100</f>
        <v>100</v>
      </c>
      <c r="I39" s="2095" t="s">
        <v>3088</v>
      </c>
      <c r="J39" s="394">
        <f>SUMIF(116:116,I39,117:117)-SUMIF(116:116,C39,117:117)+100</f>
        <v>100</v>
      </c>
      <c r="K39" s="385">
        <v>1</v>
      </c>
      <c r="L39" s="2953"/>
      <c r="M39" s="2947"/>
      <c r="N39" s="2947"/>
      <c r="O39" s="2947"/>
      <c r="P39" s="3291"/>
      <c r="Q39" s="1538" t="str">
        <f t="shared" si="11"/>
        <v>市政基础设施</v>
      </c>
      <c r="R39" s="714" t="s">
        <v>21</v>
      </c>
      <c r="S39" s="715">
        <f t="shared" si="12"/>
        <v>100</v>
      </c>
      <c r="T39" s="714" t="s">
        <v>21</v>
      </c>
      <c r="U39" s="715">
        <f t="shared" si="13"/>
        <v>100</v>
      </c>
      <c r="V39" s="714" t="s">
        <v>21</v>
      </c>
      <c r="W39" s="715">
        <f t="shared" si="14"/>
        <v>100</v>
      </c>
      <c r="X39" s="1541"/>
      <c r="Y39" s="3293"/>
      <c r="Z39" s="1542" t="str">
        <f t="shared" si="18"/>
        <v>市政基础设施</v>
      </c>
      <c r="AA39" s="1539">
        <f t="shared" si="15"/>
        <v>1</v>
      </c>
      <c r="AB39" s="1539">
        <f t="shared" si="16"/>
        <v>1</v>
      </c>
      <c r="AC39" s="1539">
        <f t="shared" si="17"/>
        <v>1</v>
      </c>
    </row>
    <row r="40" spans="1:29" ht="15">
      <c r="A40" s="431"/>
      <c r="B40" s="381" t="s">
        <v>2395</v>
      </c>
      <c r="C40" s="2094" t="s">
        <v>3123</v>
      </c>
      <c r="D40" s="394">
        <v>100</v>
      </c>
      <c r="E40" s="2095" t="s">
        <v>3123</v>
      </c>
      <c r="F40" s="420">
        <f>SUMIF(118:118,E40,119:119)-SUMIF(118:118,C40,119:119)+100</f>
        <v>100</v>
      </c>
      <c r="G40" s="2094" t="s">
        <v>3123</v>
      </c>
      <c r="H40" s="394">
        <f>SUMIF(118:118,G40,119:119)-SUMIF(118:118,C40,119:119)+100</f>
        <v>100</v>
      </c>
      <c r="I40" s="2095" t="s">
        <v>3123</v>
      </c>
      <c r="J40" s="394">
        <f>SUMIF(118:118,I40,119:119)-SUMIF(118:118,C40,119:119)+100</f>
        <v>100</v>
      </c>
      <c r="K40" s="385">
        <v>2</v>
      </c>
      <c r="L40" s="2953"/>
      <c r="M40" s="2947"/>
      <c r="N40" s="2947"/>
      <c r="O40" s="2947"/>
      <c r="P40" s="3291"/>
      <c r="Q40" s="1538" t="str">
        <f t="shared" si="11"/>
        <v>房型</v>
      </c>
      <c r="R40" s="714" t="s">
        <v>21</v>
      </c>
      <c r="S40" s="715">
        <f t="shared" si="12"/>
        <v>100</v>
      </c>
      <c r="T40" s="714" t="s">
        <v>21</v>
      </c>
      <c r="U40" s="715">
        <f t="shared" si="13"/>
        <v>100</v>
      </c>
      <c r="V40" s="714" t="s">
        <v>21</v>
      </c>
      <c r="W40" s="715">
        <f t="shared" si="14"/>
        <v>100</v>
      </c>
      <c r="X40" s="1541"/>
      <c r="Y40" s="3293"/>
      <c r="Z40" s="1542" t="str">
        <f t="shared" si="18"/>
        <v>房型</v>
      </c>
      <c r="AA40" s="1539">
        <f t="shared" si="15"/>
        <v>1</v>
      </c>
      <c r="AB40" s="1539">
        <f t="shared" si="16"/>
        <v>1</v>
      </c>
      <c r="AC40" s="1539">
        <f t="shared" si="17"/>
        <v>1</v>
      </c>
    </row>
    <row r="41" spans="1:29" s="430" customFormat="1" ht="28.5" hidden="1">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91"/>
      <c r="Q41" s="716" t="str">
        <f t="shared" si="11"/>
        <v>单套/主力户型建筑面积</v>
      </c>
      <c r="R41" s="717" t="s">
        <v>21</v>
      </c>
      <c r="S41" s="718">
        <f t="shared" si="12"/>
        <v>100</v>
      </c>
      <c r="T41" s="717" t="s">
        <v>21</v>
      </c>
      <c r="U41" s="718">
        <f t="shared" si="13"/>
        <v>100</v>
      </c>
      <c r="V41" s="717" t="s">
        <v>21</v>
      </c>
      <c r="W41" s="718">
        <f t="shared" si="14"/>
        <v>100</v>
      </c>
      <c r="X41" s="719"/>
      <c r="Y41" s="3293"/>
      <c r="Z41" s="720" t="str">
        <f t="shared" si="18"/>
        <v>单套/主力户型建筑面积</v>
      </c>
      <c r="AA41" s="1539">
        <f t="shared" si="15"/>
        <v>1</v>
      </c>
      <c r="AB41" s="1539">
        <f t="shared" si="16"/>
        <v>1</v>
      </c>
      <c r="AC41" s="1539">
        <f t="shared" si="17"/>
        <v>1</v>
      </c>
    </row>
    <row r="42" spans="1:29" ht="15">
      <c r="A42" s="431"/>
      <c r="B42" s="381" t="s">
        <v>2397</v>
      </c>
      <c r="C42" s="2094" t="s">
        <v>3122</v>
      </c>
      <c r="D42" s="394">
        <v>100</v>
      </c>
      <c r="E42" s="2095" t="s">
        <v>3121</v>
      </c>
      <c r="F42" s="420">
        <f>SUMIF(122:122,E42,123:123)-SUMIF(122:122,C42,123:123)+100</f>
        <v>104</v>
      </c>
      <c r="G42" s="2094" t="s">
        <v>3122</v>
      </c>
      <c r="H42" s="394">
        <f>SUMIF(122:122,G42,123:123)-SUMIF(122:122,C42,123:123)+100</f>
        <v>100</v>
      </c>
      <c r="I42" s="2095" t="s">
        <v>3121</v>
      </c>
      <c r="J42" s="394">
        <f>SUMIF(122:122,I42,123:123)-SUMIF(122:122,C42,123:123)+100</f>
        <v>104</v>
      </c>
      <c r="K42" s="385">
        <v>2</v>
      </c>
      <c r="L42" s="2953"/>
      <c r="M42" s="2947"/>
      <c r="N42" s="2947"/>
      <c r="O42" s="2947"/>
      <c r="P42" s="3291"/>
      <c r="Q42" s="1538" t="str">
        <f t="shared" si="11"/>
        <v>内部装修</v>
      </c>
      <c r="R42" s="714" t="s">
        <v>21</v>
      </c>
      <c r="S42" s="715">
        <f t="shared" si="12"/>
        <v>104</v>
      </c>
      <c r="T42" s="714" t="s">
        <v>21</v>
      </c>
      <c r="U42" s="715">
        <f t="shared" si="13"/>
        <v>100</v>
      </c>
      <c r="V42" s="714" t="s">
        <v>21</v>
      </c>
      <c r="W42" s="715">
        <f t="shared" si="14"/>
        <v>104</v>
      </c>
      <c r="X42" s="1541"/>
      <c r="Y42" s="3293"/>
      <c r="Z42" s="1542" t="str">
        <f t="shared" si="18"/>
        <v>内部装修</v>
      </c>
      <c r="AA42" s="1539">
        <f t="shared" si="15"/>
        <v>0.96153846153846156</v>
      </c>
      <c r="AB42" s="1539">
        <f t="shared" si="16"/>
        <v>1</v>
      </c>
      <c r="AC42" s="1539">
        <f t="shared" si="17"/>
        <v>0.96153846153846156</v>
      </c>
    </row>
    <row r="43" spans="1:29" ht="15">
      <c r="A43" s="431"/>
      <c r="B43" s="381" t="s">
        <v>2398</v>
      </c>
      <c r="C43" s="2094" t="s">
        <v>3087</v>
      </c>
      <c r="D43" s="394">
        <v>100</v>
      </c>
      <c r="E43" s="2095" t="s">
        <v>3087</v>
      </c>
      <c r="F43" s="420">
        <f>SUMIF(124:124,E43,125:125)-SUMIF(124:124,C43,125:125)+100</f>
        <v>100</v>
      </c>
      <c r="G43" s="2094" t="s">
        <v>3087</v>
      </c>
      <c r="H43" s="394">
        <f>SUMIF(124:124,G43,125:125)-SUMIF(124:124,C43,125:125)+100</f>
        <v>100</v>
      </c>
      <c r="I43" s="2095" t="s">
        <v>3087</v>
      </c>
      <c r="J43" s="394">
        <f>SUMIF(124:124,I43,125:125)-SUMIF(124:124,C43,125:125)+100</f>
        <v>100</v>
      </c>
      <c r="K43" s="385">
        <v>1</v>
      </c>
      <c r="L43" s="2953"/>
      <c r="M43" s="2947"/>
      <c r="N43" s="2947"/>
      <c r="O43" s="2947"/>
      <c r="P43" s="3291"/>
      <c r="Q43" s="1538" t="str">
        <f t="shared" si="11"/>
        <v>内部装修维护情况</v>
      </c>
      <c r="R43" s="714" t="s">
        <v>21</v>
      </c>
      <c r="S43" s="715">
        <f t="shared" si="12"/>
        <v>100</v>
      </c>
      <c r="T43" s="714" t="s">
        <v>21</v>
      </c>
      <c r="U43" s="715">
        <f t="shared" si="13"/>
        <v>100</v>
      </c>
      <c r="V43" s="714" t="s">
        <v>21</v>
      </c>
      <c r="W43" s="715">
        <f t="shared" si="14"/>
        <v>100</v>
      </c>
      <c r="X43" s="1541"/>
      <c r="Y43" s="3293"/>
      <c r="Z43" s="1542" t="str">
        <f t="shared" si="18"/>
        <v>内部装修维护情况</v>
      </c>
      <c r="AA43" s="1539">
        <f t="shared" si="15"/>
        <v>1</v>
      </c>
      <c r="AB43" s="1539">
        <f t="shared" si="16"/>
        <v>1</v>
      </c>
      <c r="AC43" s="1539">
        <f t="shared" si="17"/>
        <v>1</v>
      </c>
    </row>
    <row r="44" spans="1:29" s="113" customFormat="1" ht="15">
      <c r="A44" s="432"/>
      <c r="B44" s="1295" t="s">
        <v>3090</v>
      </c>
      <c r="C44" s="428">
        <v>1996</v>
      </c>
      <c r="D44" s="132">
        <v>100</v>
      </c>
      <c r="E44" s="428">
        <v>1996</v>
      </c>
      <c r="F44" s="384">
        <f>SUMIF(126:126,E44,127:127)-SUMIF(126:126,C44,127:127)+100</f>
        <v>100</v>
      </c>
      <c r="G44" s="428">
        <v>1996</v>
      </c>
      <c r="H44" s="132">
        <f>SUMIF(126:126,G44,127:127)-SUMIF(126:126,C44,127:127)+100</f>
        <v>100</v>
      </c>
      <c r="I44" s="428">
        <v>1996</v>
      </c>
      <c r="J44" s="132">
        <f>SUMIF(126:126,I44,127:127)-SUMIF(126:126,C44,127:127)+100</f>
        <v>100</v>
      </c>
      <c r="K44" s="2082"/>
      <c r="L44" s="2948"/>
      <c r="M44" s="2949"/>
      <c r="N44" s="2949"/>
      <c r="O44" s="2949"/>
      <c r="P44" s="3291"/>
      <c r="Q44" s="1529" t="str">
        <f t="shared" si="11"/>
        <v>建成年份</v>
      </c>
      <c r="R44" s="710" t="s">
        <v>21</v>
      </c>
      <c r="S44" s="711">
        <f t="shared" si="12"/>
        <v>100</v>
      </c>
      <c r="T44" s="710" t="s">
        <v>21</v>
      </c>
      <c r="U44" s="711">
        <f t="shared" si="13"/>
        <v>100</v>
      </c>
      <c r="V44" s="710" t="s">
        <v>21</v>
      </c>
      <c r="W44" s="711">
        <f t="shared" si="14"/>
        <v>100</v>
      </c>
      <c r="X44" s="712"/>
      <c r="Y44" s="3293"/>
      <c r="Z44" s="55" t="str">
        <f t="shared" si="18"/>
        <v>建成年份</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91"/>
      <c r="Q45" s="1538">
        <f t="shared" si="11"/>
        <v>111</v>
      </c>
      <c r="R45" s="714" t="s">
        <v>21</v>
      </c>
      <c r="S45" s="715">
        <f t="shared" si="12"/>
        <v>100</v>
      </c>
      <c r="T45" s="714" t="s">
        <v>21</v>
      </c>
      <c r="U45" s="715">
        <f t="shared" si="13"/>
        <v>100</v>
      </c>
      <c r="V45" s="714" t="s">
        <v>21</v>
      </c>
      <c r="W45" s="715">
        <f t="shared" si="14"/>
        <v>100</v>
      </c>
      <c r="X45" s="1541"/>
      <c r="Y45" s="329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92"/>
      <c r="Q46" s="1538">
        <f t="shared" si="11"/>
        <v>111</v>
      </c>
      <c r="R46" s="714" t="s">
        <v>20</v>
      </c>
      <c r="S46" s="715">
        <f t="shared" si="12"/>
        <v>100</v>
      </c>
      <c r="T46" s="714" t="s">
        <v>20</v>
      </c>
      <c r="U46" s="715">
        <f t="shared" si="13"/>
        <v>100</v>
      </c>
      <c r="V46" s="714" t="s">
        <v>20</v>
      </c>
      <c r="W46" s="715">
        <f t="shared" si="14"/>
        <v>100</v>
      </c>
      <c r="X46" s="1541"/>
      <c r="Y46" s="3294"/>
      <c r="Z46" s="1542">
        <f t="shared" si="18"/>
        <v>111</v>
      </c>
      <c r="AA46" s="1539">
        <f t="shared" si="15"/>
        <v>1</v>
      </c>
      <c r="AB46" s="1539">
        <f t="shared" si="16"/>
        <v>1</v>
      </c>
      <c r="AC46" s="1539">
        <f t="shared" si="17"/>
        <v>1</v>
      </c>
    </row>
    <row r="47" spans="1:29" ht="15">
      <c r="A47" s="438" t="s">
        <v>2399</v>
      </c>
      <c r="B47" s="439"/>
      <c r="C47" s="1316" t="s">
        <v>19</v>
      </c>
      <c r="D47" s="1317"/>
      <c r="E47" s="1318">
        <v>59346</v>
      </c>
      <c r="F47" s="1319"/>
      <c r="G47" s="1320">
        <v>59937</v>
      </c>
      <c r="H47" s="1321"/>
      <c r="I47" s="1318">
        <v>61589</v>
      </c>
      <c r="J47" s="1321"/>
      <c r="K47" s="2102"/>
      <c r="L47" s="2955"/>
      <c r="M47" s="2956"/>
      <c r="N47" s="2947"/>
      <c r="O47" s="2956"/>
      <c r="P47" s="3286" t="str">
        <f>A47</f>
        <v>成交单价（元/平方米）</v>
      </c>
      <c r="Q47" s="3286"/>
      <c r="R47" s="3287">
        <f>E47</f>
        <v>59346</v>
      </c>
      <c r="S47" s="3287"/>
      <c r="T47" s="3287">
        <f>G47</f>
        <v>59937</v>
      </c>
      <c r="U47" s="3287"/>
      <c r="V47" s="3287">
        <f>I47</f>
        <v>61589</v>
      </c>
      <c r="W47" s="3287"/>
      <c r="X47" s="699"/>
      <c r="Y47" s="721"/>
      <c r="Z47" s="699"/>
      <c r="AA47" s="699"/>
      <c r="AB47" s="699"/>
      <c r="AC47" s="699"/>
    </row>
    <row r="48" spans="1:29" ht="15.75" thickBot="1">
      <c r="A48" s="445" t="s">
        <v>2400</v>
      </c>
      <c r="B48" s="446"/>
      <c r="C48" s="1322">
        <f>R49</f>
        <v>61971</v>
      </c>
      <c r="D48" s="2540" t="s">
        <v>2880</v>
      </c>
      <c r="E48" s="1323">
        <f>R48</f>
        <v>60393</v>
      </c>
      <c r="F48" s="2541"/>
      <c r="G48" s="1322">
        <f>T48</f>
        <v>62528</v>
      </c>
      <c r="H48" s="2541"/>
      <c r="I48" s="1323">
        <f>V48</f>
        <v>62992</v>
      </c>
      <c r="J48" s="2541"/>
      <c r="K48" s="2542">
        <f>F48+H48+J48</f>
        <v>0</v>
      </c>
      <c r="L48" s="2955"/>
      <c r="M48" s="2956"/>
      <c r="N48" s="2956"/>
      <c r="O48" s="2956"/>
      <c r="P48" s="3286" t="str">
        <f>A48</f>
        <v>比较价值（元/平方米）</v>
      </c>
      <c r="Q48" s="3286"/>
      <c r="R48" s="3287">
        <f>IF(F1="售价",ROUND(PRODUCT(R47,AA7:AA46),0),ROUND(PRODUCT(R47,AA7:AA46),1))</f>
        <v>60393</v>
      </c>
      <c r="S48" s="3287"/>
      <c r="T48" s="3287">
        <f>IF(F1="售价",ROUND(PRODUCT(T47,AB7:AB46),0),ROUND(PRODUCT(T47,AB7:AB46),1))</f>
        <v>62528</v>
      </c>
      <c r="U48" s="3287"/>
      <c r="V48" s="3287">
        <f>IF(F1="售价",ROUND(PRODUCT(V47,AC7:AC46),0),ROUND(PRODUCT(V47,AC7:AC46),1))</f>
        <v>62992</v>
      </c>
      <c r="W48" s="3287"/>
      <c r="X48" s="699"/>
      <c r="Y48" s="699"/>
      <c r="Z48" s="699"/>
      <c r="AA48" s="699"/>
      <c r="AB48" s="699"/>
      <c r="AC48" s="699"/>
    </row>
    <row r="49" spans="1:29" ht="15.75" thickBot="1">
      <c r="A49" s="449" t="s">
        <v>2401</v>
      </c>
      <c r="B49" s="450"/>
      <c r="C49" s="1324">
        <f>R49</f>
        <v>61971</v>
      </c>
      <c r="D49" s="1325"/>
      <c r="E49" s="1325"/>
      <c r="F49" s="1325"/>
      <c r="G49" s="1325"/>
      <c r="H49" s="1325"/>
      <c r="I49" s="1325"/>
      <c r="J49" s="1325"/>
      <c r="K49" s="2103"/>
      <c r="L49" s="2955"/>
      <c r="M49" s="2956"/>
      <c r="N49" s="2956"/>
      <c r="O49" s="2956"/>
      <c r="P49" s="3283" t="str">
        <f>A49</f>
        <v>估价对象XX用房的比较价值（楼面单价，元/平方米）</v>
      </c>
      <c r="Q49" s="3284"/>
      <c r="R49" s="3285">
        <f>IF(F1="售价",ROUND(IF(D48="简单平均",AVERAGE(R48:V48),R48*F48+T48*H48+V48*J48),0),ROUND(IF(D48="简单平均",AVERAGE(R48:V48),R48*F48+T48*H48+V48*J48),1))</f>
        <v>61971</v>
      </c>
      <c r="S49" s="3285"/>
      <c r="T49" s="3285"/>
      <c r="U49" s="3285"/>
      <c r="V49" s="3285"/>
      <c r="W49" s="328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f>IF(E47&lt;E48,E48/E47-1,E47/E48-1)</f>
        <v>1.7642301081791434E-2</v>
      </c>
      <c r="F52" s="457" t="str">
        <f>IF(OR(E52&gt;=0.3,E52&lt;=-0.3),"超过30%","")</f>
        <v/>
      </c>
      <c r="G52" s="456">
        <f>IF(G47&lt;G48,G48/G47-1,G47/G48-1)</f>
        <v>4.3228723493000887E-2</v>
      </c>
      <c r="H52" s="457" t="str">
        <f>IF(OR(G52&gt;=0.3,G52&lt;=-0.3),"超过30%","")</f>
        <v/>
      </c>
      <c r="I52" s="456">
        <f>IF(I47&lt;I48,I48/I47-1,I47/I48-1)</f>
        <v>2.2780041890597458E-2</v>
      </c>
      <c r="J52" s="457" t="str">
        <f>IF(OR(I52&gt;=0.3,I52&lt;=-0.3),"超过30%","")</f>
        <v/>
      </c>
      <c r="K52" s="2961"/>
      <c r="L52" s="2957"/>
      <c r="M52" s="2956"/>
      <c r="N52" s="2956"/>
      <c r="O52" s="2956"/>
    </row>
    <row r="53" spans="1:29" ht="13.5" customHeight="1">
      <c r="A53" s="2956"/>
      <c r="B53" s="2956"/>
      <c r="C53" s="454" t="s">
        <v>2403</v>
      </c>
      <c r="D53" s="458"/>
      <c r="E53" s="456">
        <f>IF(E48&lt;G48,G48/E48-1,E48/G48-1)</f>
        <v>3.5351779179706222E-2</v>
      </c>
      <c r="F53" s="457" t="str">
        <f>IF(OR(E53&gt;=0.2,E53&lt;=-0.2),"超过20%","")</f>
        <v/>
      </c>
      <c r="G53" s="456">
        <f>IF(G48&lt;I48,I48/G48-1,G48/I48-1)</f>
        <v>7.4206755373593669E-3</v>
      </c>
      <c r="H53" s="457" t="str">
        <f>IF(OR(G53&gt;=0.2,G53&lt;=-0.2),"超过20%","")</f>
        <v/>
      </c>
      <c r="I53" s="456">
        <f>IF(I48&lt;E48,E48/I48-1,I48/E48-1)</f>
        <v>4.3034788800026424E-2</v>
      </c>
      <c r="J53" s="457" t="str">
        <f>IF(OR(I53&gt;=0.2,I53&lt;=-0.2),"超过20%","")</f>
        <v/>
      </c>
      <c r="K53" s="2961"/>
      <c r="L53" s="2957"/>
      <c r="M53" s="2956"/>
      <c r="N53" s="2956"/>
      <c r="O53" s="2956"/>
    </row>
    <row r="54" spans="1:29" s="459" customFormat="1" ht="13.5" customHeight="1">
      <c r="A54" s="2959"/>
      <c r="B54" s="2959"/>
      <c r="C54" s="454" t="s">
        <v>2404</v>
      </c>
      <c r="D54" s="458"/>
      <c r="E54" s="456">
        <f>IF(E47&lt;G47,G47/E47-1,E47/G47-1)</f>
        <v>9.9585481751087723E-3</v>
      </c>
      <c r="F54" s="457" t="str">
        <f>IF(OR(E54&gt;=0.3,E54&lt;=-0.3),"超过30%","")</f>
        <v/>
      </c>
      <c r="G54" s="456">
        <f>IF(G47&lt;I47,I47/G47-1,G47/I47-1)</f>
        <v>2.756227372074016E-2</v>
      </c>
      <c r="H54" s="457" t="str">
        <f>IF(OR(G54&gt;=0.3,G54&lt;=-0.3),"超过30%","")</f>
        <v/>
      </c>
      <c r="I54" s="456">
        <f>IF(I47&lt;E47,E47/I47-1,I47/E47-1)</f>
        <v>3.7795302126512276E-2</v>
      </c>
      <c r="J54" s="457" t="str">
        <f>IF(OR(I54&gt;=0.3,I54&lt;=-0.3),"超过30%","")</f>
        <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v>99.5</v>
      </c>
      <c r="E59" s="469">
        <v>99.5</v>
      </c>
      <c r="F59" s="469">
        <v>99.5</v>
      </c>
      <c r="G59" s="469">
        <v>99</v>
      </c>
      <c r="H59" s="469">
        <v>99</v>
      </c>
      <c r="I59" s="469">
        <v>99</v>
      </c>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t="str">
        <f>C9</f>
        <v>住宅</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1（含）-2</v>
      </c>
      <c r="D67" s="504" t="str">
        <f t="shared" ref="D67:L67" si="21">D68&amp;"（含）"&amp;"-"&amp;E68</f>
        <v>2（含）-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v>1</v>
      </c>
      <c r="D68" s="506">
        <v>2</v>
      </c>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3045" t="s">
        <v>3125</v>
      </c>
      <c r="D88" s="3045" t="s">
        <v>3126</v>
      </c>
      <c r="E88" s="3045" t="s">
        <v>3127</v>
      </c>
      <c r="F88" s="3045" t="s">
        <v>3128</v>
      </c>
      <c r="G88" s="3045" t="s">
        <v>3129</v>
      </c>
      <c r="H88" s="3045" t="s">
        <v>3130</v>
      </c>
      <c r="I88" s="3045" t="s">
        <v>3131</v>
      </c>
      <c r="J88" s="3045" t="s">
        <v>3132</v>
      </c>
      <c r="K88" s="3051" t="s">
        <v>3133</v>
      </c>
      <c r="L88" s="3051" t="s">
        <v>3134</v>
      </c>
      <c r="M88" s="3052" t="s">
        <v>3135</v>
      </c>
      <c r="N88" s="1063"/>
      <c r="O88" s="1063"/>
      <c r="P88" s="2110"/>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5"/>
      <c r="O89" s="1065"/>
      <c r="P89" s="2110"/>
      <c r="Q89" s="461"/>
    </row>
    <row r="90" spans="1:17" s="430" customFormat="1" ht="15.75" thickTop="1">
      <c r="A90" s="510"/>
      <c r="B90" s="495" t="str">
        <f>B27</f>
        <v>楼层</v>
      </c>
      <c r="C90" s="511" t="str">
        <f>C27</f>
        <v>16/16（顶层）</v>
      </c>
      <c r="D90" s="3053" t="str">
        <f>E27</f>
        <v>低楼层/16</v>
      </c>
      <c r="E90" s="3053" t="str">
        <f>G27</f>
        <v>高楼层/16</v>
      </c>
      <c r="F90" s="511"/>
      <c r="G90" s="511"/>
      <c r="H90" s="512"/>
      <c r="I90" s="512"/>
      <c r="J90" s="512"/>
      <c r="K90" s="512"/>
      <c r="L90" s="513"/>
      <c r="M90" s="514"/>
      <c r="N90" s="1066"/>
      <c r="O90" s="1066"/>
      <c r="P90" s="2111"/>
      <c r="Q90" s="516"/>
    </row>
    <row r="91" spans="1:17" s="430" customFormat="1" ht="15.75" thickBot="1">
      <c r="A91" s="510"/>
      <c r="B91" s="500"/>
      <c r="C91" s="517">
        <v>100</v>
      </c>
      <c r="D91" s="517">
        <v>102</v>
      </c>
      <c r="E91" s="517">
        <v>104</v>
      </c>
      <c r="F91" s="517"/>
      <c r="G91" s="517"/>
      <c r="H91" s="519"/>
      <c r="I91" s="519"/>
      <c r="J91" s="519"/>
      <c r="K91" s="519"/>
      <c r="L91" s="519"/>
      <c r="M91" s="520"/>
      <c r="N91" s="1066"/>
      <c r="O91" s="1066"/>
      <c r="P91" s="2111"/>
      <c r="Q91" s="516"/>
    </row>
    <row r="92" spans="1:17" ht="15.75" thickTop="1">
      <c r="A92" s="491"/>
      <c r="B92" s="495" t="str">
        <f>B28</f>
        <v>道路级别</v>
      </c>
      <c r="C92" s="3045" t="s">
        <v>3093</v>
      </c>
      <c r="D92" s="3045" t="s">
        <v>3094</v>
      </c>
      <c r="E92" s="3045" t="s">
        <v>3095</v>
      </c>
      <c r="F92" s="3045" t="s">
        <v>3096</v>
      </c>
      <c r="G92" s="3045" t="s">
        <v>3097</v>
      </c>
      <c r="H92" s="540"/>
      <c r="I92" s="540"/>
      <c r="J92" s="540"/>
      <c r="K92" s="541"/>
      <c r="L92" s="542"/>
      <c r="M92" s="543"/>
      <c r="N92" s="1064"/>
      <c r="O92" s="1064"/>
      <c r="P92" s="2110"/>
      <c r="Q92" s="461"/>
    </row>
    <row r="93" spans="1:17" ht="15.75" thickBot="1">
      <c r="A93" s="491"/>
      <c r="B93" s="500"/>
      <c r="C93" s="517">
        <v>100</v>
      </c>
      <c r="D93" s="517">
        <v>98</v>
      </c>
      <c r="E93" s="517">
        <v>96</v>
      </c>
      <c r="F93" s="517">
        <v>94</v>
      </c>
      <c r="G93" s="517">
        <v>92</v>
      </c>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3046" t="s">
        <v>3098</v>
      </c>
      <c r="D100" s="3047" t="s">
        <v>3099</v>
      </c>
      <c r="E100" s="3048" t="s">
        <v>3100</v>
      </c>
      <c r="F100" s="3048" t="s">
        <v>3101</v>
      </c>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99</v>
      </c>
      <c r="E101" s="501">
        <f t="shared" si="26"/>
        <v>98</v>
      </c>
      <c r="F101" s="501">
        <f t="shared" si="26"/>
        <v>97</v>
      </c>
      <c r="G101" s="501">
        <f t="shared" si="26"/>
        <v>96</v>
      </c>
      <c r="H101" s="501">
        <f t="shared" si="26"/>
        <v>95</v>
      </c>
      <c r="I101" s="501">
        <f t="shared" si="26"/>
        <v>94</v>
      </c>
      <c r="J101" s="501">
        <f t="shared" si="26"/>
        <v>93</v>
      </c>
      <c r="K101" s="501">
        <f t="shared" si="26"/>
        <v>92</v>
      </c>
      <c r="L101" s="501">
        <f t="shared" si="26"/>
        <v>91</v>
      </c>
      <c r="M101" s="501">
        <f t="shared" si="26"/>
        <v>90</v>
      </c>
      <c r="N101" s="1065"/>
      <c r="O101" s="1065"/>
      <c r="P101" s="2110"/>
      <c r="Q101" s="461"/>
    </row>
    <row r="102" spans="1:17" ht="15.75" thickTop="1">
      <c r="A102" s="491"/>
      <c r="B102" s="495" t="s">
        <v>2435</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v>0</v>
      </c>
      <c r="D103" s="552">
        <v>30</v>
      </c>
      <c r="E103" s="552">
        <v>60</v>
      </c>
      <c r="F103" s="552">
        <v>90</v>
      </c>
      <c r="G103" s="552">
        <v>120</v>
      </c>
      <c r="H103" s="552">
        <v>150</v>
      </c>
      <c r="I103" s="552">
        <v>180</v>
      </c>
      <c r="J103" s="553"/>
      <c r="K103" s="553"/>
      <c r="L103" s="554"/>
      <c r="M103" s="555"/>
      <c r="N103" s="1066"/>
      <c r="O103" s="1066"/>
      <c r="P103" s="2111"/>
      <c r="Q103" s="516"/>
    </row>
    <row r="104" spans="1:17" s="430" customFormat="1" ht="15.75" thickBot="1">
      <c r="A104" s="510"/>
      <c r="B104" s="500"/>
      <c r="C104" s="517">
        <v>100</v>
      </c>
      <c r="D104" s="493">
        <v>98</v>
      </c>
      <c r="E104" s="493">
        <v>96</v>
      </c>
      <c r="F104" s="493">
        <v>94</v>
      </c>
      <c r="G104" s="493">
        <v>92</v>
      </c>
      <c r="H104" s="493">
        <v>90</v>
      </c>
      <c r="I104" s="493">
        <v>82</v>
      </c>
      <c r="J104" s="493"/>
      <c r="K104" s="493"/>
      <c r="L104" s="493"/>
      <c r="M104" s="493"/>
      <c r="N104" s="1065"/>
      <c r="O104" s="1065"/>
      <c r="P104" s="2111"/>
      <c r="Q104" s="516"/>
    </row>
    <row r="105" spans="1:17" ht="15" thickTop="1">
      <c r="A105" s="556"/>
      <c r="B105" s="495" t="s">
        <v>2436</v>
      </c>
      <c r="C105" s="3045" t="s">
        <v>3102</v>
      </c>
      <c r="D105" s="3045" t="s">
        <v>3103</v>
      </c>
      <c r="E105" s="3049" t="s">
        <v>3104</v>
      </c>
      <c r="F105" s="3049" t="s">
        <v>3105</v>
      </c>
      <c r="G105" s="3050" t="s">
        <v>3106</v>
      </c>
      <c r="H105" s="540"/>
      <c r="I105" s="540"/>
      <c r="J105" s="540"/>
      <c r="K105" s="541"/>
      <c r="L105" s="542"/>
      <c r="M105" s="543"/>
      <c r="N105" s="1064"/>
      <c r="O105" s="1064"/>
      <c r="P105" s="2110"/>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3045" t="s">
        <v>3107</v>
      </c>
      <c r="D109" s="3045" t="s">
        <v>3108</v>
      </c>
      <c r="E109" s="3045" t="s">
        <v>3109</v>
      </c>
      <c r="F109" s="3049" t="s">
        <v>3110</v>
      </c>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3045" t="s">
        <v>3111</v>
      </c>
      <c r="D114" s="3045" t="s">
        <v>3112</v>
      </c>
      <c r="E114" s="3050" t="s">
        <v>3113</v>
      </c>
      <c r="F114" s="3050" t="s">
        <v>3114</v>
      </c>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10"/>
      <c r="Q115" s="461"/>
    </row>
    <row r="116" spans="1:17" ht="15" thickTop="1">
      <c r="A116" s="556"/>
      <c r="B116" s="495" t="s">
        <v>2440</v>
      </c>
      <c r="C116" s="3045" t="s">
        <v>3115</v>
      </c>
      <c r="D116" s="3045" t="s">
        <v>3116</v>
      </c>
      <c r="E116" s="3045" t="s">
        <v>3117</v>
      </c>
      <c r="F116" s="3045" t="s">
        <v>3118</v>
      </c>
      <c r="G116" s="3045" t="s">
        <v>3119</v>
      </c>
      <c r="H116" s="540"/>
      <c r="I116" s="540"/>
      <c r="J116" s="540"/>
      <c r="K116" s="541"/>
      <c r="L116" s="542"/>
      <c r="M116" s="543"/>
      <c r="N116" s="1064"/>
      <c r="O116" s="1064"/>
      <c r="P116" s="211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10"/>
      <c r="Q117" s="461"/>
    </row>
    <row r="118" spans="1:17" ht="15" thickTop="1">
      <c r="A118" s="556"/>
      <c r="B118" s="495" t="s">
        <v>2441</v>
      </c>
      <c r="C118" s="3050" t="s">
        <v>3120</v>
      </c>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3045" t="s">
        <v>3107</v>
      </c>
      <c r="D122" s="3045" t="s">
        <v>3108</v>
      </c>
      <c r="E122" s="3045" t="s">
        <v>3109</v>
      </c>
      <c r="F122" s="3049" t="s">
        <v>3110</v>
      </c>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65"/>
      <c r="O125" s="1065"/>
      <c r="P125" s="2110"/>
      <c r="Q125" s="461"/>
    </row>
    <row r="126" spans="1:17" s="430" customFormat="1" ht="15" thickTop="1">
      <c r="A126" s="550"/>
      <c r="B126" s="495" t="str">
        <f>B44</f>
        <v>建成年份</v>
      </c>
      <c r="C126" s="511">
        <v>1996</v>
      </c>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v>100</v>
      </c>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83.16</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01" t="s">
        <v>2468</v>
      </c>
      <c r="D4" s="3302"/>
      <c r="E4" s="3303" t="s">
        <v>2469</v>
      </c>
      <c r="F4" s="3304"/>
      <c r="G4" s="3301" t="s">
        <v>2470</v>
      </c>
      <c r="H4" s="3302"/>
      <c r="I4" s="3301" t="s">
        <v>2471</v>
      </c>
      <c r="J4" s="3302"/>
      <c r="K4" s="567" t="s">
        <v>2472</v>
      </c>
      <c r="L4" s="2946"/>
      <c r="M4" s="2947"/>
      <c r="N4" s="2947"/>
      <c r="O4" s="2947"/>
      <c r="P4" s="3305" t="s">
        <v>2473</v>
      </c>
      <c r="Q4" s="3306"/>
      <c r="R4" s="3311" t="s">
        <v>2469</v>
      </c>
      <c r="S4" s="3312"/>
      <c r="T4" s="3311" t="s">
        <v>2470</v>
      </c>
      <c r="U4" s="3312"/>
      <c r="V4" s="3317" t="s">
        <v>2471</v>
      </c>
      <c r="W4" s="3317"/>
      <c r="X4" s="1541"/>
      <c r="Y4" s="3311" t="s">
        <v>2473</v>
      </c>
      <c r="Z4" s="3312"/>
      <c r="AA4" s="3298" t="s">
        <v>2469</v>
      </c>
      <c r="AB4" s="3317" t="s">
        <v>2470</v>
      </c>
      <c r="AC4" s="3298" t="s">
        <v>2471</v>
      </c>
    </row>
    <row r="5" spans="1:29" ht="15">
      <c r="A5" s="364"/>
      <c r="B5" s="365"/>
      <c r="C5" s="3320" t="s">
        <v>2364</v>
      </c>
      <c r="D5" s="3321"/>
      <c r="E5" s="3328" t="s">
        <v>2365</v>
      </c>
      <c r="F5" s="3329"/>
      <c r="G5" s="3320" t="s">
        <v>2366</v>
      </c>
      <c r="H5" s="3321"/>
      <c r="I5" s="3320" t="s">
        <v>2367</v>
      </c>
      <c r="J5" s="3321"/>
      <c r="K5" s="567"/>
      <c r="L5" s="2946"/>
      <c r="M5" s="2947"/>
      <c r="N5" s="2947"/>
      <c r="O5" s="2947"/>
      <c r="P5" s="3307"/>
      <c r="Q5" s="3308"/>
      <c r="R5" s="3313"/>
      <c r="S5" s="3314"/>
      <c r="T5" s="3313"/>
      <c r="U5" s="3314"/>
      <c r="V5" s="3317"/>
      <c r="W5" s="3317"/>
      <c r="X5" s="1541"/>
      <c r="Y5" s="3313"/>
      <c r="Z5" s="3314"/>
      <c r="AA5" s="3299"/>
      <c r="AB5" s="3317"/>
      <c r="AC5" s="3299"/>
    </row>
    <row r="6" spans="1:29" ht="15.75" thickBot="1">
      <c r="A6" s="366"/>
      <c r="B6" s="367"/>
      <c r="C6" s="3318" t="s">
        <v>2368</v>
      </c>
      <c r="D6" s="3319"/>
      <c r="E6" s="3326" t="s">
        <v>2368</v>
      </c>
      <c r="F6" s="3327"/>
      <c r="G6" s="3318" t="s">
        <v>2368</v>
      </c>
      <c r="H6" s="3319"/>
      <c r="I6" s="3318" t="s">
        <v>2368</v>
      </c>
      <c r="J6" s="3319"/>
      <c r="K6" s="567" t="s">
        <v>2369</v>
      </c>
      <c r="L6" s="2946"/>
      <c r="M6" s="2947"/>
      <c r="N6" s="2947"/>
      <c r="O6" s="2947"/>
      <c r="P6" s="3309"/>
      <c r="Q6" s="3310"/>
      <c r="R6" s="3313"/>
      <c r="S6" s="3314"/>
      <c r="T6" s="3315"/>
      <c r="U6" s="3316"/>
      <c r="V6" s="3317"/>
      <c r="W6" s="3317"/>
      <c r="X6" s="1541"/>
      <c r="Y6" s="3315"/>
      <c r="Z6" s="3316"/>
      <c r="AA6" s="3300"/>
      <c r="AB6" s="3317"/>
      <c r="AC6" s="3300"/>
    </row>
    <row r="7" spans="1:29" s="113" customFormat="1" ht="15.75" thickBot="1">
      <c r="A7" s="368" t="s">
        <v>2370</v>
      </c>
      <c r="B7" s="369"/>
      <c r="C7" s="370">
        <f>'数据-取费表'!B2</f>
        <v>44125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22" t="s">
        <v>2371</v>
      </c>
      <c r="Q7" s="3324"/>
      <c r="R7" s="710" t="s">
        <v>17</v>
      </c>
      <c r="S7" s="711">
        <f t="shared" ref="S7:S15" si="0">F7</f>
        <v>0</v>
      </c>
      <c r="T7" s="710" t="s">
        <v>17</v>
      </c>
      <c r="U7" s="711">
        <f t="shared" ref="U7:U15" si="1">H7</f>
        <v>0</v>
      </c>
      <c r="V7" s="710" t="s">
        <v>17</v>
      </c>
      <c r="W7" s="711">
        <f t="shared" ref="W7:W15" si="2">J7</f>
        <v>0</v>
      </c>
      <c r="X7" s="712"/>
      <c r="Y7" s="3322" t="s">
        <v>2371</v>
      </c>
      <c r="Z7" s="3323"/>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22" t="s">
        <v>2374</v>
      </c>
      <c r="Q8" s="3323"/>
      <c r="R8" s="710" t="s">
        <v>17</v>
      </c>
      <c r="S8" s="711">
        <f t="shared" si="0"/>
        <v>0</v>
      </c>
      <c r="T8" s="710" t="s">
        <v>17</v>
      </c>
      <c r="U8" s="711">
        <f t="shared" si="1"/>
        <v>0</v>
      </c>
      <c r="V8" s="710" t="s">
        <v>17</v>
      </c>
      <c r="W8" s="711">
        <f t="shared" si="2"/>
        <v>0</v>
      </c>
      <c r="X8" s="712"/>
      <c r="Y8" s="3322" t="s">
        <v>2374</v>
      </c>
      <c r="Z8" s="3323"/>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7"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7"/>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97"/>
      <c r="Q11" s="1529"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7"/>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7"/>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7"/>
      <c r="Q14" s="1529">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95" t="s">
        <v>2382</v>
      </c>
      <c r="Q15" s="1538" t="str">
        <f t="shared" si="6"/>
        <v>商业繁华度</v>
      </c>
      <c r="R15" s="714" t="s">
        <v>17</v>
      </c>
      <c r="S15" s="715">
        <f t="shared" si="0"/>
        <v>100</v>
      </c>
      <c r="T15" s="714" t="s">
        <v>17</v>
      </c>
      <c r="U15" s="715">
        <f t="shared" si="1"/>
        <v>100</v>
      </c>
      <c r="V15" s="714" t="s">
        <v>17</v>
      </c>
      <c r="W15" s="715">
        <f t="shared" si="2"/>
        <v>100</v>
      </c>
      <c r="X15" s="1541"/>
      <c r="Y15" s="3288"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96"/>
      <c r="Q16" s="1538"/>
      <c r="R16" s="714"/>
      <c r="S16" s="715"/>
      <c r="T16" s="714"/>
      <c r="U16" s="715"/>
      <c r="V16" s="714"/>
      <c r="W16" s="715"/>
      <c r="X16" s="1541"/>
      <c r="Y16" s="328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96"/>
      <c r="Q17" s="1538" t="str">
        <f>B17</f>
        <v>交通便捷度</v>
      </c>
      <c r="R17" s="714" t="s">
        <v>17</v>
      </c>
      <c r="S17" s="715">
        <f>F17</f>
        <v>100</v>
      </c>
      <c r="T17" s="714" t="s">
        <v>17</v>
      </c>
      <c r="U17" s="715">
        <f>H17</f>
        <v>100</v>
      </c>
      <c r="V17" s="714" t="s">
        <v>17</v>
      </c>
      <c r="W17" s="715">
        <f>J17</f>
        <v>100</v>
      </c>
      <c r="X17" s="1541"/>
      <c r="Y17" s="328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96"/>
      <c r="Q18" s="1538"/>
      <c r="R18" s="714"/>
      <c r="S18" s="715"/>
      <c r="T18" s="714"/>
      <c r="U18" s="715"/>
      <c r="V18" s="714"/>
      <c r="W18" s="715"/>
      <c r="X18" s="1541"/>
      <c r="Y18" s="3289"/>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96"/>
      <c r="Q19" s="1538" t="str">
        <f>B19</f>
        <v>公共配套设施</v>
      </c>
      <c r="R19" s="714" t="s">
        <v>17</v>
      </c>
      <c r="S19" s="715">
        <f>F19</f>
        <v>100</v>
      </c>
      <c r="T19" s="714" t="s">
        <v>17</v>
      </c>
      <c r="U19" s="715">
        <f>H19</f>
        <v>100</v>
      </c>
      <c r="V19" s="714" t="s">
        <v>17</v>
      </c>
      <c r="W19" s="715">
        <f>J19</f>
        <v>100</v>
      </c>
      <c r="X19" s="1541"/>
      <c r="Y19" s="328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96"/>
      <c r="Q20" s="1538"/>
      <c r="R20" s="714"/>
      <c r="S20" s="715"/>
      <c r="T20" s="714"/>
      <c r="U20" s="715"/>
      <c r="V20" s="714"/>
      <c r="W20" s="715"/>
      <c r="X20" s="1541"/>
      <c r="Y20" s="3289"/>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96"/>
      <c r="Q21" s="1538" t="str">
        <f>B21</f>
        <v>基础设施水平</v>
      </c>
      <c r="R21" s="714" t="s">
        <v>17</v>
      </c>
      <c r="S21" s="715">
        <f>F21</f>
        <v>100</v>
      </c>
      <c r="T21" s="714" t="s">
        <v>17</v>
      </c>
      <c r="U21" s="715">
        <f>H21</f>
        <v>100</v>
      </c>
      <c r="V21" s="714" t="s">
        <v>17</v>
      </c>
      <c r="W21" s="715">
        <f>J21</f>
        <v>100</v>
      </c>
      <c r="X21" s="1541"/>
      <c r="Y21" s="328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96"/>
      <c r="Q22" s="1538"/>
      <c r="R22" s="714"/>
      <c r="S22" s="715"/>
      <c r="T22" s="714"/>
      <c r="U22" s="715"/>
      <c r="V22" s="714"/>
      <c r="W22" s="715"/>
      <c r="X22" s="1541"/>
      <c r="Y22" s="328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96"/>
      <c r="Q23" s="1538" t="str">
        <f>B23</f>
        <v>自然及人文环境</v>
      </c>
      <c r="R23" s="714" t="s">
        <v>17</v>
      </c>
      <c r="S23" s="715">
        <f>F23</f>
        <v>100</v>
      </c>
      <c r="T23" s="714" t="s">
        <v>17</v>
      </c>
      <c r="U23" s="715">
        <f>H23</f>
        <v>100</v>
      </c>
      <c r="V23" s="714" t="s">
        <v>17</v>
      </c>
      <c r="W23" s="715">
        <f>J23</f>
        <v>100</v>
      </c>
      <c r="X23" s="1541"/>
      <c r="Y23" s="328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96"/>
      <c r="Q24" s="1538"/>
      <c r="R24" s="714"/>
      <c r="S24" s="715"/>
      <c r="T24" s="714"/>
      <c r="U24" s="715"/>
      <c r="V24" s="714"/>
      <c r="W24" s="715"/>
      <c r="X24" s="1541"/>
      <c r="Y24" s="3289"/>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96"/>
      <c r="Q25" s="1538" t="str">
        <f t="shared" ref="Q25:Q46" si="11">B25</f>
        <v>临街状况</v>
      </c>
      <c r="R25" s="714" t="s">
        <v>17</v>
      </c>
      <c r="S25" s="715">
        <f>F25</f>
        <v>100</v>
      </c>
      <c r="T25" s="714" t="s">
        <v>17</v>
      </c>
      <c r="U25" s="715">
        <f>H25</f>
        <v>100</v>
      </c>
      <c r="V25" s="714" t="s">
        <v>17</v>
      </c>
      <c r="W25" s="715">
        <f>J25</f>
        <v>100</v>
      </c>
      <c r="X25" s="1541"/>
      <c r="Y25" s="3289"/>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96"/>
      <c r="Q26" s="1538" t="str">
        <f t="shared" si="11"/>
        <v>平面位置/可视性</v>
      </c>
      <c r="R26" s="714" t="s">
        <v>17</v>
      </c>
      <c r="S26" s="715">
        <f>F26</f>
        <v>100</v>
      </c>
      <c r="T26" s="714" t="s">
        <v>17</v>
      </c>
      <c r="U26" s="715">
        <f>H26</f>
        <v>100</v>
      </c>
      <c r="V26" s="714" t="s">
        <v>17</v>
      </c>
      <c r="W26" s="715">
        <f>J26</f>
        <v>100</v>
      </c>
      <c r="X26" s="1541"/>
      <c r="Y26" s="3289"/>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96"/>
      <c r="Q27" s="1529" t="str">
        <f t="shared" si="11"/>
        <v>人流量</v>
      </c>
      <c r="R27" s="710" t="s">
        <v>17</v>
      </c>
      <c r="S27" s="711">
        <f>F27</f>
        <v>100</v>
      </c>
      <c r="T27" s="710" t="s">
        <v>17</v>
      </c>
      <c r="U27" s="711">
        <f>H27</f>
        <v>100</v>
      </c>
      <c r="V27" s="710" t="s">
        <v>17</v>
      </c>
      <c r="W27" s="711">
        <f>J27</f>
        <v>100</v>
      </c>
      <c r="X27" s="712"/>
      <c r="Y27" s="3289"/>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9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96"/>
      <c r="Q29" s="1538">
        <f t="shared" si="11"/>
        <v>111</v>
      </c>
      <c r="R29" s="714" t="s">
        <v>17</v>
      </c>
      <c r="S29" s="715">
        <f t="shared" si="12"/>
        <v>100</v>
      </c>
      <c r="T29" s="714" t="s">
        <v>17</v>
      </c>
      <c r="U29" s="715">
        <f t="shared" si="13"/>
        <v>100</v>
      </c>
      <c r="V29" s="714" t="s">
        <v>17</v>
      </c>
      <c r="W29" s="715">
        <f t="shared" si="14"/>
        <v>100</v>
      </c>
      <c r="X29" s="1541"/>
      <c r="Y29" s="328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96"/>
      <c r="Q30" s="1538">
        <f t="shared" si="11"/>
        <v>111</v>
      </c>
      <c r="R30" s="714" t="s">
        <v>17</v>
      </c>
      <c r="S30" s="715">
        <f t="shared" si="12"/>
        <v>100</v>
      </c>
      <c r="T30" s="714" t="s">
        <v>17</v>
      </c>
      <c r="U30" s="715">
        <f t="shared" si="13"/>
        <v>100</v>
      </c>
      <c r="V30" s="714" t="s">
        <v>17</v>
      </c>
      <c r="W30" s="715">
        <f t="shared" si="14"/>
        <v>100</v>
      </c>
      <c r="X30" s="1541"/>
      <c r="Y30" s="328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96"/>
      <c r="Q31" s="1538">
        <f t="shared" si="11"/>
        <v>111</v>
      </c>
      <c r="R31" s="714" t="s">
        <v>17</v>
      </c>
      <c r="S31" s="715">
        <f t="shared" si="12"/>
        <v>100</v>
      </c>
      <c r="T31" s="714" t="s">
        <v>17</v>
      </c>
      <c r="U31" s="715">
        <f t="shared" si="13"/>
        <v>100</v>
      </c>
      <c r="V31" s="714" t="s">
        <v>17</v>
      </c>
      <c r="W31" s="715">
        <f t="shared" si="14"/>
        <v>100</v>
      </c>
      <c r="X31" s="1541"/>
      <c r="Y31" s="3289"/>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90" t="s">
        <v>2387</v>
      </c>
      <c r="Q32" s="1538" t="str">
        <f t="shared" si="11"/>
        <v>商业类型</v>
      </c>
      <c r="R32" s="714" t="s">
        <v>17</v>
      </c>
      <c r="S32" s="715">
        <f t="shared" si="12"/>
        <v>100</v>
      </c>
      <c r="T32" s="714" t="s">
        <v>17</v>
      </c>
      <c r="U32" s="715">
        <f t="shared" si="13"/>
        <v>100</v>
      </c>
      <c r="V32" s="714" t="s">
        <v>17</v>
      </c>
      <c r="W32" s="715">
        <f t="shared" si="14"/>
        <v>100</v>
      </c>
      <c r="X32" s="1541"/>
      <c r="Y32" s="3293"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91"/>
      <c r="Q33" s="716" t="str">
        <f t="shared" si="11"/>
        <v>项目建筑规模</v>
      </c>
      <c r="R33" s="717" t="s">
        <v>17</v>
      </c>
      <c r="S33" s="718" t="e">
        <f t="shared" si="12"/>
        <v>#N/A</v>
      </c>
      <c r="T33" s="717" t="s">
        <v>17</v>
      </c>
      <c r="U33" s="718" t="e">
        <f t="shared" si="13"/>
        <v>#N/A</v>
      </c>
      <c r="V33" s="717" t="s">
        <v>17</v>
      </c>
      <c r="W33" s="718" t="e">
        <f t="shared" si="14"/>
        <v>#N/A</v>
      </c>
      <c r="X33" s="719"/>
      <c r="Y33" s="3293"/>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91"/>
      <c r="Q34" s="1538" t="str">
        <f t="shared" si="11"/>
        <v>建筑结构</v>
      </c>
      <c r="R34" s="714" t="s">
        <v>17</v>
      </c>
      <c r="S34" s="715">
        <f t="shared" si="12"/>
        <v>100</v>
      </c>
      <c r="T34" s="714" t="s">
        <v>17</v>
      </c>
      <c r="U34" s="715">
        <f t="shared" si="13"/>
        <v>100</v>
      </c>
      <c r="V34" s="714" t="s">
        <v>17</v>
      </c>
      <c r="W34" s="715">
        <f t="shared" si="14"/>
        <v>100</v>
      </c>
      <c r="X34" s="1541"/>
      <c r="Y34" s="3293"/>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91"/>
      <c r="Q35" s="1538" t="str">
        <f t="shared" si="11"/>
        <v>公共部分装修</v>
      </c>
      <c r="R35" s="714" t="s">
        <v>17</v>
      </c>
      <c r="S35" s="715">
        <f t="shared" si="12"/>
        <v>100</v>
      </c>
      <c r="T35" s="714" t="s">
        <v>17</v>
      </c>
      <c r="U35" s="715">
        <f t="shared" si="13"/>
        <v>100</v>
      </c>
      <c r="V35" s="714" t="s">
        <v>17</v>
      </c>
      <c r="W35" s="715">
        <f t="shared" si="14"/>
        <v>100</v>
      </c>
      <c r="X35" s="1541"/>
      <c r="Y35" s="3293"/>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91"/>
      <c r="Q36" s="1538" t="str">
        <f t="shared" si="11"/>
        <v>成新度</v>
      </c>
      <c r="R36" s="714" t="s">
        <v>17</v>
      </c>
      <c r="S36" s="715" t="e">
        <f t="shared" si="12"/>
        <v>#N/A</v>
      </c>
      <c r="T36" s="714" t="s">
        <v>17</v>
      </c>
      <c r="U36" s="715" t="e">
        <f t="shared" si="13"/>
        <v>#N/A</v>
      </c>
      <c r="V36" s="714" t="s">
        <v>17</v>
      </c>
      <c r="W36" s="715" t="e">
        <f t="shared" si="14"/>
        <v>#N/A</v>
      </c>
      <c r="X36" s="1541"/>
      <c r="Y36" s="3293"/>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91"/>
      <c r="Q37" s="1529" t="str">
        <f t="shared" si="11"/>
        <v>市政基础设施</v>
      </c>
      <c r="R37" s="710" t="s">
        <v>17</v>
      </c>
      <c r="S37" s="711">
        <f t="shared" si="12"/>
        <v>100</v>
      </c>
      <c r="T37" s="710" t="s">
        <v>17</v>
      </c>
      <c r="U37" s="711">
        <f t="shared" si="13"/>
        <v>100</v>
      </c>
      <c r="V37" s="710" t="s">
        <v>17</v>
      </c>
      <c r="W37" s="711">
        <f t="shared" si="14"/>
        <v>100</v>
      </c>
      <c r="X37" s="712"/>
      <c r="Y37" s="3293"/>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91" t="s">
        <v>2387</v>
      </c>
      <c r="Q38" s="1538" t="str">
        <f t="shared" si="11"/>
        <v>业态</v>
      </c>
      <c r="R38" s="714" t="s">
        <v>17</v>
      </c>
      <c r="S38" s="715">
        <f t="shared" si="12"/>
        <v>100</v>
      </c>
      <c r="T38" s="714" t="s">
        <v>17</v>
      </c>
      <c r="U38" s="715">
        <f t="shared" si="13"/>
        <v>100</v>
      </c>
      <c r="V38" s="714" t="s">
        <v>17</v>
      </c>
      <c r="W38" s="715">
        <f t="shared" si="14"/>
        <v>100</v>
      </c>
      <c r="X38" s="1541"/>
      <c r="Y38" s="3293"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91"/>
      <c r="Q39" s="1538" t="str">
        <f t="shared" si="11"/>
        <v>层高</v>
      </c>
      <c r="R39" s="714" t="s">
        <v>17</v>
      </c>
      <c r="S39" s="715">
        <f t="shared" si="12"/>
        <v>100</v>
      </c>
      <c r="T39" s="714" t="s">
        <v>17</v>
      </c>
      <c r="U39" s="715">
        <f t="shared" si="13"/>
        <v>100</v>
      </c>
      <c r="V39" s="714" t="s">
        <v>17</v>
      </c>
      <c r="W39" s="715">
        <f t="shared" si="14"/>
        <v>100</v>
      </c>
      <c r="X39" s="1541"/>
      <c r="Y39" s="3293"/>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91"/>
      <c r="Q40" s="1538" t="str">
        <f t="shared" si="11"/>
        <v>单套建筑面积</v>
      </c>
      <c r="R40" s="714" t="s">
        <v>17</v>
      </c>
      <c r="S40" s="715">
        <f t="shared" si="12"/>
        <v>100</v>
      </c>
      <c r="T40" s="714" t="s">
        <v>17</v>
      </c>
      <c r="U40" s="715">
        <f t="shared" si="13"/>
        <v>100</v>
      </c>
      <c r="V40" s="714" t="s">
        <v>17</v>
      </c>
      <c r="W40" s="715">
        <f t="shared" si="14"/>
        <v>100</v>
      </c>
      <c r="X40" s="1541"/>
      <c r="Y40" s="3293"/>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91"/>
      <c r="Q41" s="716" t="str">
        <f t="shared" si="11"/>
        <v>进深比</v>
      </c>
      <c r="R41" s="717" t="s">
        <v>17</v>
      </c>
      <c r="S41" s="718">
        <f t="shared" si="12"/>
        <v>100</v>
      </c>
      <c r="T41" s="717" t="s">
        <v>17</v>
      </c>
      <c r="U41" s="718">
        <f t="shared" si="13"/>
        <v>100</v>
      </c>
      <c r="V41" s="717" t="s">
        <v>17</v>
      </c>
      <c r="W41" s="718">
        <f t="shared" si="14"/>
        <v>100</v>
      </c>
      <c r="X41" s="719"/>
      <c r="Y41" s="3293"/>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91"/>
      <c r="Q42" s="1538" t="str">
        <f t="shared" si="11"/>
        <v>内部装修</v>
      </c>
      <c r="R42" s="714" t="s">
        <v>17</v>
      </c>
      <c r="S42" s="715">
        <f t="shared" si="12"/>
        <v>100</v>
      </c>
      <c r="T42" s="714" t="s">
        <v>17</v>
      </c>
      <c r="U42" s="715">
        <f t="shared" si="13"/>
        <v>100</v>
      </c>
      <c r="V42" s="714" t="s">
        <v>17</v>
      </c>
      <c r="W42" s="715">
        <f t="shared" si="14"/>
        <v>100</v>
      </c>
      <c r="X42" s="1541"/>
      <c r="Y42" s="3293"/>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91"/>
      <c r="Q43" s="1538" t="str">
        <f t="shared" si="11"/>
        <v>内部装修维护情况</v>
      </c>
      <c r="R43" s="714" t="s">
        <v>17</v>
      </c>
      <c r="S43" s="715">
        <f t="shared" si="12"/>
        <v>100</v>
      </c>
      <c r="T43" s="714" t="s">
        <v>17</v>
      </c>
      <c r="U43" s="715">
        <f t="shared" si="13"/>
        <v>100</v>
      </c>
      <c r="V43" s="714" t="s">
        <v>17</v>
      </c>
      <c r="W43" s="715">
        <f t="shared" si="14"/>
        <v>100</v>
      </c>
      <c r="X43" s="1541"/>
      <c r="Y43" s="329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91"/>
      <c r="Q44" s="1529">
        <f t="shared" si="11"/>
        <v>111</v>
      </c>
      <c r="R44" s="710" t="s">
        <v>17</v>
      </c>
      <c r="S44" s="711">
        <f t="shared" si="12"/>
        <v>100</v>
      </c>
      <c r="T44" s="710" t="s">
        <v>17</v>
      </c>
      <c r="U44" s="711">
        <f t="shared" si="13"/>
        <v>100</v>
      </c>
      <c r="V44" s="710" t="s">
        <v>17</v>
      </c>
      <c r="W44" s="711">
        <f t="shared" si="14"/>
        <v>100</v>
      </c>
      <c r="X44" s="712"/>
      <c r="Y44" s="329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91"/>
      <c r="Q45" s="1538">
        <f t="shared" si="11"/>
        <v>111</v>
      </c>
      <c r="R45" s="714" t="s">
        <v>17</v>
      </c>
      <c r="S45" s="715">
        <f t="shared" si="12"/>
        <v>100</v>
      </c>
      <c r="T45" s="714" t="s">
        <v>17</v>
      </c>
      <c r="U45" s="715">
        <f t="shared" si="13"/>
        <v>100</v>
      </c>
      <c r="V45" s="714" t="s">
        <v>17</v>
      </c>
      <c r="W45" s="715">
        <f t="shared" si="14"/>
        <v>100</v>
      </c>
      <c r="X45" s="1541"/>
      <c r="Y45" s="329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92"/>
      <c r="Q46" s="1538">
        <f t="shared" si="11"/>
        <v>111</v>
      </c>
      <c r="R46" s="714" t="s">
        <v>17</v>
      </c>
      <c r="S46" s="715">
        <f t="shared" si="12"/>
        <v>100</v>
      </c>
      <c r="T46" s="714" t="s">
        <v>17</v>
      </c>
      <c r="U46" s="715">
        <f t="shared" si="13"/>
        <v>100</v>
      </c>
      <c r="V46" s="714" t="s">
        <v>17</v>
      </c>
      <c r="W46" s="715">
        <f t="shared" si="14"/>
        <v>100</v>
      </c>
      <c r="X46" s="1541"/>
      <c r="Y46" s="3294"/>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86" t="str">
        <f>A47</f>
        <v>成交单价（元/平方米）</v>
      </c>
      <c r="Q47" s="3286"/>
      <c r="R47" s="3317">
        <f>E47</f>
        <v>0</v>
      </c>
      <c r="S47" s="3317"/>
      <c r="T47" s="3317">
        <f>G47</f>
        <v>0</v>
      </c>
      <c r="U47" s="3317"/>
      <c r="V47" s="3317">
        <f>I47</f>
        <v>0</v>
      </c>
      <c r="W47" s="3317"/>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石景山法院：</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估价对象为北京市房地产，为所有。根据《国有土地使用证》[]，估价对象（分摊）出让国有建设用地使用权面积为0平方米，建筑面积为83.16平方米。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估价对象为北京市房地产,属开发建设的居住项目，该项目尚在开发建设中。根据《国有土地使用证》[]，估价对象（分摊）出让国有建设用地使用权面积为0平方米，规划建筑面积为83.16平方米。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2020年10月21日（评估专业人员实地查勘之日）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83.16</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01" t="s">
        <v>2468</v>
      </c>
      <c r="D4" s="3302"/>
      <c r="E4" s="3303" t="s">
        <v>2469</v>
      </c>
      <c r="F4" s="3304"/>
      <c r="G4" s="3301" t="s">
        <v>2470</v>
      </c>
      <c r="H4" s="3302"/>
      <c r="I4" s="3301" t="s">
        <v>2471</v>
      </c>
      <c r="J4" s="3302"/>
      <c r="K4" s="567" t="s">
        <v>2472</v>
      </c>
      <c r="L4" s="2946"/>
      <c r="M4" s="2947"/>
      <c r="N4" s="2947"/>
      <c r="O4" s="2947"/>
      <c r="P4" s="3336" t="s">
        <v>2473</v>
      </c>
      <c r="Q4" s="3337"/>
      <c r="R4" s="3340" t="s">
        <v>2469</v>
      </c>
      <c r="S4" s="3341"/>
      <c r="T4" s="3340" t="s">
        <v>2470</v>
      </c>
      <c r="U4" s="3341"/>
      <c r="V4" s="3342" t="s">
        <v>2471</v>
      </c>
      <c r="W4" s="3342"/>
      <c r="X4" s="2146"/>
      <c r="Y4" s="3340" t="s">
        <v>2473</v>
      </c>
      <c r="Z4" s="3341"/>
      <c r="AA4" s="3344" t="s">
        <v>2469</v>
      </c>
      <c r="AB4" s="3344" t="s">
        <v>2470</v>
      </c>
      <c r="AC4" s="3333" t="s">
        <v>2471</v>
      </c>
    </row>
    <row r="5" spans="1:29" ht="15">
      <c r="A5" s="364"/>
      <c r="B5" s="365"/>
      <c r="C5" s="3320" t="s">
        <v>2364</v>
      </c>
      <c r="D5" s="3321"/>
      <c r="E5" s="3328" t="s">
        <v>2365</v>
      </c>
      <c r="F5" s="3329"/>
      <c r="G5" s="3320" t="s">
        <v>2366</v>
      </c>
      <c r="H5" s="3321"/>
      <c r="I5" s="3320" t="s">
        <v>2367</v>
      </c>
      <c r="J5" s="3321"/>
      <c r="K5" s="567"/>
      <c r="L5" s="2946"/>
      <c r="M5" s="2947"/>
      <c r="N5" s="2947"/>
      <c r="O5" s="2947"/>
      <c r="P5" s="3338"/>
      <c r="Q5" s="3308"/>
      <c r="R5" s="3313"/>
      <c r="S5" s="3314"/>
      <c r="T5" s="3313"/>
      <c r="U5" s="3314"/>
      <c r="V5" s="3317"/>
      <c r="W5" s="3317"/>
      <c r="X5" s="1541"/>
      <c r="Y5" s="3313"/>
      <c r="Z5" s="3314"/>
      <c r="AA5" s="3299"/>
      <c r="AB5" s="3299"/>
      <c r="AC5" s="3334"/>
    </row>
    <row r="6" spans="1:29" ht="15.75" thickBot="1">
      <c r="A6" s="366"/>
      <c r="B6" s="367"/>
      <c r="C6" s="3318" t="s">
        <v>2368</v>
      </c>
      <c r="D6" s="3319"/>
      <c r="E6" s="3326" t="s">
        <v>2368</v>
      </c>
      <c r="F6" s="3327"/>
      <c r="G6" s="3318" t="s">
        <v>2368</v>
      </c>
      <c r="H6" s="3319"/>
      <c r="I6" s="3318" t="s">
        <v>2368</v>
      </c>
      <c r="J6" s="3319"/>
      <c r="K6" s="567" t="s">
        <v>2369</v>
      </c>
      <c r="L6" s="2946"/>
      <c r="M6" s="2947"/>
      <c r="N6" s="2947"/>
      <c r="O6" s="2947"/>
      <c r="P6" s="3339"/>
      <c r="Q6" s="3310"/>
      <c r="R6" s="3313"/>
      <c r="S6" s="3314"/>
      <c r="T6" s="3315"/>
      <c r="U6" s="3316"/>
      <c r="V6" s="3317"/>
      <c r="W6" s="3317"/>
      <c r="X6" s="1541"/>
      <c r="Y6" s="3315"/>
      <c r="Z6" s="3316"/>
      <c r="AA6" s="3300"/>
      <c r="AB6" s="3300"/>
      <c r="AC6" s="3335"/>
    </row>
    <row r="7" spans="1:29" s="113" customFormat="1" ht="15.75" thickBot="1">
      <c r="A7" s="368" t="s">
        <v>2370</v>
      </c>
      <c r="B7" s="369"/>
      <c r="C7" s="370">
        <f>'数据-取费表'!B2</f>
        <v>44125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43" t="s">
        <v>2371</v>
      </c>
      <c r="Q7" s="3324"/>
      <c r="R7" s="710" t="s">
        <v>17</v>
      </c>
      <c r="S7" s="711">
        <f t="shared" ref="S7:S15" si="0">F7</f>
        <v>0</v>
      </c>
      <c r="T7" s="710" t="s">
        <v>17</v>
      </c>
      <c r="U7" s="711">
        <f t="shared" ref="U7:U15" si="1">H7</f>
        <v>0</v>
      </c>
      <c r="V7" s="710" t="s">
        <v>17</v>
      </c>
      <c r="W7" s="711">
        <f t="shared" ref="W7:W15" si="2">J7</f>
        <v>0</v>
      </c>
      <c r="X7" s="712"/>
      <c r="Y7" s="3322" t="s">
        <v>2371</v>
      </c>
      <c r="Z7" s="3323"/>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43" t="s">
        <v>2374</v>
      </c>
      <c r="Q8" s="3323"/>
      <c r="R8" s="710" t="s">
        <v>17</v>
      </c>
      <c r="S8" s="711">
        <f t="shared" si="0"/>
        <v>0</v>
      </c>
      <c r="T8" s="710" t="s">
        <v>17</v>
      </c>
      <c r="U8" s="711">
        <f t="shared" si="1"/>
        <v>0</v>
      </c>
      <c r="V8" s="710" t="s">
        <v>17</v>
      </c>
      <c r="W8" s="711">
        <f t="shared" si="2"/>
        <v>0</v>
      </c>
      <c r="X8" s="712"/>
      <c r="Y8" s="3322" t="s">
        <v>2374</v>
      </c>
      <c r="Z8" s="3323"/>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7"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7"/>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97"/>
      <c r="Q11" s="1529"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7"/>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7"/>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7"/>
      <c r="Q14" s="1529">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95" t="s">
        <v>2382</v>
      </c>
      <c r="Q15" s="1538" t="str">
        <f t="shared" si="6"/>
        <v>办公集聚程度</v>
      </c>
      <c r="R15" s="714" t="s">
        <v>17</v>
      </c>
      <c r="S15" s="715">
        <f t="shared" si="0"/>
        <v>100</v>
      </c>
      <c r="T15" s="714" t="s">
        <v>17</v>
      </c>
      <c r="U15" s="715">
        <f t="shared" si="1"/>
        <v>100</v>
      </c>
      <c r="V15" s="714" t="s">
        <v>17</v>
      </c>
      <c r="W15" s="715">
        <f t="shared" si="2"/>
        <v>100</v>
      </c>
      <c r="X15" s="1541"/>
      <c r="Y15" s="3288"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96"/>
      <c r="Q16" s="1538"/>
      <c r="R16" s="714"/>
      <c r="S16" s="715"/>
      <c r="T16" s="714"/>
      <c r="U16" s="715"/>
      <c r="V16" s="714"/>
      <c r="W16" s="715"/>
      <c r="X16" s="1541"/>
      <c r="Y16" s="328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96"/>
      <c r="Q17" s="1538" t="str">
        <f>B17</f>
        <v>交通便捷度</v>
      </c>
      <c r="R17" s="714" t="s">
        <v>17</v>
      </c>
      <c r="S17" s="715">
        <f>F17</f>
        <v>100</v>
      </c>
      <c r="T17" s="714" t="s">
        <v>17</v>
      </c>
      <c r="U17" s="715">
        <f>H17</f>
        <v>100</v>
      </c>
      <c r="V17" s="714" t="s">
        <v>17</v>
      </c>
      <c r="W17" s="715">
        <f>J17</f>
        <v>100</v>
      </c>
      <c r="X17" s="1541"/>
      <c r="Y17" s="328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96"/>
      <c r="Q18" s="1538"/>
      <c r="R18" s="714"/>
      <c r="S18" s="715"/>
      <c r="T18" s="714"/>
      <c r="U18" s="715"/>
      <c r="V18" s="714"/>
      <c r="W18" s="715"/>
      <c r="X18" s="1541"/>
      <c r="Y18" s="3289"/>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96"/>
      <c r="Q19" s="1538" t="str">
        <f>B19</f>
        <v>公共配套设施</v>
      </c>
      <c r="R19" s="714" t="s">
        <v>17</v>
      </c>
      <c r="S19" s="715">
        <f>F19</f>
        <v>100</v>
      </c>
      <c r="T19" s="714" t="s">
        <v>17</v>
      </c>
      <c r="U19" s="715">
        <f>H19</f>
        <v>100</v>
      </c>
      <c r="V19" s="714" t="s">
        <v>17</v>
      </c>
      <c r="W19" s="715">
        <f>J19</f>
        <v>100</v>
      </c>
      <c r="X19" s="1541"/>
      <c r="Y19" s="328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96"/>
      <c r="Q20" s="1538"/>
      <c r="R20" s="714"/>
      <c r="S20" s="715"/>
      <c r="T20" s="714"/>
      <c r="U20" s="715"/>
      <c r="V20" s="714"/>
      <c r="W20" s="715"/>
      <c r="X20" s="1541"/>
      <c r="Y20" s="3289"/>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96"/>
      <c r="Q21" s="1538" t="str">
        <f>B21</f>
        <v>基础设施水平</v>
      </c>
      <c r="R21" s="714" t="s">
        <v>17</v>
      </c>
      <c r="S21" s="715">
        <f>F21</f>
        <v>100</v>
      </c>
      <c r="T21" s="714" t="s">
        <v>17</v>
      </c>
      <c r="U21" s="715">
        <f>H21</f>
        <v>100</v>
      </c>
      <c r="V21" s="714" t="s">
        <v>17</v>
      </c>
      <c r="W21" s="715">
        <f>J21</f>
        <v>100</v>
      </c>
      <c r="X21" s="1541"/>
      <c r="Y21" s="328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96"/>
      <c r="Q22" s="1538"/>
      <c r="R22" s="714"/>
      <c r="S22" s="715"/>
      <c r="T22" s="714"/>
      <c r="U22" s="715"/>
      <c r="V22" s="714"/>
      <c r="W22" s="715"/>
      <c r="X22" s="1541"/>
      <c r="Y22" s="3289"/>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96"/>
      <c r="Q23" s="1538" t="str">
        <f>B23</f>
        <v>环境质量</v>
      </c>
      <c r="R23" s="714" t="s">
        <v>17</v>
      </c>
      <c r="S23" s="715">
        <f>F23</f>
        <v>100</v>
      </c>
      <c r="T23" s="714" t="s">
        <v>17</v>
      </c>
      <c r="U23" s="715">
        <f>H23</f>
        <v>100</v>
      </c>
      <c r="V23" s="714" t="s">
        <v>17</v>
      </c>
      <c r="W23" s="715">
        <f>J23</f>
        <v>100</v>
      </c>
      <c r="X23" s="1541"/>
      <c r="Y23" s="328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96"/>
      <c r="Q24" s="1538"/>
      <c r="R24" s="714"/>
      <c r="S24" s="715"/>
      <c r="T24" s="714"/>
      <c r="U24" s="715"/>
      <c r="V24" s="714"/>
      <c r="W24" s="715"/>
      <c r="X24" s="1541"/>
      <c r="Y24" s="3289"/>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96"/>
      <c r="Q25" s="1538" t="str">
        <f>B25</f>
        <v>毗邻道路的类型与等级</v>
      </c>
      <c r="R25" s="714" t="s">
        <v>17</v>
      </c>
      <c r="S25" s="715">
        <f>F25</f>
        <v>100</v>
      </c>
      <c r="T25" s="714" t="s">
        <v>17</v>
      </c>
      <c r="U25" s="715">
        <f>H25</f>
        <v>100</v>
      </c>
      <c r="V25" s="714" t="s">
        <v>17</v>
      </c>
      <c r="W25" s="715">
        <f>J25</f>
        <v>100</v>
      </c>
      <c r="X25" s="1541"/>
      <c r="Y25" s="328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96"/>
      <c r="Q26" s="1538"/>
      <c r="R26" s="714"/>
      <c r="S26" s="715"/>
      <c r="T26" s="714"/>
      <c r="U26" s="715"/>
      <c r="V26" s="714"/>
      <c r="W26" s="715"/>
      <c r="X26" s="1541"/>
      <c r="Y26" s="3289"/>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96"/>
      <c r="Q27" s="1538" t="str">
        <f t="shared" ref="Q27:Q47" si="11">B27</f>
        <v>楼层</v>
      </c>
      <c r="R27" s="714" t="s">
        <v>17</v>
      </c>
      <c r="S27" s="715">
        <f>F27</f>
        <v>100</v>
      </c>
      <c r="T27" s="714" t="s">
        <v>17</v>
      </c>
      <c r="U27" s="715">
        <f>H27</f>
        <v>100</v>
      </c>
      <c r="V27" s="714" t="s">
        <v>17</v>
      </c>
      <c r="W27" s="715">
        <f>J27</f>
        <v>100</v>
      </c>
      <c r="X27" s="1541"/>
      <c r="Y27" s="3289"/>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96"/>
      <c r="Q28" s="1529" t="str">
        <f t="shared" si="11"/>
        <v>朝向</v>
      </c>
      <c r="R28" s="710" t="s">
        <v>17</v>
      </c>
      <c r="S28" s="711">
        <f>F28</f>
        <v>100</v>
      </c>
      <c r="T28" s="710" t="s">
        <v>17</v>
      </c>
      <c r="U28" s="711">
        <f>H28</f>
        <v>100</v>
      </c>
      <c r="V28" s="710" t="s">
        <v>17</v>
      </c>
      <c r="W28" s="711">
        <f>J28</f>
        <v>100</v>
      </c>
      <c r="X28" s="712"/>
      <c r="Y28" s="328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96"/>
      <c r="Q29" s="1538">
        <f t="shared" si="11"/>
        <v>111</v>
      </c>
      <c r="R29" s="714" t="s">
        <v>17</v>
      </c>
      <c r="S29" s="715">
        <f t="shared" ref="S29:S47" si="12">F29</f>
        <v>100</v>
      </c>
      <c r="T29" s="714" t="s">
        <v>17</v>
      </c>
      <c r="U29" s="715">
        <f t="shared" ref="U29:U47" si="13">H29</f>
        <v>100</v>
      </c>
      <c r="V29" s="714" t="s">
        <v>17</v>
      </c>
      <c r="W29" s="715">
        <f t="shared" ref="W29:W47" si="14">J29</f>
        <v>100</v>
      </c>
      <c r="X29" s="1541"/>
      <c r="Y29" s="328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96"/>
      <c r="Q30" s="1538">
        <f t="shared" si="11"/>
        <v>111</v>
      </c>
      <c r="R30" s="714" t="s">
        <v>17</v>
      </c>
      <c r="S30" s="715">
        <f t="shared" si="12"/>
        <v>100</v>
      </c>
      <c r="T30" s="714" t="s">
        <v>17</v>
      </c>
      <c r="U30" s="715">
        <f t="shared" si="13"/>
        <v>100</v>
      </c>
      <c r="V30" s="714" t="s">
        <v>17</v>
      </c>
      <c r="W30" s="715">
        <f t="shared" si="14"/>
        <v>100</v>
      </c>
      <c r="X30" s="1541"/>
      <c r="Y30" s="328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96"/>
      <c r="Q31" s="1538">
        <f t="shared" si="11"/>
        <v>111</v>
      </c>
      <c r="R31" s="714" t="s">
        <v>17</v>
      </c>
      <c r="S31" s="715">
        <f t="shared" si="12"/>
        <v>100</v>
      </c>
      <c r="T31" s="714" t="s">
        <v>17</v>
      </c>
      <c r="U31" s="715">
        <f t="shared" si="13"/>
        <v>100</v>
      </c>
      <c r="V31" s="714" t="s">
        <v>17</v>
      </c>
      <c r="W31" s="715">
        <f t="shared" si="14"/>
        <v>100</v>
      </c>
      <c r="X31" s="1541"/>
      <c r="Y31" s="328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96"/>
      <c r="Q32" s="1538">
        <f t="shared" si="11"/>
        <v>111</v>
      </c>
      <c r="R32" s="714" t="s">
        <v>17</v>
      </c>
      <c r="S32" s="715">
        <f t="shared" si="12"/>
        <v>100</v>
      </c>
      <c r="T32" s="714" t="s">
        <v>17</v>
      </c>
      <c r="U32" s="715">
        <f t="shared" si="13"/>
        <v>100</v>
      </c>
      <c r="V32" s="714" t="s">
        <v>17</v>
      </c>
      <c r="W32" s="715">
        <f t="shared" si="14"/>
        <v>100</v>
      </c>
      <c r="X32" s="1541"/>
      <c r="Y32" s="3289"/>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90" t="s">
        <v>2387</v>
      </c>
      <c r="Q33" s="1538" t="str">
        <f t="shared" si="11"/>
        <v>建筑类型</v>
      </c>
      <c r="R33" s="714" t="s">
        <v>17</v>
      </c>
      <c r="S33" s="715">
        <f t="shared" si="12"/>
        <v>100</v>
      </c>
      <c r="T33" s="714" t="s">
        <v>17</v>
      </c>
      <c r="U33" s="715">
        <f t="shared" si="13"/>
        <v>100</v>
      </c>
      <c r="V33" s="714" t="s">
        <v>17</v>
      </c>
      <c r="W33" s="715">
        <f t="shared" si="14"/>
        <v>100</v>
      </c>
      <c r="X33" s="1541"/>
      <c r="Y33" s="3293"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91"/>
      <c r="Q34" s="716" t="str">
        <f t="shared" si="11"/>
        <v>项目建筑规模</v>
      </c>
      <c r="R34" s="717" t="s">
        <v>17</v>
      </c>
      <c r="S34" s="718" t="e">
        <f t="shared" si="12"/>
        <v>#N/A</v>
      </c>
      <c r="T34" s="717" t="s">
        <v>17</v>
      </c>
      <c r="U34" s="718" t="e">
        <f t="shared" si="13"/>
        <v>#N/A</v>
      </c>
      <c r="V34" s="717" t="s">
        <v>17</v>
      </c>
      <c r="W34" s="718" t="e">
        <f t="shared" si="14"/>
        <v>#N/A</v>
      </c>
      <c r="X34" s="719"/>
      <c r="Y34" s="3293"/>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91"/>
      <c r="Q35" s="1538" t="str">
        <f t="shared" si="11"/>
        <v>建筑结构</v>
      </c>
      <c r="R35" s="714" t="s">
        <v>17</v>
      </c>
      <c r="S35" s="715">
        <f t="shared" si="12"/>
        <v>100</v>
      </c>
      <c r="T35" s="714" t="s">
        <v>17</v>
      </c>
      <c r="U35" s="715">
        <f t="shared" si="13"/>
        <v>100</v>
      </c>
      <c r="V35" s="714" t="s">
        <v>17</v>
      </c>
      <c r="W35" s="715">
        <f t="shared" si="14"/>
        <v>100</v>
      </c>
      <c r="X35" s="1541"/>
      <c r="Y35" s="3293"/>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91"/>
      <c r="Q36" s="1538" t="str">
        <f t="shared" si="11"/>
        <v>公共部分装修</v>
      </c>
      <c r="R36" s="714" t="s">
        <v>17</v>
      </c>
      <c r="S36" s="715">
        <f t="shared" si="12"/>
        <v>100</v>
      </c>
      <c r="T36" s="714" t="s">
        <v>17</v>
      </c>
      <c r="U36" s="715">
        <f t="shared" si="13"/>
        <v>100</v>
      </c>
      <c r="V36" s="714" t="s">
        <v>17</v>
      </c>
      <c r="W36" s="715">
        <f t="shared" si="14"/>
        <v>100</v>
      </c>
      <c r="X36" s="1541"/>
      <c r="Y36" s="3293"/>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91"/>
      <c r="Q37" s="1538" t="str">
        <f t="shared" si="11"/>
        <v>成新度</v>
      </c>
      <c r="R37" s="714" t="s">
        <v>17</v>
      </c>
      <c r="S37" s="715" t="e">
        <f t="shared" si="12"/>
        <v>#N/A</v>
      </c>
      <c r="T37" s="714" t="s">
        <v>17</v>
      </c>
      <c r="U37" s="715" t="e">
        <f t="shared" si="13"/>
        <v>#N/A</v>
      </c>
      <c r="V37" s="714" t="s">
        <v>17</v>
      </c>
      <c r="W37" s="715" t="e">
        <f t="shared" si="14"/>
        <v>#N/A</v>
      </c>
      <c r="X37" s="1541"/>
      <c r="Y37" s="3293"/>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91"/>
      <c r="Q38" s="1529" t="str">
        <f t="shared" si="11"/>
        <v>写字楼等级</v>
      </c>
      <c r="R38" s="710" t="s">
        <v>17</v>
      </c>
      <c r="S38" s="711">
        <f t="shared" si="12"/>
        <v>100</v>
      </c>
      <c r="T38" s="710" t="s">
        <v>17</v>
      </c>
      <c r="U38" s="711">
        <f t="shared" si="13"/>
        <v>100</v>
      </c>
      <c r="V38" s="710" t="s">
        <v>17</v>
      </c>
      <c r="W38" s="711">
        <f t="shared" si="14"/>
        <v>100</v>
      </c>
      <c r="X38" s="712"/>
      <c r="Y38" s="3293"/>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91" t="s">
        <v>2387</v>
      </c>
      <c r="Q39" s="1538" t="str">
        <f t="shared" si="11"/>
        <v>物业管理</v>
      </c>
      <c r="R39" s="714" t="s">
        <v>17</v>
      </c>
      <c r="S39" s="715">
        <f t="shared" si="12"/>
        <v>100</v>
      </c>
      <c r="T39" s="714" t="s">
        <v>17</v>
      </c>
      <c r="U39" s="715">
        <f t="shared" si="13"/>
        <v>100</v>
      </c>
      <c r="V39" s="714" t="s">
        <v>17</v>
      </c>
      <c r="W39" s="715">
        <f t="shared" si="14"/>
        <v>100</v>
      </c>
      <c r="X39" s="1541"/>
      <c r="Y39" s="3293"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91"/>
      <c r="Q40" s="1538" t="str">
        <f t="shared" si="11"/>
        <v>市政基础设施</v>
      </c>
      <c r="R40" s="714" t="s">
        <v>17</v>
      </c>
      <c r="S40" s="715">
        <f t="shared" si="12"/>
        <v>100</v>
      </c>
      <c r="T40" s="714" t="s">
        <v>17</v>
      </c>
      <c r="U40" s="715">
        <f t="shared" si="13"/>
        <v>100</v>
      </c>
      <c r="V40" s="714" t="s">
        <v>17</v>
      </c>
      <c r="W40" s="715">
        <f t="shared" si="14"/>
        <v>100</v>
      </c>
      <c r="X40" s="1541"/>
      <c r="Y40" s="3293"/>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91"/>
      <c r="Q41" s="1538" t="str">
        <f t="shared" si="11"/>
        <v>层高</v>
      </c>
      <c r="R41" s="714" t="s">
        <v>17</v>
      </c>
      <c r="S41" s="715">
        <f t="shared" si="12"/>
        <v>100</v>
      </c>
      <c r="T41" s="714" t="s">
        <v>17</v>
      </c>
      <c r="U41" s="715">
        <f t="shared" si="13"/>
        <v>100</v>
      </c>
      <c r="V41" s="714" t="s">
        <v>17</v>
      </c>
      <c r="W41" s="715">
        <f t="shared" si="14"/>
        <v>100</v>
      </c>
      <c r="X41" s="1541"/>
      <c r="Y41" s="3293"/>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91"/>
      <c r="Q42" s="716" t="str">
        <f t="shared" si="11"/>
        <v>单套建筑面积</v>
      </c>
      <c r="R42" s="717" t="s">
        <v>17</v>
      </c>
      <c r="S42" s="718">
        <f t="shared" si="12"/>
        <v>100</v>
      </c>
      <c r="T42" s="717" t="s">
        <v>17</v>
      </c>
      <c r="U42" s="718">
        <f t="shared" si="13"/>
        <v>100</v>
      </c>
      <c r="V42" s="717" t="s">
        <v>17</v>
      </c>
      <c r="W42" s="718">
        <f t="shared" si="14"/>
        <v>100</v>
      </c>
      <c r="X42" s="719"/>
      <c r="Y42" s="3293"/>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91"/>
      <c r="Q43" s="1538" t="str">
        <f t="shared" si="11"/>
        <v>内部装修</v>
      </c>
      <c r="R43" s="714" t="s">
        <v>17</v>
      </c>
      <c r="S43" s="715">
        <f t="shared" si="12"/>
        <v>100</v>
      </c>
      <c r="T43" s="714" t="s">
        <v>17</v>
      </c>
      <c r="U43" s="715">
        <f t="shared" si="13"/>
        <v>100</v>
      </c>
      <c r="V43" s="714" t="s">
        <v>17</v>
      </c>
      <c r="W43" s="715">
        <f t="shared" si="14"/>
        <v>100</v>
      </c>
      <c r="X43" s="1541"/>
      <c r="Y43" s="3293"/>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91"/>
      <c r="Q44" s="1538" t="str">
        <f t="shared" si="11"/>
        <v>内部装修维护情况</v>
      </c>
      <c r="R44" s="714" t="s">
        <v>17</v>
      </c>
      <c r="S44" s="715">
        <f t="shared" si="12"/>
        <v>100</v>
      </c>
      <c r="T44" s="714" t="s">
        <v>17</v>
      </c>
      <c r="U44" s="715">
        <f t="shared" si="13"/>
        <v>100</v>
      </c>
      <c r="V44" s="714" t="s">
        <v>17</v>
      </c>
      <c r="W44" s="715">
        <f t="shared" si="14"/>
        <v>100</v>
      </c>
      <c r="X44" s="1541"/>
      <c r="Y44" s="329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91"/>
      <c r="Q45" s="1529">
        <f t="shared" si="11"/>
        <v>111</v>
      </c>
      <c r="R45" s="710" t="s">
        <v>17</v>
      </c>
      <c r="S45" s="711">
        <f t="shared" si="12"/>
        <v>100</v>
      </c>
      <c r="T45" s="710" t="s">
        <v>17</v>
      </c>
      <c r="U45" s="711">
        <f t="shared" si="13"/>
        <v>100</v>
      </c>
      <c r="V45" s="710" t="s">
        <v>17</v>
      </c>
      <c r="W45" s="711">
        <f t="shared" si="14"/>
        <v>100</v>
      </c>
      <c r="X45" s="712"/>
      <c r="Y45" s="329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91"/>
      <c r="Q46" s="1538">
        <f t="shared" si="11"/>
        <v>111</v>
      </c>
      <c r="R46" s="714" t="s">
        <v>17</v>
      </c>
      <c r="S46" s="715">
        <f t="shared" si="12"/>
        <v>100</v>
      </c>
      <c r="T46" s="714" t="s">
        <v>17</v>
      </c>
      <c r="U46" s="715">
        <f t="shared" si="13"/>
        <v>100</v>
      </c>
      <c r="V46" s="714" t="s">
        <v>17</v>
      </c>
      <c r="W46" s="715">
        <f t="shared" si="14"/>
        <v>100</v>
      </c>
      <c r="X46" s="1541"/>
      <c r="Y46" s="329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92"/>
      <c r="Q47" s="1538">
        <f t="shared" si="11"/>
        <v>111</v>
      </c>
      <c r="R47" s="714" t="s">
        <v>17</v>
      </c>
      <c r="S47" s="715">
        <f t="shared" si="12"/>
        <v>100</v>
      </c>
      <c r="T47" s="714" t="s">
        <v>17</v>
      </c>
      <c r="U47" s="715">
        <f t="shared" si="13"/>
        <v>100</v>
      </c>
      <c r="V47" s="714" t="s">
        <v>17</v>
      </c>
      <c r="W47" s="715">
        <f t="shared" si="14"/>
        <v>100</v>
      </c>
      <c r="X47" s="1541"/>
      <c r="Y47" s="3294"/>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97" t="str">
        <f>A48</f>
        <v>成交单价（元/平方米）</v>
      </c>
      <c r="Q48" s="3286"/>
      <c r="R48" s="3287">
        <f>E48</f>
        <v>0</v>
      </c>
      <c r="S48" s="3287"/>
      <c r="T48" s="3287">
        <f>G48</f>
        <v>0</v>
      </c>
      <c r="U48" s="3287"/>
      <c r="V48" s="3287">
        <f>I48</f>
        <v>0</v>
      </c>
      <c r="W48" s="3287"/>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297"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30" t="str">
        <f>A50</f>
        <v>估价对象XX用房的比较价值（楼面单价，元/平方米）</v>
      </c>
      <c r="Q50" s="3331"/>
      <c r="R50" s="3332" t="e">
        <f>IF(F1="售价",ROUND(IF(D49="简单平均",AVERAGE(R49:V49),R49*F49+T49*H49+V49*J49),0),ROUND(IF(D49="简单平均",AVERAGE(R49:V49),R49*F49+T49*H49+V49*J49),1))</f>
        <v>#DIV/0!</v>
      </c>
      <c r="S50" s="3332"/>
      <c r="T50" s="3332"/>
      <c r="U50" s="3332"/>
      <c r="V50" s="3332"/>
      <c r="W50" s="3332"/>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83.16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1" t="s">
        <v>2468</v>
      </c>
      <c r="D4" s="3302"/>
      <c r="E4" s="3303" t="s">
        <v>2469</v>
      </c>
      <c r="F4" s="3304"/>
      <c r="G4" s="3301" t="s">
        <v>2470</v>
      </c>
      <c r="H4" s="3302"/>
      <c r="I4" s="3301" t="s">
        <v>2471</v>
      </c>
      <c r="J4" s="3302"/>
      <c r="K4" s="567" t="s">
        <v>2472</v>
      </c>
      <c r="L4" s="1044"/>
      <c r="M4" s="1045"/>
      <c r="N4" s="1045"/>
      <c r="O4" s="1045"/>
      <c r="P4" s="3305" t="s">
        <v>2473</v>
      </c>
      <c r="Q4" s="3306"/>
      <c r="R4" s="3311" t="s">
        <v>2469</v>
      </c>
      <c r="S4" s="3312"/>
      <c r="T4" s="3311" t="s">
        <v>2470</v>
      </c>
      <c r="U4" s="3312"/>
      <c r="V4" s="3317" t="s">
        <v>2471</v>
      </c>
      <c r="W4" s="3317"/>
      <c r="X4" s="1541"/>
      <c r="Y4" s="3311" t="s">
        <v>2473</v>
      </c>
      <c r="Z4" s="3312"/>
      <c r="AA4" s="3298" t="s">
        <v>2469</v>
      </c>
      <c r="AB4" s="3299" t="s">
        <v>2470</v>
      </c>
      <c r="AC4" s="3298" t="s">
        <v>2471</v>
      </c>
    </row>
    <row r="5" spans="1:29" ht="15">
      <c r="A5" s="364"/>
      <c r="B5" s="365"/>
      <c r="C5" s="3320" t="s">
        <v>2364</v>
      </c>
      <c r="D5" s="3321"/>
      <c r="E5" s="3328" t="s">
        <v>2365</v>
      </c>
      <c r="F5" s="3329"/>
      <c r="G5" s="3320" t="s">
        <v>2366</v>
      </c>
      <c r="H5" s="3321"/>
      <c r="I5" s="3320" t="s">
        <v>2367</v>
      </c>
      <c r="J5" s="3321"/>
      <c r="K5" s="567"/>
      <c r="L5" s="1044"/>
      <c r="M5" s="1045"/>
      <c r="N5" s="1045"/>
      <c r="O5" s="1045"/>
      <c r="P5" s="3307"/>
      <c r="Q5" s="3308"/>
      <c r="R5" s="3313"/>
      <c r="S5" s="3314"/>
      <c r="T5" s="3313"/>
      <c r="U5" s="3314"/>
      <c r="V5" s="3317"/>
      <c r="W5" s="3317"/>
      <c r="X5" s="1541"/>
      <c r="Y5" s="3313"/>
      <c r="Z5" s="3314"/>
      <c r="AA5" s="3299"/>
      <c r="AB5" s="3299"/>
      <c r="AC5" s="3299"/>
    </row>
    <row r="6" spans="1:29" ht="15.75" thickBot="1">
      <c r="A6" s="366"/>
      <c r="B6" s="367"/>
      <c r="C6" s="3318" t="s">
        <v>2368</v>
      </c>
      <c r="D6" s="3319"/>
      <c r="E6" s="3326" t="s">
        <v>2368</v>
      </c>
      <c r="F6" s="3327"/>
      <c r="G6" s="3318" t="s">
        <v>2368</v>
      </c>
      <c r="H6" s="3319"/>
      <c r="I6" s="3318" t="s">
        <v>2368</v>
      </c>
      <c r="J6" s="3319"/>
      <c r="K6" s="567" t="s">
        <v>2369</v>
      </c>
      <c r="L6" s="1044"/>
      <c r="M6" s="1045"/>
      <c r="N6" s="1045"/>
      <c r="O6" s="1045"/>
      <c r="P6" s="3309"/>
      <c r="Q6" s="3310"/>
      <c r="R6" s="3313"/>
      <c r="S6" s="3314"/>
      <c r="T6" s="3315"/>
      <c r="U6" s="3316"/>
      <c r="V6" s="3317"/>
      <c r="W6" s="3317"/>
      <c r="X6" s="1541"/>
      <c r="Y6" s="3315"/>
      <c r="Z6" s="3316"/>
      <c r="AA6" s="3300"/>
      <c r="AB6" s="3300"/>
      <c r="AC6" s="3300"/>
    </row>
    <row r="7" spans="1:29" s="113" customFormat="1" ht="15.75" thickBot="1">
      <c r="A7" s="368" t="s">
        <v>2370</v>
      </c>
      <c r="B7" s="369"/>
      <c r="C7" s="370">
        <f>'数据-取费表'!B2</f>
        <v>44125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2" t="s">
        <v>2371</v>
      </c>
      <c r="Q7" s="3324"/>
      <c r="R7" s="710" t="s">
        <v>17</v>
      </c>
      <c r="S7" s="711">
        <f t="shared" ref="S7:S15" si="0">F7</f>
        <v>0</v>
      </c>
      <c r="T7" s="710" t="s">
        <v>17</v>
      </c>
      <c r="U7" s="711">
        <f t="shared" ref="U7:U15" si="1">H7</f>
        <v>0</v>
      </c>
      <c r="V7" s="710" t="s">
        <v>17</v>
      </c>
      <c r="W7" s="711">
        <f t="shared" ref="W7:W15" si="2">J7</f>
        <v>0</v>
      </c>
      <c r="X7" s="712"/>
      <c r="Y7" s="3322" t="s">
        <v>2371</v>
      </c>
      <c r="Z7" s="3323"/>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2" t="s">
        <v>2374</v>
      </c>
      <c r="Q8" s="3323"/>
      <c r="R8" s="710" t="s">
        <v>17</v>
      </c>
      <c r="S8" s="711">
        <f t="shared" si="0"/>
        <v>0</v>
      </c>
      <c r="T8" s="710" t="s">
        <v>17</v>
      </c>
      <c r="U8" s="711">
        <f t="shared" si="1"/>
        <v>0</v>
      </c>
      <c r="V8" s="710" t="s">
        <v>17</v>
      </c>
      <c r="W8" s="711">
        <f t="shared" si="2"/>
        <v>0</v>
      </c>
      <c r="X8" s="712"/>
      <c r="Y8" s="3322" t="s">
        <v>2374</v>
      </c>
      <c r="Z8" s="3323"/>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6"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6"/>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6"/>
      <c r="Q11" s="1529"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6"/>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6"/>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6"/>
      <c r="Q14" s="1529">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8" t="s">
        <v>2382</v>
      </c>
      <c r="Q15" s="1538" t="str">
        <f t="shared" si="6"/>
        <v>产业集聚程度</v>
      </c>
      <c r="R15" s="714" t="s">
        <v>17</v>
      </c>
      <c r="S15" s="715">
        <f t="shared" si="0"/>
        <v>100</v>
      </c>
      <c r="T15" s="714" t="s">
        <v>17</v>
      </c>
      <c r="U15" s="715">
        <f t="shared" si="1"/>
        <v>100</v>
      </c>
      <c r="V15" s="714" t="s">
        <v>17</v>
      </c>
      <c r="W15" s="715">
        <f t="shared" si="2"/>
        <v>100</v>
      </c>
      <c r="X15" s="1541"/>
      <c r="Y15" s="328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9"/>
      <c r="Q16" s="1538"/>
      <c r="R16" s="714"/>
      <c r="S16" s="715"/>
      <c r="T16" s="714"/>
      <c r="U16" s="715"/>
      <c r="V16" s="714"/>
      <c r="W16" s="715"/>
      <c r="X16" s="1541"/>
      <c r="Y16" s="328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9"/>
      <c r="Q17" s="1538" t="str">
        <f>B17</f>
        <v>交通便捷度</v>
      </c>
      <c r="R17" s="714" t="s">
        <v>17</v>
      </c>
      <c r="S17" s="715">
        <f>F17</f>
        <v>100</v>
      </c>
      <c r="T17" s="714" t="s">
        <v>17</v>
      </c>
      <c r="U17" s="715">
        <f>H17</f>
        <v>100</v>
      </c>
      <c r="V17" s="714" t="s">
        <v>17</v>
      </c>
      <c r="W17" s="715">
        <f>J17</f>
        <v>100</v>
      </c>
      <c r="X17" s="1541"/>
      <c r="Y17" s="328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9"/>
      <c r="Q18" s="1538"/>
      <c r="R18" s="714"/>
      <c r="S18" s="715"/>
      <c r="T18" s="714"/>
      <c r="U18" s="715"/>
      <c r="V18" s="714"/>
      <c r="W18" s="715"/>
      <c r="X18" s="1541"/>
      <c r="Y18" s="3289"/>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9"/>
      <c r="Q19" s="1538" t="str">
        <f>B19</f>
        <v>公共配套设施</v>
      </c>
      <c r="R19" s="714" t="s">
        <v>17</v>
      </c>
      <c r="S19" s="715">
        <f>F19</f>
        <v>100</v>
      </c>
      <c r="T19" s="714" t="s">
        <v>17</v>
      </c>
      <c r="U19" s="715">
        <f>H19</f>
        <v>100</v>
      </c>
      <c r="V19" s="714" t="s">
        <v>17</v>
      </c>
      <c r="W19" s="715">
        <f>J19</f>
        <v>100</v>
      </c>
      <c r="X19" s="1541"/>
      <c r="Y19" s="328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9"/>
      <c r="Q20" s="1538"/>
      <c r="R20" s="714"/>
      <c r="S20" s="715"/>
      <c r="T20" s="714"/>
      <c r="U20" s="715"/>
      <c r="V20" s="714"/>
      <c r="W20" s="715"/>
      <c r="X20" s="1541"/>
      <c r="Y20" s="3289"/>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9"/>
      <c r="Q21" s="1538" t="str">
        <f>B21</f>
        <v>基础设施水平</v>
      </c>
      <c r="R21" s="714" t="s">
        <v>17</v>
      </c>
      <c r="S21" s="715">
        <f>F21</f>
        <v>100</v>
      </c>
      <c r="T21" s="714" t="s">
        <v>17</v>
      </c>
      <c r="U21" s="715">
        <f>H21</f>
        <v>100</v>
      </c>
      <c r="V21" s="714" t="s">
        <v>17</v>
      </c>
      <c r="W21" s="715">
        <f>J21</f>
        <v>100</v>
      </c>
      <c r="X21" s="1541"/>
      <c r="Y21" s="328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9"/>
      <c r="Q22" s="1538"/>
      <c r="R22" s="714"/>
      <c r="S22" s="715"/>
      <c r="T22" s="714"/>
      <c r="U22" s="715"/>
      <c r="V22" s="714"/>
      <c r="W22" s="715"/>
      <c r="X22" s="1541"/>
      <c r="Y22" s="3289"/>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9"/>
      <c r="Q23" s="1538" t="str">
        <f>B23</f>
        <v>环境质量</v>
      </c>
      <c r="R23" s="714" t="s">
        <v>17</v>
      </c>
      <c r="S23" s="715">
        <f>F23</f>
        <v>100</v>
      </c>
      <c r="T23" s="714" t="s">
        <v>17</v>
      </c>
      <c r="U23" s="715">
        <f>H23</f>
        <v>100</v>
      </c>
      <c r="V23" s="714" t="s">
        <v>17</v>
      </c>
      <c r="W23" s="715">
        <f>J23</f>
        <v>100</v>
      </c>
      <c r="X23" s="1541"/>
      <c r="Y23" s="328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9"/>
      <c r="Q24" s="1538"/>
      <c r="R24" s="714"/>
      <c r="S24" s="715"/>
      <c r="T24" s="714"/>
      <c r="U24" s="715"/>
      <c r="V24" s="714"/>
      <c r="W24" s="715"/>
      <c r="X24" s="1541"/>
      <c r="Y24" s="328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9"/>
      <c r="Q25" s="1538">
        <f>B25</f>
        <v>111</v>
      </c>
      <c r="R25" s="714" t="s">
        <v>17</v>
      </c>
      <c r="S25" s="715">
        <f>F25</f>
        <v>100</v>
      </c>
      <c r="T25" s="714" t="s">
        <v>17</v>
      </c>
      <c r="U25" s="715">
        <f>H25</f>
        <v>100</v>
      </c>
      <c r="V25" s="714" t="s">
        <v>17</v>
      </c>
      <c r="W25" s="715">
        <f>J25</f>
        <v>100</v>
      </c>
      <c r="X25" s="1541"/>
      <c r="Y25" s="328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9"/>
      <c r="Q26" s="1538">
        <f t="shared" ref="Q26:Q40" si="11">B26</f>
        <v>111</v>
      </c>
      <c r="R26" s="714" t="s">
        <v>17</v>
      </c>
      <c r="S26" s="715">
        <f>F26</f>
        <v>100</v>
      </c>
      <c r="T26" s="714" t="s">
        <v>17</v>
      </c>
      <c r="U26" s="715">
        <f>H26</f>
        <v>100</v>
      </c>
      <c r="V26" s="714" t="s">
        <v>17</v>
      </c>
      <c r="W26" s="715">
        <f>J26</f>
        <v>100</v>
      </c>
      <c r="X26" s="1541"/>
      <c r="Y26" s="328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9"/>
      <c r="Q27" s="1529">
        <f t="shared" si="11"/>
        <v>111</v>
      </c>
      <c r="R27" s="710" t="s">
        <v>17</v>
      </c>
      <c r="S27" s="711">
        <f>F27</f>
        <v>100</v>
      </c>
      <c r="T27" s="710" t="s">
        <v>17</v>
      </c>
      <c r="U27" s="711">
        <f>H27</f>
        <v>100</v>
      </c>
      <c r="V27" s="710" t="s">
        <v>17</v>
      </c>
      <c r="W27" s="711">
        <f>J27</f>
        <v>100</v>
      </c>
      <c r="X27" s="712"/>
      <c r="Y27" s="328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9"/>
      <c r="Q28" s="1538">
        <f t="shared" si="11"/>
        <v>111</v>
      </c>
      <c r="R28" s="714" t="s">
        <v>17</v>
      </c>
      <c r="S28" s="715">
        <f t="shared" ref="S28:S40" si="12">F28</f>
        <v>100</v>
      </c>
      <c r="T28" s="714" t="s">
        <v>17</v>
      </c>
      <c r="U28" s="715">
        <f t="shared" ref="U28:U40" si="13">H28</f>
        <v>100</v>
      </c>
      <c r="V28" s="714" t="s">
        <v>17</v>
      </c>
      <c r="W28" s="715">
        <f t="shared" ref="W28:W40" si="14">J28</f>
        <v>100</v>
      </c>
      <c r="X28" s="1541"/>
      <c r="Y28" s="3289"/>
      <c r="Z28" s="1542">
        <f t="shared" ref="Z28:Z40" si="15">Q28</f>
        <v>111</v>
      </c>
      <c r="AA28" s="1539">
        <f t="shared" si="3"/>
        <v>1</v>
      </c>
      <c r="AB28" s="1539">
        <f t="shared" si="4"/>
        <v>1</v>
      </c>
      <c r="AC28" s="1539">
        <f t="shared" si="5"/>
        <v>1</v>
      </c>
    </row>
    <row r="29" spans="1:29" ht="1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5" t="s">
        <v>2387</v>
      </c>
      <c r="Q29" s="1538" t="str">
        <f t="shared" si="11"/>
        <v>建筑类型</v>
      </c>
      <c r="R29" s="714" t="s">
        <v>17</v>
      </c>
      <c r="S29" s="715">
        <f t="shared" si="12"/>
        <v>100</v>
      </c>
      <c r="T29" s="714" t="s">
        <v>17</v>
      </c>
      <c r="U29" s="715">
        <f t="shared" si="13"/>
        <v>100</v>
      </c>
      <c r="V29" s="714" t="s">
        <v>17</v>
      </c>
      <c r="W29" s="715">
        <f t="shared" si="14"/>
        <v>100</v>
      </c>
      <c r="X29" s="1541"/>
      <c r="Y29" s="329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3"/>
      <c r="Q30" s="716" t="str">
        <f t="shared" si="11"/>
        <v>项目建筑规模</v>
      </c>
      <c r="R30" s="717" t="s">
        <v>17</v>
      </c>
      <c r="S30" s="718" t="e">
        <f t="shared" si="12"/>
        <v>#N/A</v>
      </c>
      <c r="T30" s="717" t="s">
        <v>17</v>
      </c>
      <c r="U30" s="718" t="e">
        <f t="shared" si="13"/>
        <v>#N/A</v>
      </c>
      <c r="V30" s="717" t="s">
        <v>17</v>
      </c>
      <c r="W30" s="718" t="e">
        <f t="shared" si="14"/>
        <v>#N/A</v>
      </c>
      <c r="X30" s="719"/>
      <c r="Y30" s="329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3"/>
      <c r="Q31" s="1538" t="str">
        <f t="shared" si="11"/>
        <v>建筑结构</v>
      </c>
      <c r="R31" s="714" t="s">
        <v>17</v>
      </c>
      <c r="S31" s="715">
        <f t="shared" si="12"/>
        <v>100</v>
      </c>
      <c r="T31" s="714" t="s">
        <v>17</v>
      </c>
      <c r="U31" s="715">
        <f t="shared" si="13"/>
        <v>100</v>
      </c>
      <c r="V31" s="714" t="s">
        <v>17</v>
      </c>
      <c r="W31" s="715">
        <f t="shared" si="14"/>
        <v>100</v>
      </c>
      <c r="X31" s="1541"/>
      <c r="Y31" s="329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3"/>
      <c r="Q32" s="1538" t="str">
        <f t="shared" si="11"/>
        <v>公共部分装修</v>
      </c>
      <c r="R32" s="714" t="s">
        <v>17</v>
      </c>
      <c r="S32" s="715">
        <f t="shared" si="12"/>
        <v>100</v>
      </c>
      <c r="T32" s="714" t="s">
        <v>17</v>
      </c>
      <c r="U32" s="715">
        <f t="shared" si="13"/>
        <v>100</v>
      </c>
      <c r="V32" s="714" t="s">
        <v>17</v>
      </c>
      <c r="W32" s="715">
        <f t="shared" si="14"/>
        <v>100</v>
      </c>
      <c r="X32" s="1541"/>
      <c r="Y32" s="329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3"/>
      <c r="Q33" s="1538" t="str">
        <f t="shared" si="11"/>
        <v>成新度</v>
      </c>
      <c r="R33" s="714" t="s">
        <v>17</v>
      </c>
      <c r="S33" s="715" t="e">
        <f t="shared" si="12"/>
        <v>#N/A</v>
      </c>
      <c r="T33" s="714" t="s">
        <v>17</v>
      </c>
      <c r="U33" s="715" t="e">
        <f t="shared" si="13"/>
        <v>#N/A</v>
      </c>
      <c r="V33" s="714" t="s">
        <v>17</v>
      </c>
      <c r="W33" s="715" t="e">
        <f t="shared" si="14"/>
        <v>#N/A</v>
      </c>
      <c r="X33" s="1541"/>
      <c r="Y33" s="329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3"/>
      <c r="Q34" s="1529" t="str">
        <f t="shared" si="11"/>
        <v>物业管理</v>
      </c>
      <c r="R34" s="710" t="s">
        <v>17</v>
      </c>
      <c r="S34" s="711">
        <f t="shared" si="12"/>
        <v>100</v>
      </c>
      <c r="T34" s="710" t="s">
        <v>17</v>
      </c>
      <c r="U34" s="711">
        <f t="shared" si="13"/>
        <v>100</v>
      </c>
      <c r="V34" s="710" t="s">
        <v>17</v>
      </c>
      <c r="W34" s="711">
        <f t="shared" si="14"/>
        <v>100</v>
      </c>
      <c r="X34" s="712"/>
      <c r="Y34" s="329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3" t="s">
        <v>2387</v>
      </c>
      <c r="Q35" s="1538" t="str">
        <f t="shared" si="11"/>
        <v>市政基础设施</v>
      </c>
      <c r="R35" s="714" t="s">
        <v>17</v>
      </c>
      <c r="S35" s="715">
        <f t="shared" si="12"/>
        <v>100</v>
      </c>
      <c r="T35" s="714" t="s">
        <v>17</v>
      </c>
      <c r="U35" s="715">
        <f t="shared" si="13"/>
        <v>100</v>
      </c>
      <c r="V35" s="714" t="s">
        <v>17</v>
      </c>
      <c r="W35" s="715">
        <f t="shared" si="14"/>
        <v>100</v>
      </c>
      <c r="X35" s="1541"/>
      <c r="Y35" s="329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3"/>
      <c r="Q36" s="1538" t="str">
        <f t="shared" si="11"/>
        <v>内部装修</v>
      </c>
      <c r="R36" s="714" t="s">
        <v>17</v>
      </c>
      <c r="S36" s="715">
        <f t="shared" si="12"/>
        <v>100</v>
      </c>
      <c r="T36" s="714" t="s">
        <v>17</v>
      </c>
      <c r="U36" s="715">
        <f t="shared" si="13"/>
        <v>100</v>
      </c>
      <c r="V36" s="714" t="s">
        <v>17</v>
      </c>
      <c r="W36" s="715">
        <f t="shared" si="14"/>
        <v>100</v>
      </c>
      <c r="X36" s="1541"/>
      <c r="Y36" s="329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3"/>
      <c r="Q37" s="1538" t="str">
        <f t="shared" si="11"/>
        <v>内部装修状况</v>
      </c>
      <c r="R37" s="714" t="s">
        <v>17</v>
      </c>
      <c r="S37" s="715">
        <f t="shared" si="12"/>
        <v>100</v>
      </c>
      <c r="T37" s="714" t="s">
        <v>17</v>
      </c>
      <c r="U37" s="715">
        <f t="shared" si="13"/>
        <v>100</v>
      </c>
      <c r="V37" s="714" t="s">
        <v>17</v>
      </c>
      <c r="W37" s="715">
        <f t="shared" si="14"/>
        <v>100</v>
      </c>
      <c r="X37" s="1541"/>
      <c r="Y37" s="329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3"/>
      <c r="Q38" s="716">
        <f t="shared" si="11"/>
        <v>111</v>
      </c>
      <c r="R38" s="717" t="s">
        <v>17</v>
      </c>
      <c r="S38" s="718">
        <f t="shared" si="12"/>
        <v>100</v>
      </c>
      <c r="T38" s="717" t="s">
        <v>17</v>
      </c>
      <c r="U38" s="718">
        <f t="shared" si="13"/>
        <v>100</v>
      </c>
      <c r="V38" s="717" t="s">
        <v>17</v>
      </c>
      <c r="W38" s="718">
        <f t="shared" si="14"/>
        <v>100</v>
      </c>
      <c r="X38" s="719"/>
      <c r="Y38" s="329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3"/>
      <c r="Q39" s="1538">
        <f t="shared" si="11"/>
        <v>111</v>
      </c>
      <c r="R39" s="714" t="s">
        <v>17</v>
      </c>
      <c r="S39" s="715">
        <f t="shared" si="12"/>
        <v>100</v>
      </c>
      <c r="T39" s="714" t="s">
        <v>17</v>
      </c>
      <c r="U39" s="715">
        <f t="shared" si="13"/>
        <v>100</v>
      </c>
      <c r="V39" s="714" t="s">
        <v>17</v>
      </c>
      <c r="W39" s="715">
        <f t="shared" si="14"/>
        <v>100</v>
      </c>
      <c r="X39" s="1541"/>
      <c r="Y39" s="329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4"/>
      <c r="Q40" s="1538">
        <f t="shared" si="11"/>
        <v>111</v>
      </c>
      <c r="R40" s="714" t="s">
        <v>17</v>
      </c>
      <c r="S40" s="715">
        <f t="shared" si="12"/>
        <v>100</v>
      </c>
      <c r="T40" s="714" t="s">
        <v>17</v>
      </c>
      <c r="U40" s="715">
        <f t="shared" si="13"/>
        <v>100</v>
      </c>
      <c r="V40" s="714" t="s">
        <v>17</v>
      </c>
      <c r="W40" s="715">
        <f t="shared" si="14"/>
        <v>100</v>
      </c>
      <c r="X40" s="1541"/>
      <c r="Y40" s="3294"/>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86" t="str">
        <f>A41</f>
        <v>成交单价（元/平方米）</v>
      </c>
      <c r="Q41" s="3286"/>
      <c r="R41" s="3287">
        <f>E41</f>
        <v>0</v>
      </c>
      <c r="S41" s="3287"/>
      <c r="T41" s="3287">
        <f>G41</f>
        <v>0</v>
      </c>
      <c r="U41" s="3287"/>
      <c r="V41" s="3287">
        <f>I41</f>
        <v>0</v>
      </c>
      <c r="W41" s="3287"/>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83" t="str">
        <f>A43</f>
        <v>估价对象XX用房的比较价值（楼面单价，元/平方米）</v>
      </c>
      <c r="Q43" s="3284"/>
      <c r="R43" s="3285" t="e">
        <f>IF(F1="售价",ROUND(IF(D42="简单平均",AVERAGE(R42:V42),R42*F42+T42*H42+V42*J42),0),ROUND(IF(D42="简单平均",AVERAGE(R42:V42),R42*F42+T42*H42+V42*J42),1))</f>
        <v>#DIV/0!</v>
      </c>
      <c r="S43" s="3285"/>
      <c r="T43" s="3285"/>
      <c r="U43" s="3285"/>
      <c r="V43" s="3285"/>
      <c r="W43" s="3285"/>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01" t="s">
        <v>2468</v>
      </c>
      <c r="D4" s="3302"/>
      <c r="E4" s="3303" t="s">
        <v>2469</v>
      </c>
      <c r="F4" s="3304"/>
      <c r="G4" s="3301" t="s">
        <v>2470</v>
      </c>
      <c r="H4" s="3302"/>
      <c r="I4" s="3301" t="s">
        <v>2471</v>
      </c>
      <c r="J4" s="3302"/>
      <c r="K4" s="567" t="s">
        <v>2472</v>
      </c>
      <c r="L4" s="2946"/>
      <c r="M4" s="2947"/>
      <c r="N4" s="2947"/>
      <c r="O4" s="2947"/>
      <c r="P4" s="3305" t="s">
        <v>2473</v>
      </c>
      <c r="Q4" s="3306"/>
      <c r="R4" s="3311" t="s">
        <v>2469</v>
      </c>
      <c r="S4" s="3312"/>
      <c r="T4" s="3311" t="s">
        <v>2470</v>
      </c>
      <c r="U4" s="3312"/>
      <c r="V4" s="3317" t="s">
        <v>2471</v>
      </c>
      <c r="W4" s="3317"/>
      <c r="X4" s="1541"/>
      <c r="Y4" s="3311" t="s">
        <v>2473</v>
      </c>
      <c r="Z4" s="3312"/>
      <c r="AA4" s="3298" t="s">
        <v>2469</v>
      </c>
      <c r="AB4" s="3299" t="s">
        <v>2470</v>
      </c>
      <c r="AC4" s="3298" t="s">
        <v>2471</v>
      </c>
    </row>
    <row r="5" spans="1:29" ht="15">
      <c r="A5" s="364"/>
      <c r="B5" s="365"/>
      <c r="C5" s="3320" t="s">
        <v>2364</v>
      </c>
      <c r="D5" s="3321"/>
      <c r="E5" s="3328" t="s">
        <v>2365</v>
      </c>
      <c r="F5" s="3329"/>
      <c r="G5" s="3320" t="s">
        <v>2366</v>
      </c>
      <c r="H5" s="3321"/>
      <c r="I5" s="3320" t="s">
        <v>2367</v>
      </c>
      <c r="J5" s="3321"/>
      <c r="K5" s="567"/>
      <c r="L5" s="2946"/>
      <c r="M5" s="2947"/>
      <c r="N5" s="2947"/>
      <c r="O5" s="2947"/>
      <c r="P5" s="3307"/>
      <c r="Q5" s="3308"/>
      <c r="R5" s="3313"/>
      <c r="S5" s="3314"/>
      <c r="T5" s="3313"/>
      <c r="U5" s="3314"/>
      <c r="V5" s="3317"/>
      <c r="W5" s="3317"/>
      <c r="X5" s="1541"/>
      <c r="Y5" s="3313"/>
      <c r="Z5" s="3314"/>
      <c r="AA5" s="3299"/>
      <c r="AB5" s="3299"/>
      <c r="AC5" s="3299"/>
    </row>
    <row r="6" spans="1:29" ht="15.75" thickBot="1">
      <c r="A6" s="366"/>
      <c r="B6" s="367"/>
      <c r="C6" s="3318" t="s">
        <v>2368</v>
      </c>
      <c r="D6" s="3319"/>
      <c r="E6" s="3326" t="s">
        <v>2368</v>
      </c>
      <c r="F6" s="3327"/>
      <c r="G6" s="3318" t="s">
        <v>2368</v>
      </c>
      <c r="H6" s="3319"/>
      <c r="I6" s="3318" t="s">
        <v>2368</v>
      </c>
      <c r="J6" s="3319"/>
      <c r="K6" s="567" t="s">
        <v>2369</v>
      </c>
      <c r="L6" s="2946"/>
      <c r="M6" s="2947"/>
      <c r="N6" s="2947"/>
      <c r="O6" s="2947"/>
      <c r="P6" s="3309"/>
      <c r="Q6" s="3310"/>
      <c r="R6" s="3313"/>
      <c r="S6" s="3314"/>
      <c r="T6" s="3315"/>
      <c r="U6" s="3316"/>
      <c r="V6" s="3317"/>
      <c r="W6" s="3317"/>
      <c r="X6" s="1541"/>
      <c r="Y6" s="3315"/>
      <c r="Z6" s="3316"/>
      <c r="AA6" s="3300"/>
      <c r="AB6" s="3300"/>
      <c r="AC6" s="3300"/>
    </row>
    <row r="7" spans="1:29" s="113" customFormat="1" ht="15.75" thickBot="1">
      <c r="A7" s="368" t="s">
        <v>2370</v>
      </c>
      <c r="B7" s="369"/>
      <c r="C7" s="370">
        <f>'数据-取费表'!B2</f>
        <v>44125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22" t="s">
        <v>2371</v>
      </c>
      <c r="Q7" s="3324"/>
      <c r="R7" s="710" t="s">
        <v>17</v>
      </c>
      <c r="S7" s="711">
        <f t="shared" ref="S7:S14" si="0">F7</f>
        <v>0</v>
      </c>
      <c r="T7" s="710" t="s">
        <v>17</v>
      </c>
      <c r="U7" s="711">
        <f t="shared" ref="U7:U14" si="1">H7</f>
        <v>0</v>
      </c>
      <c r="V7" s="710" t="s">
        <v>17</v>
      </c>
      <c r="W7" s="711">
        <f t="shared" ref="W7:W14" si="2">J7</f>
        <v>0</v>
      </c>
      <c r="X7" s="712"/>
      <c r="Y7" s="3322" t="s">
        <v>2371</v>
      </c>
      <c r="Z7" s="3323"/>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22" t="s">
        <v>2374</v>
      </c>
      <c r="Q8" s="3323"/>
      <c r="R8" s="710" t="s">
        <v>17</v>
      </c>
      <c r="S8" s="711">
        <f t="shared" si="0"/>
        <v>0</v>
      </c>
      <c r="T8" s="710" t="s">
        <v>17</v>
      </c>
      <c r="U8" s="711">
        <f t="shared" si="1"/>
        <v>0</v>
      </c>
      <c r="V8" s="710" t="s">
        <v>17</v>
      </c>
      <c r="W8" s="711">
        <f t="shared" si="2"/>
        <v>0</v>
      </c>
      <c r="X8" s="712"/>
      <c r="Y8" s="3322" t="s">
        <v>2374</v>
      </c>
      <c r="Z8" s="3323"/>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86" t="s">
        <v>2377</v>
      </c>
      <c r="Q9" s="1529" t="str">
        <f t="shared" ref="Q9:Q14" si="6">B9</f>
        <v>用途</v>
      </c>
      <c r="R9" s="710" t="s">
        <v>17</v>
      </c>
      <c r="S9" s="711">
        <f t="shared" si="0"/>
        <v>100</v>
      </c>
      <c r="T9" s="710" t="s">
        <v>17</v>
      </c>
      <c r="U9" s="711">
        <f t="shared" si="1"/>
        <v>100</v>
      </c>
      <c r="V9" s="710" t="s">
        <v>17</v>
      </c>
      <c r="W9" s="711">
        <f t="shared" si="2"/>
        <v>100</v>
      </c>
      <c r="X9" s="712"/>
      <c r="Y9" s="315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86"/>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86"/>
      <c r="Q11" s="1529">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86"/>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86"/>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88" t="s">
        <v>2382</v>
      </c>
      <c r="Q14" s="1538" t="str">
        <f t="shared" si="6"/>
        <v>交通便捷度</v>
      </c>
      <c r="R14" s="714" t="s">
        <v>17</v>
      </c>
      <c r="S14" s="715">
        <f t="shared" si="0"/>
        <v>100</v>
      </c>
      <c r="T14" s="714" t="s">
        <v>17</v>
      </c>
      <c r="U14" s="715">
        <f t="shared" si="1"/>
        <v>100</v>
      </c>
      <c r="V14" s="714" t="s">
        <v>17</v>
      </c>
      <c r="W14" s="715">
        <f t="shared" si="2"/>
        <v>100</v>
      </c>
      <c r="X14" s="1541"/>
      <c r="Y14" s="328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89"/>
      <c r="Q15" s="1538"/>
      <c r="R15" s="714"/>
      <c r="S15" s="715"/>
      <c r="T15" s="714"/>
      <c r="U15" s="715"/>
      <c r="V15" s="714"/>
      <c r="W15" s="715"/>
      <c r="X15" s="1541"/>
      <c r="Y15" s="3289"/>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89"/>
      <c r="Q16" s="1538" t="str">
        <f>B16</f>
        <v>公共配套设施</v>
      </c>
      <c r="R16" s="714" t="s">
        <v>17</v>
      </c>
      <c r="S16" s="715">
        <f>F16</f>
        <v>100</v>
      </c>
      <c r="T16" s="714" t="s">
        <v>17</v>
      </c>
      <c r="U16" s="715">
        <f>H16</f>
        <v>100</v>
      </c>
      <c r="V16" s="714" t="s">
        <v>17</v>
      </c>
      <c r="W16" s="715">
        <f>J16</f>
        <v>100</v>
      </c>
      <c r="X16" s="1541"/>
      <c r="Y16" s="328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89"/>
      <c r="Q17" s="1538"/>
      <c r="R17" s="714"/>
      <c r="S17" s="715"/>
      <c r="T17" s="714"/>
      <c r="U17" s="715"/>
      <c r="V17" s="714"/>
      <c r="W17" s="715"/>
      <c r="X17" s="1541"/>
      <c r="Y17" s="3289"/>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89"/>
      <c r="Q18" s="1538" t="str">
        <f>B18</f>
        <v>基础设施水平</v>
      </c>
      <c r="R18" s="714" t="s">
        <v>17</v>
      </c>
      <c r="S18" s="715">
        <f>F18</f>
        <v>100</v>
      </c>
      <c r="T18" s="714" t="s">
        <v>17</v>
      </c>
      <c r="U18" s="715">
        <f>H18</f>
        <v>100</v>
      </c>
      <c r="V18" s="714" t="s">
        <v>17</v>
      </c>
      <c r="W18" s="715">
        <f>J18</f>
        <v>100</v>
      </c>
      <c r="X18" s="1541"/>
      <c r="Y18" s="328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89"/>
      <c r="Q19" s="1538"/>
      <c r="R19" s="714"/>
      <c r="S19" s="715"/>
      <c r="T19" s="714"/>
      <c r="U19" s="715"/>
      <c r="V19" s="714"/>
      <c r="W19" s="715"/>
      <c r="X19" s="1541"/>
      <c r="Y19" s="3289"/>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89"/>
      <c r="Q20" s="1538" t="str">
        <f>B20</f>
        <v>自然及人文环境</v>
      </c>
      <c r="R20" s="714" t="s">
        <v>17</v>
      </c>
      <c r="S20" s="715">
        <f>F20</f>
        <v>100</v>
      </c>
      <c r="T20" s="714" t="s">
        <v>17</v>
      </c>
      <c r="U20" s="715">
        <f>H20</f>
        <v>100</v>
      </c>
      <c r="V20" s="714" t="s">
        <v>17</v>
      </c>
      <c r="W20" s="715">
        <f>J20</f>
        <v>100</v>
      </c>
      <c r="X20" s="1541"/>
      <c r="Y20" s="328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89"/>
      <c r="Q21" s="1538"/>
      <c r="R21" s="714"/>
      <c r="S21" s="715"/>
      <c r="T21" s="714"/>
      <c r="U21" s="715"/>
      <c r="V21" s="714"/>
      <c r="W21" s="715"/>
      <c r="X21" s="1541"/>
      <c r="Y21" s="328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89"/>
      <c r="Q22" s="1538" t="str">
        <f>B22</f>
        <v>楼层</v>
      </c>
      <c r="R22" s="714" t="s">
        <v>17</v>
      </c>
      <c r="S22" s="715">
        <f>F22</f>
        <v>100</v>
      </c>
      <c r="T22" s="714" t="s">
        <v>17</v>
      </c>
      <c r="U22" s="715">
        <f>H22</f>
        <v>100</v>
      </c>
      <c r="V22" s="714" t="s">
        <v>17</v>
      </c>
      <c r="W22" s="715">
        <f>J22</f>
        <v>100</v>
      </c>
      <c r="X22" s="1541"/>
      <c r="Y22" s="328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89"/>
      <c r="Q23" s="1538">
        <f>B23</f>
        <v>111</v>
      </c>
      <c r="R23" s="714" t="s">
        <v>17</v>
      </c>
      <c r="S23" s="715">
        <f>F23</f>
        <v>100</v>
      </c>
      <c r="T23" s="714" t="s">
        <v>17</v>
      </c>
      <c r="U23" s="715">
        <f>H23</f>
        <v>100</v>
      </c>
      <c r="V23" s="714" t="s">
        <v>17</v>
      </c>
      <c r="W23" s="715">
        <f>J23</f>
        <v>100</v>
      </c>
      <c r="X23" s="1541"/>
      <c r="Y23" s="328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89"/>
      <c r="Q24" s="1538">
        <f t="shared" ref="Q24:Q36" si="11">B24</f>
        <v>111</v>
      </c>
      <c r="R24" s="714" t="s">
        <v>17</v>
      </c>
      <c r="S24" s="715">
        <f>F24</f>
        <v>100</v>
      </c>
      <c r="T24" s="714" t="s">
        <v>17</v>
      </c>
      <c r="U24" s="715">
        <f>H24</f>
        <v>100</v>
      </c>
      <c r="V24" s="714" t="s">
        <v>17</v>
      </c>
      <c r="W24" s="715">
        <f>J24</f>
        <v>100</v>
      </c>
      <c r="X24" s="1541"/>
      <c r="Y24" s="328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89"/>
      <c r="Q25" s="1529">
        <f t="shared" si="11"/>
        <v>111</v>
      </c>
      <c r="R25" s="710" t="s">
        <v>17</v>
      </c>
      <c r="S25" s="711">
        <f>F25</f>
        <v>100</v>
      </c>
      <c r="T25" s="710" t="s">
        <v>17</v>
      </c>
      <c r="U25" s="711">
        <f>H25</f>
        <v>100</v>
      </c>
      <c r="V25" s="710" t="s">
        <v>17</v>
      </c>
      <c r="W25" s="711">
        <f>J25</f>
        <v>100</v>
      </c>
      <c r="X25" s="712"/>
      <c r="Y25" s="3289"/>
      <c r="Z25" s="55">
        <f>Q25</f>
        <v>111</v>
      </c>
      <c r="AA25" s="1539">
        <f>D25/F25</f>
        <v>1</v>
      </c>
      <c r="AB25" s="1539">
        <f>D25/H25</f>
        <v>1</v>
      </c>
      <c r="AC25" s="1539">
        <f>D25/J25</f>
        <v>1</v>
      </c>
    </row>
    <row r="26" spans="1:29" ht="1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5"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9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93"/>
      <c r="Q27" s="716" t="str">
        <f t="shared" si="11"/>
        <v>项目停车位配比</v>
      </c>
      <c r="R27" s="717" t="s">
        <v>17</v>
      </c>
      <c r="S27" s="718">
        <f t="shared" si="12"/>
        <v>100</v>
      </c>
      <c r="T27" s="717" t="s">
        <v>17</v>
      </c>
      <c r="U27" s="718">
        <f t="shared" si="13"/>
        <v>100</v>
      </c>
      <c r="V27" s="717" t="s">
        <v>17</v>
      </c>
      <c r="W27" s="718">
        <f t="shared" si="14"/>
        <v>100</v>
      </c>
      <c r="X27" s="719"/>
      <c r="Y27" s="329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93"/>
      <c r="Q28" s="1538" t="str">
        <f t="shared" si="11"/>
        <v>公共部分装修</v>
      </c>
      <c r="R28" s="714" t="s">
        <v>17</v>
      </c>
      <c r="S28" s="715">
        <f t="shared" si="12"/>
        <v>100</v>
      </c>
      <c r="T28" s="714" t="s">
        <v>17</v>
      </c>
      <c r="U28" s="715">
        <f t="shared" si="13"/>
        <v>100</v>
      </c>
      <c r="V28" s="714" t="s">
        <v>17</v>
      </c>
      <c r="W28" s="715">
        <f t="shared" si="14"/>
        <v>100</v>
      </c>
      <c r="X28" s="1541"/>
      <c r="Y28" s="329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93"/>
      <c r="Q29" s="1538" t="str">
        <f t="shared" si="11"/>
        <v>成新率</v>
      </c>
      <c r="R29" s="714" t="s">
        <v>17</v>
      </c>
      <c r="S29" s="715" t="e">
        <f t="shared" si="12"/>
        <v>#N/A</v>
      </c>
      <c r="T29" s="714" t="s">
        <v>17</v>
      </c>
      <c r="U29" s="715" t="e">
        <f t="shared" si="13"/>
        <v>#N/A</v>
      </c>
      <c r="V29" s="714" t="s">
        <v>17</v>
      </c>
      <c r="W29" s="715" t="e">
        <f t="shared" si="14"/>
        <v>#N/A</v>
      </c>
      <c r="X29" s="1541"/>
      <c r="Y29" s="329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93"/>
      <c r="Q30" s="1538" t="str">
        <f t="shared" si="11"/>
        <v>物业等级</v>
      </c>
      <c r="R30" s="714" t="s">
        <v>17</v>
      </c>
      <c r="S30" s="715">
        <f t="shared" si="12"/>
        <v>100</v>
      </c>
      <c r="T30" s="714" t="s">
        <v>17</v>
      </c>
      <c r="U30" s="715">
        <f t="shared" si="13"/>
        <v>100</v>
      </c>
      <c r="V30" s="714" t="s">
        <v>17</v>
      </c>
      <c r="W30" s="715">
        <f t="shared" si="14"/>
        <v>100</v>
      </c>
      <c r="X30" s="1541"/>
      <c r="Y30" s="329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93"/>
      <c r="Q31" s="1529" t="str">
        <f t="shared" si="11"/>
        <v>停车位面积</v>
      </c>
      <c r="R31" s="710" t="s">
        <v>17</v>
      </c>
      <c r="S31" s="711" t="e">
        <f t="shared" si="12"/>
        <v>#N/A</v>
      </c>
      <c r="T31" s="710" t="s">
        <v>17</v>
      </c>
      <c r="U31" s="711" t="e">
        <f t="shared" si="13"/>
        <v>#N/A</v>
      </c>
      <c r="V31" s="710" t="s">
        <v>17</v>
      </c>
      <c r="W31" s="711" t="e">
        <f t="shared" si="14"/>
        <v>#N/A</v>
      </c>
      <c r="X31" s="712"/>
      <c r="Y31" s="329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93" t="s">
        <v>2387</v>
      </c>
      <c r="Q32" s="1538" t="str">
        <f t="shared" si="11"/>
        <v>车位类型</v>
      </c>
      <c r="R32" s="714" t="s">
        <v>17</v>
      </c>
      <c r="S32" s="715">
        <f t="shared" si="12"/>
        <v>100</v>
      </c>
      <c r="T32" s="714" t="s">
        <v>17</v>
      </c>
      <c r="U32" s="715">
        <f t="shared" si="13"/>
        <v>100</v>
      </c>
      <c r="V32" s="714" t="s">
        <v>17</v>
      </c>
      <c r="W32" s="715">
        <f t="shared" si="14"/>
        <v>100</v>
      </c>
      <c r="X32" s="1541"/>
      <c r="Y32" s="329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93"/>
      <c r="Q33" s="1538" t="str">
        <f t="shared" si="11"/>
        <v>是否直接入户</v>
      </c>
      <c r="R33" s="714" t="s">
        <v>17</v>
      </c>
      <c r="S33" s="715">
        <f t="shared" si="12"/>
        <v>100</v>
      </c>
      <c r="T33" s="714" t="s">
        <v>17</v>
      </c>
      <c r="U33" s="715">
        <f t="shared" si="13"/>
        <v>100</v>
      </c>
      <c r="V33" s="714" t="s">
        <v>17</v>
      </c>
      <c r="W33" s="715">
        <f t="shared" si="14"/>
        <v>100</v>
      </c>
      <c r="X33" s="1541"/>
      <c r="Y33" s="329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93"/>
      <c r="Q34" s="1538">
        <f t="shared" si="11"/>
        <v>111</v>
      </c>
      <c r="R34" s="714" t="s">
        <v>17</v>
      </c>
      <c r="S34" s="715">
        <f t="shared" si="12"/>
        <v>100</v>
      </c>
      <c r="T34" s="714" t="s">
        <v>17</v>
      </c>
      <c r="U34" s="715">
        <f t="shared" si="13"/>
        <v>100</v>
      </c>
      <c r="V34" s="714" t="s">
        <v>17</v>
      </c>
      <c r="W34" s="715">
        <f t="shared" si="14"/>
        <v>100</v>
      </c>
      <c r="X34" s="1541"/>
      <c r="Y34" s="329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93"/>
      <c r="Q35" s="716">
        <f t="shared" si="11"/>
        <v>111</v>
      </c>
      <c r="R35" s="717" t="s">
        <v>17</v>
      </c>
      <c r="S35" s="718">
        <f t="shared" si="12"/>
        <v>100</v>
      </c>
      <c r="T35" s="717" t="s">
        <v>17</v>
      </c>
      <c r="U35" s="718">
        <f t="shared" si="13"/>
        <v>100</v>
      </c>
      <c r="V35" s="717" t="s">
        <v>17</v>
      </c>
      <c r="W35" s="718">
        <f t="shared" si="14"/>
        <v>100</v>
      </c>
      <c r="X35" s="719"/>
      <c r="Y35" s="329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93"/>
      <c r="Q36" s="1538">
        <f t="shared" si="11"/>
        <v>111</v>
      </c>
      <c r="R36" s="714" t="s">
        <v>17</v>
      </c>
      <c r="S36" s="715">
        <f t="shared" si="12"/>
        <v>100</v>
      </c>
      <c r="T36" s="714" t="s">
        <v>17</v>
      </c>
      <c r="U36" s="715">
        <f t="shared" si="13"/>
        <v>100</v>
      </c>
      <c r="V36" s="714" t="s">
        <v>17</v>
      </c>
      <c r="W36" s="715">
        <f t="shared" si="14"/>
        <v>100</v>
      </c>
      <c r="X36" s="1541"/>
      <c r="Y36" s="3293"/>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86" t="str">
        <f>A37</f>
        <v>成交单价</v>
      </c>
      <c r="Q37" s="3286"/>
      <c r="R37" s="3287">
        <f>E37</f>
        <v>0</v>
      </c>
      <c r="S37" s="3287"/>
      <c r="T37" s="3287">
        <f>G37</f>
        <v>0</v>
      </c>
      <c r="U37" s="3287"/>
      <c r="V37" s="3287">
        <f>I37</f>
        <v>0</v>
      </c>
      <c r="W37" s="3287"/>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83" t="str">
        <f>A39</f>
        <v>估价对象XX用房的比较价值（楼面单价，元/平方米）</v>
      </c>
      <c r="Q39" s="3284"/>
      <c r="R39" s="3346" t="e">
        <f>IF(F1="售价",ROUND(IF(D38="简单平均",AVERAGE(R38:W38),R38*F38+T38*H38+V38*J38),0),ROUND(IF(D38="简单平均",AVERAGE(R38:V38),R38*F38+T38*H38+V38*J38),1))</f>
        <v>#DIV/0!</v>
      </c>
      <c r="S39" s="3346"/>
      <c r="T39" s="3346"/>
      <c r="U39" s="3346"/>
      <c r="V39" s="3346"/>
      <c r="W39" s="3346"/>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1" t="s">
        <v>2468</v>
      </c>
      <c r="D4" s="3302"/>
      <c r="E4" s="3303" t="s">
        <v>2469</v>
      </c>
      <c r="F4" s="3304"/>
      <c r="G4" s="3301" t="s">
        <v>2470</v>
      </c>
      <c r="H4" s="3302"/>
      <c r="I4" s="3301" t="s">
        <v>2471</v>
      </c>
      <c r="J4" s="3302"/>
      <c r="K4" s="567" t="s">
        <v>2472</v>
      </c>
      <c r="L4" s="2946"/>
      <c r="M4" s="2947"/>
      <c r="N4" s="2947"/>
      <c r="O4" s="2947"/>
      <c r="P4" s="3305" t="s">
        <v>2473</v>
      </c>
      <c r="Q4" s="3306"/>
      <c r="R4" s="3311" t="s">
        <v>2469</v>
      </c>
      <c r="S4" s="3312"/>
      <c r="T4" s="3311" t="s">
        <v>2470</v>
      </c>
      <c r="U4" s="3312"/>
      <c r="V4" s="3317" t="s">
        <v>2471</v>
      </c>
      <c r="W4" s="3317"/>
      <c r="X4" s="1541"/>
      <c r="Y4" s="3311" t="s">
        <v>2473</v>
      </c>
      <c r="Z4" s="3312"/>
      <c r="AA4" s="3298" t="s">
        <v>2469</v>
      </c>
      <c r="AB4" s="3299" t="s">
        <v>2470</v>
      </c>
      <c r="AC4" s="3298" t="s">
        <v>2471</v>
      </c>
    </row>
    <row r="5" spans="1:29" ht="15">
      <c r="A5" s="364"/>
      <c r="B5" s="365"/>
      <c r="C5" s="3320" t="s">
        <v>2364</v>
      </c>
      <c r="D5" s="3321"/>
      <c r="E5" s="3328" t="s">
        <v>2365</v>
      </c>
      <c r="F5" s="3329"/>
      <c r="G5" s="3320" t="s">
        <v>2366</v>
      </c>
      <c r="H5" s="3321"/>
      <c r="I5" s="3320" t="s">
        <v>2367</v>
      </c>
      <c r="J5" s="3321"/>
      <c r="K5" s="567"/>
      <c r="L5" s="2946"/>
      <c r="M5" s="2947"/>
      <c r="N5" s="2947"/>
      <c r="O5" s="2947"/>
      <c r="P5" s="3307"/>
      <c r="Q5" s="3308"/>
      <c r="R5" s="3313"/>
      <c r="S5" s="3314"/>
      <c r="T5" s="3313"/>
      <c r="U5" s="3314"/>
      <c r="V5" s="3317"/>
      <c r="W5" s="3317"/>
      <c r="X5" s="1541"/>
      <c r="Y5" s="3313"/>
      <c r="Z5" s="3314"/>
      <c r="AA5" s="3299"/>
      <c r="AB5" s="3299"/>
      <c r="AC5" s="3299"/>
    </row>
    <row r="6" spans="1:29" ht="15.75" thickBot="1">
      <c r="A6" s="366"/>
      <c r="B6" s="367"/>
      <c r="C6" s="3318" t="s">
        <v>2368</v>
      </c>
      <c r="D6" s="3319"/>
      <c r="E6" s="3326" t="s">
        <v>2368</v>
      </c>
      <c r="F6" s="3327"/>
      <c r="G6" s="3318" t="s">
        <v>2368</v>
      </c>
      <c r="H6" s="3319"/>
      <c r="I6" s="3318" t="s">
        <v>2368</v>
      </c>
      <c r="J6" s="3319"/>
      <c r="K6" s="567" t="s">
        <v>2369</v>
      </c>
      <c r="L6" s="2946"/>
      <c r="M6" s="2947"/>
      <c r="N6" s="2947"/>
      <c r="O6" s="2947"/>
      <c r="P6" s="3309"/>
      <c r="Q6" s="3310"/>
      <c r="R6" s="3313"/>
      <c r="S6" s="3314"/>
      <c r="T6" s="3315"/>
      <c r="U6" s="3316"/>
      <c r="V6" s="3317"/>
      <c r="W6" s="3317"/>
      <c r="X6" s="1541"/>
      <c r="Y6" s="3315"/>
      <c r="Z6" s="3316"/>
      <c r="AA6" s="3300"/>
      <c r="AB6" s="3300"/>
      <c r="AC6" s="3300"/>
    </row>
    <row r="7" spans="1:29" s="113" customFormat="1" ht="15.75" thickBot="1">
      <c r="A7" s="368" t="s">
        <v>2370</v>
      </c>
      <c r="B7" s="369"/>
      <c r="C7" s="370">
        <f>'数据-取费表'!B2</f>
        <v>44125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22" t="s">
        <v>2371</v>
      </c>
      <c r="Q7" s="3324"/>
      <c r="R7" s="710" t="s">
        <v>17</v>
      </c>
      <c r="S7" s="711">
        <f t="shared" ref="S7:S14" si="0">F7</f>
        <v>0</v>
      </c>
      <c r="T7" s="710" t="s">
        <v>17</v>
      </c>
      <c r="U7" s="711">
        <f t="shared" ref="U7:U14" si="1">H7</f>
        <v>0</v>
      </c>
      <c r="V7" s="710" t="s">
        <v>17</v>
      </c>
      <c r="W7" s="711">
        <f t="shared" ref="W7:W14" si="2">J7</f>
        <v>0</v>
      </c>
      <c r="X7" s="712"/>
      <c r="Y7" s="3322" t="s">
        <v>2371</v>
      </c>
      <c r="Z7" s="3323"/>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22" t="s">
        <v>2374</v>
      </c>
      <c r="Q8" s="3323"/>
      <c r="R8" s="710" t="s">
        <v>17</v>
      </c>
      <c r="S8" s="711">
        <f t="shared" si="0"/>
        <v>0</v>
      </c>
      <c r="T8" s="710" t="s">
        <v>17</v>
      </c>
      <c r="U8" s="711">
        <f t="shared" si="1"/>
        <v>0</v>
      </c>
      <c r="V8" s="710" t="s">
        <v>17</v>
      </c>
      <c r="W8" s="711">
        <f t="shared" si="2"/>
        <v>0</v>
      </c>
      <c r="X8" s="712"/>
      <c r="Y8" s="3322" t="s">
        <v>2374</v>
      </c>
      <c r="Z8" s="3323"/>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86" t="s">
        <v>2377</v>
      </c>
      <c r="Q9" s="1529" t="str">
        <f t="shared" ref="Q9:Q14" si="6">B9</f>
        <v>用途</v>
      </c>
      <c r="R9" s="710" t="s">
        <v>17</v>
      </c>
      <c r="S9" s="711">
        <f t="shared" si="0"/>
        <v>100</v>
      </c>
      <c r="T9" s="710" t="s">
        <v>17</v>
      </c>
      <c r="U9" s="711">
        <f t="shared" si="1"/>
        <v>100</v>
      </c>
      <c r="V9" s="710" t="s">
        <v>17</v>
      </c>
      <c r="W9" s="711">
        <f t="shared" si="2"/>
        <v>100</v>
      </c>
      <c r="X9" s="712"/>
      <c r="Y9" s="315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86"/>
      <c r="Q10" s="1529"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86"/>
      <c r="Q11" s="1529">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86"/>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86"/>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88" t="s">
        <v>2382</v>
      </c>
      <c r="Q14" s="1538" t="str">
        <f t="shared" si="6"/>
        <v>交通便捷度</v>
      </c>
      <c r="R14" s="714" t="s">
        <v>17</v>
      </c>
      <c r="S14" s="715">
        <f t="shared" si="0"/>
        <v>100</v>
      </c>
      <c r="T14" s="714" t="s">
        <v>17</v>
      </c>
      <c r="U14" s="715">
        <f t="shared" si="1"/>
        <v>100</v>
      </c>
      <c r="V14" s="714" t="s">
        <v>17</v>
      </c>
      <c r="W14" s="715">
        <f t="shared" si="2"/>
        <v>100</v>
      </c>
      <c r="X14" s="1541"/>
      <c r="Y14" s="328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89"/>
      <c r="Q15" s="1538"/>
      <c r="R15" s="714"/>
      <c r="S15" s="715"/>
      <c r="T15" s="714"/>
      <c r="U15" s="715"/>
      <c r="V15" s="714"/>
      <c r="W15" s="715"/>
      <c r="X15" s="1541"/>
      <c r="Y15" s="3289"/>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89"/>
      <c r="Q16" s="1538" t="str">
        <f>B16</f>
        <v>公共配套设施</v>
      </c>
      <c r="R16" s="714" t="s">
        <v>17</v>
      </c>
      <c r="S16" s="715">
        <f>F16</f>
        <v>100</v>
      </c>
      <c r="T16" s="714" t="s">
        <v>17</v>
      </c>
      <c r="U16" s="715">
        <f>H16</f>
        <v>100</v>
      </c>
      <c r="V16" s="714" t="s">
        <v>17</v>
      </c>
      <c r="W16" s="715">
        <f>J16</f>
        <v>100</v>
      </c>
      <c r="X16" s="1541"/>
      <c r="Y16" s="328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89"/>
      <c r="Q17" s="1538"/>
      <c r="R17" s="714"/>
      <c r="S17" s="715"/>
      <c r="T17" s="714"/>
      <c r="U17" s="715"/>
      <c r="V17" s="714"/>
      <c r="W17" s="715"/>
      <c r="X17" s="1541"/>
      <c r="Y17" s="3289"/>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89"/>
      <c r="Q18" s="1538" t="str">
        <f>B18</f>
        <v>基础设施水平</v>
      </c>
      <c r="R18" s="714" t="s">
        <v>17</v>
      </c>
      <c r="S18" s="715">
        <f>F18</f>
        <v>100</v>
      </c>
      <c r="T18" s="714" t="s">
        <v>17</v>
      </c>
      <c r="U18" s="715">
        <f>H18</f>
        <v>100</v>
      </c>
      <c r="V18" s="714" t="s">
        <v>17</v>
      </c>
      <c r="W18" s="715">
        <f>J18</f>
        <v>100</v>
      </c>
      <c r="X18" s="1541"/>
      <c r="Y18" s="328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89"/>
      <c r="Q19" s="1538"/>
      <c r="R19" s="714"/>
      <c r="S19" s="715"/>
      <c r="T19" s="714"/>
      <c r="U19" s="715"/>
      <c r="V19" s="714"/>
      <c r="W19" s="715"/>
      <c r="X19" s="1541"/>
      <c r="Y19" s="3289"/>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89"/>
      <c r="Q20" s="1538" t="str">
        <f>B20</f>
        <v>自然及人文环境</v>
      </c>
      <c r="R20" s="714" t="s">
        <v>17</v>
      </c>
      <c r="S20" s="715">
        <f>F20</f>
        <v>100</v>
      </c>
      <c r="T20" s="714" t="s">
        <v>17</v>
      </c>
      <c r="U20" s="715">
        <f>H20</f>
        <v>100</v>
      </c>
      <c r="V20" s="714" t="s">
        <v>17</v>
      </c>
      <c r="W20" s="715">
        <f>J20</f>
        <v>100</v>
      </c>
      <c r="X20" s="1541"/>
      <c r="Y20" s="328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89"/>
      <c r="Q21" s="1538"/>
      <c r="R21" s="714"/>
      <c r="S21" s="715"/>
      <c r="T21" s="714"/>
      <c r="U21" s="715"/>
      <c r="V21" s="714"/>
      <c r="W21" s="715"/>
      <c r="X21" s="1541"/>
      <c r="Y21" s="328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89"/>
      <c r="Q22" s="1538" t="str">
        <f>B22</f>
        <v>楼层</v>
      </c>
      <c r="R22" s="714" t="s">
        <v>17</v>
      </c>
      <c r="S22" s="715">
        <f>F22</f>
        <v>100</v>
      </c>
      <c r="T22" s="714" t="s">
        <v>17</v>
      </c>
      <c r="U22" s="715">
        <f>H22</f>
        <v>100</v>
      </c>
      <c r="V22" s="714" t="s">
        <v>17</v>
      </c>
      <c r="W22" s="715">
        <f>J22</f>
        <v>100</v>
      </c>
      <c r="X22" s="1541"/>
      <c r="Y22" s="328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89"/>
      <c r="Q23" s="1538">
        <f>B23</f>
        <v>111</v>
      </c>
      <c r="R23" s="714" t="s">
        <v>17</v>
      </c>
      <c r="S23" s="715">
        <f>F23</f>
        <v>100</v>
      </c>
      <c r="T23" s="714" t="s">
        <v>17</v>
      </c>
      <c r="U23" s="715">
        <f>H23</f>
        <v>100</v>
      </c>
      <c r="V23" s="714" t="s">
        <v>17</v>
      </c>
      <c r="W23" s="715">
        <f>J23</f>
        <v>100</v>
      </c>
      <c r="X23" s="1541"/>
      <c r="Y23" s="328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89"/>
      <c r="Q24" s="1538">
        <f t="shared" ref="Q24:Q34" si="11">B24</f>
        <v>111</v>
      </c>
      <c r="R24" s="714" t="s">
        <v>17</v>
      </c>
      <c r="S24" s="715">
        <f>F24</f>
        <v>100</v>
      </c>
      <c r="T24" s="714" t="s">
        <v>17</v>
      </c>
      <c r="U24" s="715">
        <f>H24</f>
        <v>100</v>
      </c>
      <c r="V24" s="714" t="s">
        <v>17</v>
      </c>
      <c r="W24" s="715">
        <f>J24</f>
        <v>100</v>
      </c>
      <c r="X24" s="1541"/>
      <c r="Y24" s="328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89"/>
      <c r="Q25" s="1529">
        <f t="shared" si="11"/>
        <v>111</v>
      </c>
      <c r="R25" s="710" t="s">
        <v>17</v>
      </c>
      <c r="S25" s="711">
        <f>F25</f>
        <v>100</v>
      </c>
      <c r="T25" s="710" t="s">
        <v>17</v>
      </c>
      <c r="U25" s="711">
        <f>H25</f>
        <v>100</v>
      </c>
      <c r="V25" s="710" t="s">
        <v>17</v>
      </c>
      <c r="W25" s="711">
        <f>J25</f>
        <v>100</v>
      </c>
      <c r="X25" s="712"/>
      <c r="Y25" s="3289"/>
      <c r="Z25" s="55">
        <f>Q25</f>
        <v>111</v>
      </c>
      <c r="AA25" s="1539">
        <f>D25/F25</f>
        <v>1</v>
      </c>
      <c r="AB25" s="1539">
        <f>D25/H25</f>
        <v>1</v>
      </c>
      <c r="AC25" s="1539">
        <f>D25/J25</f>
        <v>1</v>
      </c>
    </row>
    <row r="26" spans="1:29" ht="1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5"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9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93"/>
      <c r="Q27" s="716" t="str">
        <f t="shared" si="11"/>
        <v>成新率</v>
      </c>
      <c r="R27" s="717" t="s">
        <v>17</v>
      </c>
      <c r="S27" s="718" t="e">
        <f t="shared" si="12"/>
        <v>#N/A</v>
      </c>
      <c r="T27" s="717" t="s">
        <v>17</v>
      </c>
      <c r="U27" s="718" t="e">
        <f t="shared" si="13"/>
        <v>#N/A</v>
      </c>
      <c r="V27" s="717" t="s">
        <v>17</v>
      </c>
      <c r="W27" s="718" t="e">
        <f t="shared" si="14"/>
        <v>#N/A</v>
      </c>
      <c r="X27" s="719"/>
      <c r="Y27" s="329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93"/>
      <c r="Q28" s="1538" t="str">
        <f t="shared" si="11"/>
        <v>物业等级</v>
      </c>
      <c r="R28" s="714" t="s">
        <v>17</v>
      </c>
      <c r="S28" s="715">
        <f t="shared" si="12"/>
        <v>100</v>
      </c>
      <c r="T28" s="714" t="s">
        <v>17</v>
      </c>
      <c r="U28" s="715">
        <f t="shared" si="13"/>
        <v>100</v>
      </c>
      <c r="V28" s="714" t="s">
        <v>17</v>
      </c>
      <c r="W28" s="715">
        <f t="shared" si="14"/>
        <v>100</v>
      </c>
      <c r="X28" s="1541"/>
      <c r="Y28" s="329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93"/>
      <c r="Q29" s="1538" t="str">
        <f t="shared" si="11"/>
        <v>有无电梯</v>
      </c>
      <c r="R29" s="714" t="s">
        <v>17</v>
      </c>
      <c r="S29" s="715">
        <f t="shared" si="12"/>
        <v>100</v>
      </c>
      <c r="T29" s="714" t="s">
        <v>17</v>
      </c>
      <c r="U29" s="715">
        <f t="shared" si="13"/>
        <v>100</v>
      </c>
      <c r="V29" s="714" t="s">
        <v>17</v>
      </c>
      <c r="W29" s="715">
        <f t="shared" si="14"/>
        <v>100</v>
      </c>
      <c r="X29" s="1541"/>
      <c r="Y29" s="329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93"/>
      <c r="Q30" s="1538" t="str">
        <f t="shared" si="11"/>
        <v>建筑面积</v>
      </c>
      <c r="R30" s="714" t="s">
        <v>17</v>
      </c>
      <c r="S30" s="715" t="e">
        <f t="shared" si="12"/>
        <v>#N/A</v>
      </c>
      <c r="T30" s="714" t="s">
        <v>17</v>
      </c>
      <c r="U30" s="715" t="e">
        <f t="shared" si="13"/>
        <v>#N/A</v>
      </c>
      <c r="V30" s="714" t="s">
        <v>17</v>
      </c>
      <c r="W30" s="715" t="e">
        <f t="shared" si="14"/>
        <v>#N/A</v>
      </c>
      <c r="X30" s="1541"/>
      <c r="Y30" s="329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93"/>
      <c r="Q31" s="1529" t="str">
        <f t="shared" si="11"/>
        <v>是否封闭</v>
      </c>
      <c r="R31" s="710" t="s">
        <v>17</v>
      </c>
      <c r="S31" s="711">
        <f t="shared" si="12"/>
        <v>100</v>
      </c>
      <c r="T31" s="710" t="s">
        <v>17</v>
      </c>
      <c r="U31" s="711">
        <f t="shared" si="13"/>
        <v>100</v>
      </c>
      <c r="V31" s="710" t="s">
        <v>17</v>
      </c>
      <c r="W31" s="711">
        <f t="shared" si="14"/>
        <v>100</v>
      </c>
      <c r="X31" s="712"/>
      <c r="Y31" s="329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93" t="s">
        <v>2387</v>
      </c>
      <c r="Q32" s="1538">
        <f t="shared" si="11"/>
        <v>111</v>
      </c>
      <c r="R32" s="714" t="s">
        <v>17</v>
      </c>
      <c r="S32" s="715">
        <f t="shared" si="12"/>
        <v>100</v>
      </c>
      <c r="T32" s="714" t="s">
        <v>17</v>
      </c>
      <c r="U32" s="715">
        <f t="shared" si="13"/>
        <v>100</v>
      </c>
      <c r="V32" s="714" t="s">
        <v>17</v>
      </c>
      <c r="W32" s="715">
        <f t="shared" si="14"/>
        <v>100</v>
      </c>
      <c r="X32" s="1541"/>
      <c r="Y32" s="3293"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93"/>
      <c r="Q33" s="1538">
        <f t="shared" si="11"/>
        <v>111</v>
      </c>
      <c r="R33" s="714" t="s">
        <v>17</v>
      </c>
      <c r="S33" s="715">
        <f t="shared" si="12"/>
        <v>100</v>
      </c>
      <c r="T33" s="714" t="s">
        <v>17</v>
      </c>
      <c r="U33" s="715">
        <f t="shared" si="13"/>
        <v>100</v>
      </c>
      <c r="V33" s="714" t="s">
        <v>17</v>
      </c>
      <c r="W33" s="715">
        <f t="shared" si="14"/>
        <v>100</v>
      </c>
      <c r="X33" s="1541"/>
      <c r="Y33" s="329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93"/>
      <c r="Q34" s="1538">
        <f t="shared" si="11"/>
        <v>111</v>
      </c>
      <c r="R34" s="714" t="s">
        <v>17</v>
      </c>
      <c r="S34" s="715">
        <f t="shared" si="12"/>
        <v>100</v>
      </c>
      <c r="T34" s="714" t="s">
        <v>17</v>
      </c>
      <c r="U34" s="715">
        <f t="shared" si="13"/>
        <v>100</v>
      </c>
      <c r="V34" s="714" t="s">
        <v>17</v>
      </c>
      <c r="W34" s="715">
        <f t="shared" si="14"/>
        <v>100</v>
      </c>
      <c r="X34" s="1541"/>
      <c r="Y34" s="329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86" t="str">
        <f>A35</f>
        <v>成交单价（元/平方米）</v>
      </c>
      <c r="Q35" s="3286"/>
      <c r="R35" s="3287">
        <f>E35</f>
        <v>0</v>
      </c>
      <c r="S35" s="3287"/>
      <c r="T35" s="3287">
        <f>G35</f>
        <v>0</v>
      </c>
      <c r="U35" s="3287"/>
      <c r="V35" s="3287">
        <f>I35</f>
        <v>0</v>
      </c>
      <c r="W35" s="3287"/>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83" t="str">
        <f>A37</f>
        <v>估价对象XX用房的比较价值（楼面单价，元/平方米）</v>
      </c>
      <c r="Q37" s="3284"/>
      <c r="R37" s="3346" t="e">
        <f>IF(F1="售价",ROUND(IF(D36="简单平均",AVERAGE(R36:W36),R36*F36+T36*H36+V36*J36),0),ROUND(IF(D36="简单平均",AVERAGE(R36:V36),R36*F36+T36*H36+V36*J36),1))</f>
        <v>#DIV/0!</v>
      </c>
      <c r="S37" s="3346"/>
      <c r="T37" s="3346"/>
      <c r="U37" s="3346"/>
      <c r="V37" s="3346"/>
      <c r="W37" s="3346"/>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01" t="s">
        <v>2468</v>
      </c>
      <c r="D4" s="3302"/>
      <c r="E4" s="3303" t="s">
        <v>2469</v>
      </c>
      <c r="F4" s="3304"/>
      <c r="G4" s="3301" t="s">
        <v>2470</v>
      </c>
      <c r="H4" s="3302"/>
      <c r="I4" s="3301" t="s">
        <v>2471</v>
      </c>
      <c r="J4" s="3302"/>
      <c r="K4" s="567" t="s">
        <v>2472</v>
      </c>
      <c r="L4" s="2946"/>
      <c r="M4" s="2947"/>
      <c r="N4" s="2947"/>
      <c r="O4" s="2947"/>
      <c r="P4" s="3305" t="s">
        <v>2473</v>
      </c>
      <c r="Q4" s="3306"/>
      <c r="R4" s="3311" t="s">
        <v>2469</v>
      </c>
      <c r="S4" s="3312"/>
      <c r="T4" s="3311" t="s">
        <v>2470</v>
      </c>
      <c r="U4" s="3312"/>
      <c r="V4" s="3317" t="s">
        <v>2471</v>
      </c>
      <c r="W4" s="3317"/>
      <c r="X4" s="1541"/>
      <c r="Y4" s="3311" t="s">
        <v>2473</v>
      </c>
      <c r="Z4" s="3312"/>
      <c r="AA4" s="3298" t="s">
        <v>2469</v>
      </c>
      <c r="AB4" s="3299" t="s">
        <v>2470</v>
      </c>
      <c r="AC4" s="3298" t="s">
        <v>2471</v>
      </c>
    </row>
    <row r="5" spans="1:30" ht="15">
      <c r="A5" s="364"/>
      <c r="B5" s="365"/>
      <c r="C5" s="3320" t="s">
        <v>2364</v>
      </c>
      <c r="D5" s="3321"/>
      <c r="E5" s="3328" t="s">
        <v>2365</v>
      </c>
      <c r="F5" s="3329"/>
      <c r="G5" s="3320" t="s">
        <v>2366</v>
      </c>
      <c r="H5" s="3321"/>
      <c r="I5" s="3320" t="s">
        <v>2367</v>
      </c>
      <c r="J5" s="3321"/>
      <c r="K5" s="567"/>
      <c r="L5" s="2946"/>
      <c r="M5" s="2947"/>
      <c r="N5" s="2947"/>
      <c r="O5" s="2947"/>
      <c r="P5" s="3307"/>
      <c r="Q5" s="3308"/>
      <c r="R5" s="3313"/>
      <c r="S5" s="3314"/>
      <c r="T5" s="3313"/>
      <c r="U5" s="3314"/>
      <c r="V5" s="3317"/>
      <c r="W5" s="3317"/>
      <c r="X5" s="1541"/>
      <c r="Y5" s="3313"/>
      <c r="Z5" s="3314"/>
      <c r="AA5" s="3299"/>
      <c r="AB5" s="3299"/>
      <c r="AC5" s="3299"/>
    </row>
    <row r="6" spans="1:30" ht="15.75" thickBot="1">
      <c r="A6" s="366"/>
      <c r="B6" s="367"/>
      <c r="C6" s="3318" t="s">
        <v>2368</v>
      </c>
      <c r="D6" s="3319"/>
      <c r="E6" s="3326" t="s">
        <v>2368</v>
      </c>
      <c r="F6" s="3327"/>
      <c r="G6" s="3318" t="s">
        <v>2368</v>
      </c>
      <c r="H6" s="3319"/>
      <c r="I6" s="3318" t="s">
        <v>2368</v>
      </c>
      <c r="J6" s="3319"/>
      <c r="K6" s="567" t="s">
        <v>2369</v>
      </c>
      <c r="L6" s="2946"/>
      <c r="M6" s="2947"/>
      <c r="N6" s="2947"/>
      <c r="O6" s="2947"/>
      <c r="P6" s="3309"/>
      <c r="Q6" s="3310"/>
      <c r="R6" s="3313"/>
      <c r="S6" s="3314"/>
      <c r="T6" s="3315"/>
      <c r="U6" s="3316"/>
      <c r="V6" s="3317"/>
      <c r="W6" s="3317"/>
      <c r="X6" s="1541"/>
      <c r="Y6" s="3315"/>
      <c r="Z6" s="3316"/>
      <c r="AA6" s="3300"/>
      <c r="AB6" s="3300"/>
      <c r="AC6" s="3300"/>
    </row>
    <row r="7" spans="1:30" s="113" customFormat="1" ht="15.75" thickBot="1">
      <c r="A7" s="368" t="s">
        <v>2370</v>
      </c>
      <c r="B7" s="369"/>
      <c r="C7" s="370">
        <f>'数据-取费表'!B2</f>
        <v>44125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22" t="s">
        <v>2371</v>
      </c>
      <c r="Q7" s="3324"/>
      <c r="R7" s="710" t="s">
        <v>17</v>
      </c>
      <c r="S7" s="711">
        <f t="shared" ref="S7:S15" si="0">F7</f>
        <v>0</v>
      </c>
      <c r="T7" s="710" t="s">
        <v>17</v>
      </c>
      <c r="U7" s="711">
        <f t="shared" ref="U7:U15" si="1">H7</f>
        <v>0</v>
      </c>
      <c r="V7" s="710" t="s">
        <v>17</v>
      </c>
      <c r="W7" s="711">
        <f t="shared" ref="W7:W15" si="2">J7</f>
        <v>0</v>
      </c>
      <c r="X7" s="712"/>
      <c r="Y7" s="3322" t="s">
        <v>2371</v>
      </c>
      <c r="Z7" s="3323"/>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22" t="s">
        <v>2374</v>
      </c>
      <c r="Q8" s="3323"/>
      <c r="R8" s="710" t="s">
        <v>17</v>
      </c>
      <c r="S8" s="711">
        <f t="shared" si="0"/>
        <v>0</v>
      </c>
      <c r="T8" s="710" t="s">
        <v>17</v>
      </c>
      <c r="U8" s="711">
        <f t="shared" si="1"/>
        <v>0</v>
      </c>
      <c r="V8" s="710" t="s">
        <v>17</v>
      </c>
      <c r="W8" s="711">
        <f t="shared" si="2"/>
        <v>0</v>
      </c>
      <c r="X8" s="712"/>
      <c r="Y8" s="3322" t="s">
        <v>2374</v>
      </c>
      <c r="Z8" s="3323"/>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86"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119</v>
      </c>
      <c r="G10" s="422"/>
      <c r="H10" s="132">
        <f>ROUND(100/'数据-取费表'!G16,0)</f>
        <v>119</v>
      </c>
      <c r="I10" s="422"/>
      <c r="J10" s="132">
        <f>ROUND(100/'数据-取费表'!G16,0)</f>
        <v>119</v>
      </c>
      <c r="K10" s="628"/>
      <c r="L10" s="2950"/>
      <c r="M10" s="2951"/>
      <c r="N10" s="2951"/>
      <c r="O10" s="3004"/>
      <c r="P10" s="3286"/>
      <c r="Q10" s="1529" t="str">
        <f t="shared" si="6"/>
        <v>土地使用年限（年）</v>
      </c>
      <c r="R10" s="710" t="s">
        <v>17</v>
      </c>
      <c r="S10" s="711">
        <f t="shared" si="0"/>
        <v>119</v>
      </c>
      <c r="T10" s="710" t="s">
        <v>17</v>
      </c>
      <c r="U10" s="711">
        <f t="shared" si="1"/>
        <v>119</v>
      </c>
      <c r="V10" s="710" t="s">
        <v>17</v>
      </c>
      <c r="W10" s="711">
        <f t="shared" si="2"/>
        <v>119</v>
      </c>
      <c r="X10" s="712"/>
      <c r="Y10" s="3153"/>
      <c r="Z10" s="55" t="str">
        <f t="shared" si="7"/>
        <v>土地使用年限（年）</v>
      </c>
      <c r="AA10" s="713">
        <f t="shared" si="3"/>
        <v>0.84033613445378152</v>
      </c>
      <c r="AB10" s="713">
        <f t="shared" si="4"/>
        <v>0.84033613445378152</v>
      </c>
      <c r="AC10" s="713">
        <f t="shared" si="5"/>
        <v>0.84033613445378152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86"/>
      <c r="Q11" s="1529"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86"/>
      <c r="Q12" s="1529"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86"/>
      <c r="Q13" s="1529">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86"/>
      <c r="Q14" s="1529">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88" t="s">
        <v>2382</v>
      </c>
      <c r="Q15" s="1538" t="str">
        <f t="shared" si="6"/>
        <v>居住社区成熟度</v>
      </c>
      <c r="R15" s="714" t="s">
        <v>17</v>
      </c>
      <c r="S15" s="715">
        <f t="shared" si="0"/>
        <v>100</v>
      </c>
      <c r="T15" s="714" t="s">
        <v>17</v>
      </c>
      <c r="U15" s="715">
        <f t="shared" si="1"/>
        <v>100</v>
      </c>
      <c r="V15" s="714" t="s">
        <v>17</v>
      </c>
      <c r="W15" s="715">
        <f t="shared" si="2"/>
        <v>100</v>
      </c>
      <c r="X15" s="1541"/>
      <c r="Y15" s="3288"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89"/>
      <c r="Q16" s="1538"/>
      <c r="R16" s="714"/>
      <c r="S16" s="715"/>
      <c r="T16" s="714"/>
      <c r="U16" s="715"/>
      <c r="V16" s="714"/>
      <c r="W16" s="715"/>
      <c r="X16" s="1541"/>
      <c r="Y16" s="3289"/>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89"/>
      <c r="Q17" s="1538" t="str">
        <f>B17</f>
        <v>商业繁华度</v>
      </c>
      <c r="R17" s="714" t="s">
        <v>17</v>
      </c>
      <c r="S17" s="715">
        <f>F17</f>
        <v>100</v>
      </c>
      <c r="T17" s="714" t="s">
        <v>17</v>
      </c>
      <c r="U17" s="715">
        <f>H17</f>
        <v>100</v>
      </c>
      <c r="V17" s="714" t="s">
        <v>17</v>
      </c>
      <c r="W17" s="715">
        <f>J17</f>
        <v>100</v>
      </c>
      <c r="X17" s="1541"/>
      <c r="Y17" s="328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89"/>
      <c r="Q18" s="1538"/>
      <c r="R18" s="714"/>
      <c r="S18" s="715"/>
      <c r="T18" s="714"/>
      <c r="U18" s="715"/>
      <c r="V18" s="714"/>
      <c r="W18" s="715"/>
      <c r="X18" s="1541"/>
      <c r="Y18" s="3289"/>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89"/>
      <c r="Q19" s="1538" t="str">
        <f>B19</f>
        <v>办公集聚程度</v>
      </c>
      <c r="R19" s="714" t="s">
        <v>17</v>
      </c>
      <c r="S19" s="715">
        <f>F19</f>
        <v>100</v>
      </c>
      <c r="T19" s="714" t="s">
        <v>17</v>
      </c>
      <c r="U19" s="715">
        <f>H19</f>
        <v>100</v>
      </c>
      <c r="V19" s="714" t="s">
        <v>17</v>
      </c>
      <c r="W19" s="715">
        <f>J19</f>
        <v>100</v>
      </c>
      <c r="X19" s="1541"/>
      <c r="Y19" s="328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89"/>
      <c r="Q20" s="1538"/>
      <c r="R20" s="714"/>
      <c r="S20" s="715"/>
      <c r="T20" s="714"/>
      <c r="U20" s="715"/>
      <c r="V20" s="714"/>
      <c r="W20" s="715"/>
      <c r="X20" s="1541"/>
      <c r="Y20" s="3289"/>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89"/>
      <c r="Q21" s="1538" t="str">
        <f>B21</f>
        <v>交通便捷度</v>
      </c>
      <c r="R21" s="714" t="s">
        <v>17</v>
      </c>
      <c r="S21" s="715">
        <f>F21</f>
        <v>100</v>
      </c>
      <c r="T21" s="714" t="s">
        <v>17</v>
      </c>
      <c r="U21" s="715">
        <f>H21</f>
        <v>100</v>
      </c>
      <c r="V21" s="714" t="s">
        <v>17</v>
      </c>
      <c r="W21" s="715">
        <f>J21</f>
        <v>100</v>
      </c>
      <c r="X21" s="1541"/>
      <c r="Y21" s="328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89"/>
      <c r="Q22" s="1538"/>
      <c r="R22" s="714"/>
      <c r="S22" s="715"/>
      <c r="T22" s="714"/>
      <c r="U22" s="715"/>
      <c r="V22" s="714"/>
      <c r="W22" s="715"/>
      <c r="X22" s="1541"/>
      <c r="Y22" s="328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89"/>
      <c r="Q23" s="1538" t="str">
        <f t="shared" ref="Q23:Q37" si="8">B23</f>
        <v>区域土地利用方向</v>
      </c>
      <c r="R23" s="714" t="s">
        <v>17</v>
      </c>
      <c r="S23" s="715">
        <f>F23</f>
        <v>100</v>
      </c>
      <c r="T23" s="714" t="s">
        <v>17</v>
      </c>
      <c r="U23" s="715">
        <f>H23</f>
        <v>100</v>
      </c>
      <c r="V23" s="714" t="s">
        <v>17</v>
      </c>
      <c r="W23" s="715">
        <f>J23</f>
        <v>100</v>
      </c>
      <c r="X23" s="1541"/>
      <c r="Y23" s="328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89"/>
      <c r="Q24" s="1538"/>
      <c r="R24" s="714"/>
      <c r="S24" s="715"/>
      <c r="T24" s="714"/>
      <c r="U24" s="715"/>
      <c r="V24" s="714"/>
      <c r="W24" s="715"/>
      <c r="X24" s="1541"/>
      <c r="Y24" s="3289"/>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89"/>
      <c r="Q25" s="1538" t="str">
        <f t="shared" si="8"/>
        <v>自然及人文环境状况</v>
      </c>
      <c r="R25" s="714" t="s">
        <v>17</v>
      </c>
      <c r="S25" s="715">
        <f>F25</f>
        <v>100</v>
      </c>
      <c r="T25" s="714" t="s">
        <v>17</v>
      </c>
      <c r="U25" s="715">
        <f>H25</f>
        <v>100</v>
      </c>
      <c r="V25" s="714" t="s">
        <v>17</v>
      </c>
      <c r="W25" s="715">
        <f>J25</f>
        <v>100</v>
      </c>
      <c r="X25" s="1541"/>
      <c r="Y25" s="328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89"/>
      <c r="Q26" s="1538"/>
      <c r="R26" s="714"/>
      <c r="S26" s="715"/>
      <c r="T26" s="714"/>
      <c r="U26" s="715"/>
      <c r="V26" s="714"/>
      <c r="W26" s="715"/>
      <c r="X26" s="1541"/>
      <c r="Y26" s="3289"/>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89"/>
      <c r="Q27" s="1529" t="str">
        <f t="shared" si="8"/>
        <v>公共配套设施</v>
      </c>
      <c r="R27" s="710" t="s">
        <v>17</v>
      </c>
      <c r="S27" s="711">
        <f>F27</f>
        <v>100</v>
      </c>
      <c r="T27" s="710" t="s">
        <v>17</v>
      </c>
      <c r="U27" s="711">
        <f>H27</f>
        <v>100</v>
      </c>
      <c r="V27" s="710" t="s">
        <v>17</v>
      </c>
      <c r="W27" s="711">
        <f>J27</f>
        <v>100</v>
      </c>
      <c r="X27" s="712"/>
      <c r="Y27" s="328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89"/>
      <c r="Q28" s="1529"/>
      <c r="R28" s="710"/>
      <c r="S28" s="711"/>
      <c r="T28" s="710"/>
      <c r="U28" s="711"/>
      <c r="V28" s="710"/>
      <c r="W28" s="711"/>
      <c r="X28" s="712"/>
      <c r="Y28" s="3289"/>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89"/>
      <c r="Q29" s="1529" t="str">
        <f t="shared" ref="Q29" si="9">B29</f>
        <v>基础设施水平</v>
      </c>
      <c r="R29" s="710" t="s">
        <v>17</v>
      </c>
      <c r="S29" s="711">
        <f>F29</f>
        <v>100</v>
      </c>
      <c r="T29" s="710" t="s">
        <v>17</v>
      </c>
      <c r="U29" s="711">
        <f>H29</f>
        <v>100</v>
      </c>
      <c r="V29" s="710" t="s">
        <v>17</v>
      </c>
      <c r="W29" s="711">
        <f>J29</f>
        <v>100</v>
      </c>
      <c r="X29" s="712"/>
      <c r="Y29" s="328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89"/>
      <c r="Q30" s="1529"/>
      <c r="R30" s="710"/>
      <c r="S30" s="711"/>
      <c r="T30" s="710"/>
      <c r="U30" s="711"/>
      <c r="V30" s="710"/>
      <c r="W30" s="711"/>
      <c r="X30" s="712"/>
      <c r="Y30" s="328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8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89"/>
      <c r="Q32" s="1538" t="str">
        <f t="shared" si="8"/>
        <v>毗邻道路的类型与等级</v>
      </c>
      <c r="R32" s="714" t="s">
        <v>17</v>
      </c>
      <c r="S32" s="715">
        <f t="shared" si="10"/>
        <v>100</v>
      </c>
      <c r="T32" s="714" t="s">
        <v>17</v>
      </c>
      <c r="U32" s="715">
        <f t="shared" si="11"/>
        <v>100</v>
      </c>
      <c r="V32" s="714" t="s">
        <v>17</v>
      </c>
      <c r="W32" s="715">
        <f t="shared" si="12"/>
        <v>100</v>
      </c>
      <c r="X32" s="1541"/>
      <c r="Y32" s="328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89"/>
      <c r="Q33" s="1538"/>
      <c r="R33" s="714"/>
      <c r="S33" s="715"/>
      <c r="T33" s="714"/>
      <c r="U33" s="715"/>
      <c r="V33" s="714"/>
      <c r="W33" s="715"/>
      <c r="X33" s="1541"/>
      <c r="Y33" s="328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89"/>
      <c r="Q34" s="1538" t="str">
        <f t="shared" si="8"/>
        <v>土地级别</v>
      </c>
      <c r="R34" s="714" t="s">
        <v>17</v>
      </c>
      <c r="S34" s="715">
        <f t="shared" si="10"/>
        <v>100</v>
      </c>
      <c r="T34" s="714" t="s">
        <v>17</v>
      </c>
      <c r="U34" s="715">
        <f t="shared" si="11"/>
        <v>100</v>
      </c>
      <c r="V34" s="714" t="s">
        <v>17</v>
      </c>
      <c r="W34" s="715">
        <f t="shared" si="12"/>
        <v>100</v>
      </c>
      <c r="X34" s="1541"/>
      <c r="Y34" s="328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89"/>
      <c r="Q35" s="1538">
        <f t="shared" si="8"/>
        <v>111</v>
      </c>
      <c r="R35" s="714" t="s">
        <v>17</v>
      </c>
      <c r="S35" s="715">
        <f t="shared" si="10"/>
        <v>100</v>
      </c>
      <c r="T35" s="714" t="s">
        <v>17</v>
      </c>
      <c r="U35" s="715">
        <f t="shared" si="11"/>
        <v>100</v>
      </c>
      <c r="V35" s="714" t="s">
        <v>17</v>
      </c>
      <c r="W35" s="715">
        <f t="shared" si="12"/>
        <v>100</v>
      </c>
      <c r="X35" s="1541"/>
      <c r="Y35" s="328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5" t="s">
        <v>2387</v>
      </c>
      <c r="Q36" s="1538">
        <f t="shared" si="8"/>
        <v>111</v>
      </c>
      <c r="R36" s="714" t="s">
        <v>17</v>
      </c>
      <c r="S36" s="715">
        <f t="shared" si="10"/>
        <v>100</v>
      </c>
      <c r="T36" s="714" t="s">
        <v>17</v>
      </c>
      <c r="U36" s="715">
        <f t="shared" si="11"/>
        <v>100</v>
      </c>
      <c r="V36" s="714" t="s">
        <v>17</v>
      </c>
      <c r="W36" s="715">
        <f t="shared" si="12"/>
        <v>100</v>
      </c>
      <c r="X36" s="1541"/>
      <c r="Y36" s="329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93"/>
      <c r="Q37" s="1538">
        <f t="shared" si="8"/>
        <v>111</v>
      </c>
      <c r="R37" s="717" t="s">
        <v>17</v>
      </c>
      <c r="S37" s="718">
        <f t="shared" si="10"/>
        <v>100</v>
      </c>
      <c r="T37" s="717" t="s">
        <v>17</v>
      </c>
      <c r="U37" s="718">
        <f t="shared" si="11"/>
        <v>100</v>
      </c>
      <c r="V37" s="717" t="s">
        <v>17</v>
      </c>
      <c r="W37" s="718">
        <f t="shared" si="12"/>
        <v>100</v>
      </c>
      <c r="X37" s="719"/>
      <c r="Y37" s="3293"/>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93"/>
      <c r="Q38" s="1538" t="str">
        <f>B38</f>
        <v>宗地面积</v>
      </c>
      <c r="R38" s="714" t="s">
        <v>17</v>
      </c>
      <c r="S38" s="715" t="e">
        <f t="shared" si="10"/>
        <v>#N/A</v>
      </c>
      <c r="T38" s="714" t="s">
        <v>17</v>
      </c>
      <c r="U38" s="715" t="e">
        <f t="shared" si="11"/>
        <v>#N/A</v>
      </c>
      <c r="V38" s="714" t="s">
        <v>17</v>
      </c>
      <c r="W38" s="715" t="e">
        <f t="shared" si="12"/>
        <v>#N/A</v>
      </c>
      <c r="X38" s="1541"/>
      <c r="Y38" s="3293"/>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93"/>
      <c r="Q39" s="1538" t="str">
        <f t="shared" ref="Q39:Q45" si="14">B39</f>
        <v>宗地形状</v>
      </c>
      <c r="R39" s="714" t="s">
        <v>17</v>
      </c>
      <c r="S39" s="715">
        <f t="shared" si="10"/>
        <v>100</v>
      </c>
      <c r="T39" s="714" t="s">
        <v>17</v>
      </c>
      <c r="U39" s="715">
        <f t="shared" si="11"/>
        <v>100</v>
      </c>
      <c r="V39" s="714" t="s">
        <v>17</v>
      </c>
      <c r="W39" s="715">
        <f t="shared" si="12"/>
        <v>100</v>
      </c>
      <c r="X39" s="1541"/>
      <c r="Y39" s="3293"/>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93"/>
      <c r="Q40" s="1538" t="str">
        <f t="shared" si="14"/>
        <v>临街宽度及深度</v>
      </c>
      <c r="R40" s="714" t="s">
        <v>17</v>
      </c>
      <c r="S40" s="715">
        <f t="shared" si="10"/>
        <v>100</v>
      </c>
      <c r="T40" s="714" t="s">
        <v>17</v>
      </c>
      <c r="U40" s="715">
        <f t="shared" si="11"/>
        <v>100</v>
      </c>
      <c r="V40" s="714" t="s">
        <v>17</v>
      </c>
      <c r="W40" s="715">
        <f t="shared" si="12"/>
        <v>100</v>
      </c>
      <c r="X40" s="1541"/>
      <c r="Y40" s="3293"/>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93"/>
      <c r="Q41" s="1538" t="str">
        <f t="shared" si="14"/>
        <v>宗地开发程度</v>
      </c>
      <c r="R41" s="710" t="s">
        <v>17</v>
      </c>
      <c r="S41" s="711">
        <f t="shared" si="10"/>
        <v>100</v>
      </c>
      <c r="T41" s="710" t="s">
        <v>17</v>
      </c>
      <c r="U41" s="711">
        <f t="shared" si="11"/>
        <v>100</v>
      </c>
      <c r="V41" s="710" t="s">
        <v>17</v>
      </c>
      <c r="W41" s="711">
        <f t="shared" si="12"/>
        <v>100</v>
      </c>
      <c r="X41" s="712"/>
      <c r="Y41" s="3293"/>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93" t="s">
        <v>2387</v>
      </c>
      <c r="Q42" s="1538" t="str">
        <f t="shared" si="14"/>
        <v>工程地质条件</v>
      </c>
      <c r="R42" s="714" t="s">
        <v>17</v>
      </c>
      <c r="S42" s="715">
        <f t="shared" si="10"/>
        <v>100</v>
      </c>
      <c r="T42" s="714" t="s">
        <v>17</v>
      </c>
      <c r="U42" s="715">
        <f t="shared" si="11"/>
        <v>100</v>
      </c>
      <c r="V42" s="714" t="s">
        <v>17</v>
      </c>
      <c r="W42" s="715">
        <f t="shared" si="12"/>
        <v>100</v>
      </c>
      <c r="X42" s="1541"/>
      <c r="Y42" s="329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93"/>
      <c r="Q43" s="1538">
        <f t="shared" si="14"/>
        <v>111</v>
      </c>
      <c r="R43" s="714" t="s">
        <v>17</v>
      </c>
      <c r="S43" s="715">
        <f t="shared" si="10"/>
        <v>100</v>
      </c>
      <c r="T43" s="714" t="s">
        <v>17</v>
      </c>
      <c r="U43" s="715">
        <f t="shared" si="11"/>
        <v>100</v>
      </c>
      <c r="V43" s="714" t="s">
        <v>17</v>
      </c>
      <c r="W43" s="715">
        <f t="shared" si="12"/>
        <v>100</v>
      </c>
      <c r="X43" s="1541"/>
      <c r="Y43" s="329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93"/>
      <c r="Q44" s="1538">
        <f t="shared" si="14"/>
        <v>111</v>
      </c>
      <c r="R44" s="714" t="s">
        <v>17</v>
      </c>
      <c r="S44" s="715">
        <f t="shared" si="10"/>
        <v>100</v>
      </c>
      <c r="T44" s="714" t="s">
        <v>17</v>
      </c>
      <c r="U44" s="715">
        <f t="shared" si="11"/>
        <v>100</v>
      </c>
      <c r="V44" s="714" t="s">
        <v>17</v>
      </c>
      <c r="W44" s="715">
        <f t="shared" si="12"/>
        <v>100</v>
      </c>
      <c r="X44" s="1541"/>
      <c r="Y44" s="329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93"/>
      <c r="Q45" s="1538">
        <f t="shared" si="14"/>
        <v>111</v>
      </c>
      <c r="R45" s="717" t="s">
        <v>17</v>
      </c>
      <c r="S45" s="718">
        <f t="shared" si="10"/>
        <v>100</v>
      </c>
      <c r="T45" s="717" t="s">
        <v>17</v>
      </c>
      <c r="U45" s="718">
        <f t="shared" si="11"/>
        <v>100</v>
      </c>
      <c r="V45" s="717" t="s">
        <v>17</v>
      </c>
      <c r="W45" s="718">
        <f t="shared" si="12"/>
        <v>100</v>
      </c>
      <c r="X45" s="719"/>
      <c r="Y45" s="3293"/>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86" t="str">
        <f>A46</f>
        <v>成交单价</v>
      </c>
      <c r="Q46" s="3286"/>
      <c r="R46" s="3317">
        <f>E46</f>
        <v>0</v>
      </c>
      <c r="S46" s="3317"/>
      <c r="T46" s="3317">
        <f>G46</f>
        <v>0</v>
      </c>
      <c r="U46" s="3317"/>
      <c r="V46" s="3317">
        <f>I46</f>
        <v>0</v>
      </c>
      <c r="W46" s="3317"/>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286" t="str">
        <f>A47</f>
        <v>比较价值（元/平方米）</v>
      </c>
      <c r="Q47" s="3286"/>
      <c r="R47" s="3347" t="e">
        <f>ROUND(PRODUCT(R46,AA7:AA45),0)</f>
        <v>#DIV/0!</v>
      </c>
      <c r="S47" s="3347"/>
      <c r="T47" s="3347" t="e">
        <f>ROUND(PRODUCT(T46,AB7:AB45),0)</f>
        <v>#DIV/0!</v>
      </c>
      <c r="U47" s="3347"/>
      <c r="V47" s="3347" t="e">
        <f>ROUND(PRODUCT(V46,AC7:AC45),0)</f>
        <v>#DIV/0!</v>
      </c>
      <c r="W47" s="3347"/>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83" t="str">
        <f>A48</f>
        <v>估价对象XX用房的比较价值（楼面单价，元/平方米）</v>
      </c>
      <c r="Q48" s="3284"/>
      <c r="R48" s="3348" t="e">
        <f>ROUND(IF(D47="简单平均",AVERAGE(R47:W47),R47*F47+T47*H47+V47*J47),0)</f>
        <v>#DIV/0!</v>
      </c>
      <c r="S48" s="3348"/>
      <c r="T48" s="3348"/>
      <c r="U48" s="3348"/>
      <c r="V48" s="3348"/>
      <c r="W48" s="3348"/>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01" t="s">
        <v>2586</v>
      </c>
      <c r="H55" s="3349"/>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83.16</v>
      </c>
      <c r="F56" s="1017" t="e">
        <f t="shared" ref="F56:F65" si="15">ROUND(B56*E56/10000,0)</f>
        <v>#DIV/0!</v>
      </c>
      <c r="G56" s="3297"/>
      <c r="H56" s="3286"/>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0.8</v>
      </c>
      <c r="D57" s="1076">
        <v>0.25</v>
      </c>
      <c r="E57" s="650"/>
      <c r="F57" s="1017" t="e">
        <f t="shared" si="15"/>
        <v>#DIV/0!</v>
      </c>
      <c r="G57" s="3350" t="s">
        <v>2591</v>
      </c>
      <c r="H57" s="1018" t="str">
        <f>项目基本情况!B37</f>
        <v>二级</v>
      </c>
      <c r="I57" s="1022">
        <f>SUMIF(修正!A45:A56,H57,修正!B45:B56)</f>
        <v>0.8</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0.5</v>
      </c>
      <c r="D58" s="1076">
        <v>0.25</v>
      </c>
      <c r="E58" s="650"/>
      <c r="F58" s="1017" t="e">
        <f t="shared" si="15"/>
        <v>#DIV/0!</v>
      </c>
      <c r="G58" s="3350"/>
      <c r="H58" s="1018" t="str">
        <f>项目基本情况!B37</f>
        <v>二级</v>
      </c>
      <c r="I58" s="1022">
        <f>SUMIF(修正!A45:A56,H58,修正!C45:C56)</f>
        <v>0.5</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0.36</v>
      </c>
      <c r="D59" s="1076">
        <v>0.25</v>
      </c>
      <c r="E59" s="650"/>
      <c r="F59" s="1017" t="e">
        <f t="shared" si="15"/>
        <v>#DIV/0!</v>
      </c>
      <c r="G59" s="3350"/>
      <c r="H59" s="1018" t="str">
        <f>项目基本情况!B37</f>
        <v>二级</v>
      </c>
      <c r="I59" s="1022">
        <f>SUMIF(修正!A45:A56,H59,修正!D45:D56)</f>
        <v>0.36</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0.3</v>
      </c>
      <c r="D60" s="1076">
        <v>0.25</v>
      </c>
      <c r="E60" s="650"/>
      <c r="F60" s="1017" t="e">
        <f t="shared" si="15"/>
        <v>#DIV/0!</v>
      </c>
      <c r="G60" s="3350"/>
      <c r="H60" s="1018" t="str">
        <f>项目基本情况!B37</f>
        <v>二级</v>
      </c>
      <c r="I60" s="1022">
        <f>SUMIF(修正!A45:A56,H60,修正!E45:E56)</f>
        <v>0.3</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0.25</v>
      </c>
      <c r="D64" s="1076">
        <v>0.25</v>
      </c>
      <c r="E64" s="223">
        <f>'数据-汇总表'!E14</f>
        <v>0</v>
      </c>
      <c r="F64" s="1017" t="e">
        <f t="shared" si="15"/>
        <v>#DIV/0!</v>
      </c>
      <c r="G64" s="2175" t="s">
        <v>2591</v>
      </c>
      <c r="H64" s="1018" t="str">
        <f>项目基本情况!B37</f>
        <v>二级</v>
      </c>
      <c r="I64" s="1022">
        <f>SUMIF(修正!A45:A56,H64,修正!H45:H56)</f>
        <v>0.25</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83.16</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1" t="s">
        <v>2468</v>
      </c>
      <c r="D4" s="3302"/>
      <c r="E4" s="3303" t="s">
        <v>2469</v>
      </c>
      <c r="F4" s="3304"/>
      <c r="G4" s="3301" t="s">
        <v>2470</v>
      </c>
      <c r="H4" s="3302"/>
      <c r="I4" s="3301" t="s">
        <v>2471</v>
      </c>
      <c r="J4" s="3302"/>
      <c r="K4" s="567" t="s">
        <v>2472</v>
      </c>
      <c r="L4" s="2946"/>
      <c r="M4" s="2947"/>
      <c r="N4" s="2947"/>
      <c r="O4" s="2947"/>
      <c r="P4" s="3305" t="s">
        <v>2473</v>
      </c>
      <c r="Q4" s="3306"/>
      <c r="R4" s="3311" t="s">
        <v>2469</v>
      </c>
      <c r="S4" s="3312"/>
      <c r="T4" s="3311" t="s">
        <v>2470</v>
      </c>
      <c r="U4" s="3312"/>
      <c r="V4" s="3317" t="s">
        <v>2471</v>
      </c>
      <c r="W4" s="3317"/>
      <c r="X4" s="1541"/>
      <c r="Y4" s="3311" t="s">
        <v>2473</v>
      </c>
      <c r="Z4" s="3312"/>
      <c r="AA4" s="3298" t="s">
        <v>2469</v>
      </c>
      <c r="AB4" s="3299" t="s">
        <v>2470</v>
      </c>
      <c r="AC4" s="3298" t="s">
        <v>2471</v>
      </c>
    </row>
    <row r="5" spans="1:29" ht="15">
      <c r="A5" s="364"/>
      <c r="B5" s="365"/>
      <c r="C5" s="3320" t="s">
        <v>2364</v>
      </c>
      <c r="D5" s="3321"/>
      <c r="E5" s="3328" t="s">
        <v>2365</v>
      </c>
      <c r="F5" s="3329"/>
      <c r="G5" s="3320" t="s">
        <v>2366</v>
      </c>
      <c r="H5" s="3321"/>
      <c r="I5" s="3320" t="s">
        <v>2367</v>
      </c>
      <c r="J5" s="3321"/>
      <c r="K5" s="567"/>
      <c r="L5" s="2946"/>
      <c r="M5" s="2947"/>
      <c r="N5" s="2947"/>
      <c r="O5" s="2947"/>
      <c r="P5" s="3307"/>
      <c r="Q5" s="3308"/>
      <c r="R5" s="3313"/>
      <c r="S5" s="3314"/>
      <c r="T5" s="3313"/>
      <c r="U5" s="3314"/>
      <c r="V5" s="3317"/>
      <c r="W5" s="3317"/>
      <c r="X5" s="1541"/>
      <c r="Y5" s="3313"/>
      <c r="Z5" s="3314"/>
      <c r="AA5" s="3299"/>
      <c r="AB5" s="3299"/>
      <c r="AC5" s="3299"/>
    </row>
    <row r="6" spans="1:29" ht="15.75" thickBot="1">
      <c r="A6" s="366"/>
      <c r="B6" s="367"/>
      <c r="C6" s="3351" t="s">
        <v>2619</v>
      </c>
      <c r="D6" s="3352"/>
      <c r="E6" s="3353" t="s">
        <v>2619</v>
      </c>
      <c r="F6" s="3354"/>
      <c r="G6" s="3351" t="s">
        <v>2619</v>
      </c>
      <c r="H6" s="3352"/>
      <c r="I6" s="3351" t="s">
        <v>2619</v>
      </c>
      <c r="J6" s="3352"/>
      <c r="K6" s="567" t="s">
        <v>2369</v>
      </c>
      <c r="L6" s="2946"/>
      <c r="M6" s="2947"/>
      <c r="N6" s="2947"/>
      <c r="O6" s="2947"/>
      <c r="P6" s="3309"/>
      <c r="Q6" s="3310"/>
      <c r="R6" s="3313"/>
      <c r="S6" s="3314"/>
      <c r="T6" s="3315"/>
      <c r="U6" s="3316"/>
      <c r="V6" s="3317"/>
      <c r="W6" s="3317"/>
      <c r="X6" s="1541"/>
      <c r="Y6" s="3315"/>
      <c r="Z6" s="3316"/>
      <c r="AA6" s="3300"/>
      <c r="AB6" s="3300"/>
      <c r="AC6" s="3300"/>
    </row>
    <row r="7" spans="1:29" s="113" customFormat="1" ht="15.75" thickBot="1">
      <c r="A7" s="368" t="s">
        <v>2370</v>
      </c>
      <c r="B7" s="369"/>
      <c r="C7" s="370">
        <f>'数据-取费表'!B2</f>
        <v>44125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22" t="s">
        <v>2371</v>
      </c>
      <c r="Q7" s="3324"/>
      <c r="R7" s="710" t="s">
        <v>17</v>
      </c>
      <c r="S7" s="711">
        <f t="shared" ref="S7:S15" si="0">F7</f>
        <v>0</v>
      </c>
      <c r="T7" s="710" t="s">
        <v>17</v>
      </c>
      <c r="U7" s="711">
        <f t="shared" ref="U7:U15" si="1">H7</f>
        <v>0</v>
      </c>
      <c r="V7" s="710" t="s">
        <v>17</v>
      </c>
      <c r="W7" s="711">
        <f t="shared" ref="W7:W15" si="2">J7</f>
        <v>0</v>
      </c>
      <c r="X7" s="712"/>
      <c r="Y7" s="3322" t="s">
        <v>2371</v>
      </c>
      <c r="Z7" s="3323"/>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22" t="s">
        <v>2374</v>
      </c>
      <c r="Q8" s="3323"/>
      <c r="R8" s="710" t="s">
        <v>17</v>
      </c>
      <c r="S8" s="711">
        <f t="shared" si="0"/>
        <v>0</v>
      </c>
      <c r="T8" s="710" t="s">
        <v>17</v>
      </c>
      <c r="U8" s="711">
        <f t="shared" si="1"/>
        <v>0</v>
      </c>
      <c r="V8" s="710" t="s">
        <v>17</v>
      </c>
      <c r="W8" s="711">
        <f t="shared" si="2"/>
        <v>0</v>
      </c>
      <c r="X8" s="712"/>
      <c r="Y8" s="3322" t="s">
        <v>2374</v>
      </c>
      <c r="Z8" s="3323"/>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86" t="s">
        <v>2377</v>
      </c>
      <c r="Q9" s="1529" t="str">
        <f t="shared" ref="Q9:Q15" si="6">B9</f>
        <v>用途</v>
      </c>
      <c r="R9" s="710" t="s">
        <v>17</v>
      </c>
      <c r="S9" s="711">
        <f t="shared" si="0"/>
        <v>100</v>
      </c>
      <c r="T9" s="710" t="s">
        <v>17</v>
      </c>
      <c r="U9" s="711">
        <f t="shared" si="1"/>
        <v>100</v>
      </c>
      <c r="V9" s="710" t="s">
        <v>17</v>
      </c>
      <c r="W9" s="711">
        <f t="shared" si="2"/>
        <v>100</v>
      </c>
      <c r="X9" s="712"/>
      <c r="Y9" s="315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119</v>
      </c>
      <c r="G10" s="391"/>
      <c r="H10" s="132">
        <f>ROUND(100/'数据-取费表'!G16,0)</f>
        <v>119</v>
      </c>
      <c r="I10" s="391"/>
      <c r="J10" s="132">
        <f>ROUND(100/'数据-取费表'!G16,0)</f>
        <v>119</v>
      </c>
      <c r="K10" s="628"/>
      <c r="L10" s="2950"/>
      <c r="M10" s="2951"/>
      <c r="N10" s="2951"/>
      <c r="O10" s="3004"/>
      <c r="P10" s="3286"/>
      <c r="Q10" s="1529" t="str">
        <f t="shared" si="6"/>
        <v>土地使用年限（年）</v>
      </c>
      <c r="R10" s="710" t="s">
        <v>17</v>
      </c>
      <c r="S10" s="711">
        <f t="shared" si="0"/>
        <v>119</v>
      </c>
      <c r="T10" s="710" t="s">
        <v>17</v>
      </c>
      <c r="U10" s="711">
        <f t="shared" si="1"/>
        <v>119</v>
      </c>
      <c r="V10" s="710" t="s">
        <v>17</v>
      </c>
      <c r="W10" s="711">
        <f t="shared" si="2"/>
        <v>119</v>
      </c>
      <c r="X10" s="712"/>
      <c r="Y10" s="3153"/>
      <c r="Z10" s="55" t="str">
        <f t="shared" si="7"/>
        <v>土地使用年限（年）</v>
      </c>
      <c r="AA10" s="713">
        <f t="shared" si="3"/>
        <v>0.84033613445378152</v>
      </c>
      <c r="AB10" s="713">
        <f t="shared" si="4"/>
        <v>0.84033613445378152</v>
      </c>
      <c r="AC10" s="713">
        <f t="shared" si="5"/>
        <v>0.84033613445378152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86"/>
      <c r="Q11" s="1529"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86"/>
      <c r="Q12" s="1529">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86"/>
      <c r="Q13" s="1529">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86"/>
      <c r="Q14" s="1529">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88" t="s">
        <v>2382</v>
      </c>
      <c r="Q15" s="1538" t="str">
        <f t="shared" si="6"/>
        <v>产业集聚程度</v>
      </c>
      <c r="R15" s="714" t="s">
        <v>17</v>
      </c>
      <c r="S15" s="715">
        <f t="shared" si="0"/>
        <v>100</v>
      </c>
      <c r="T15" s="714" t="s">
        <v>17</v>
      </c>
      <c r="U15" s="715">
        <f t="shared" si="1"/>
        <v>100</v>
      </c>
      <c r="V15" s="714" t="s">
        <v>17</v>
      </c>
      <c r="W15" s="715">
        <f t="shared" si="2"/>
        <v>100</v>
      </c>
      <c r="X15" s="1541"/>
      <c r="Y15" s="3288"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89"/>
      <c r="Q16" s="1538"/>
      <c r="R16" s="714"/>
      <c r="S16" s="715"/>
      <c r="T16" s="714"/>
      <c r="U16" s="715"/>
      <c r="V16" s="714"/>
      <c r="W16" s="715"/>
      <c r="X16" s="1541"/>
      <c r="Y16" s="3289"/>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89"/>
      <c r="Q17" s="1538" t="str">
        <f>B17</f>
        <v>交通便捷度</v>
      </c>
      <c r="R17" s="714" t="s">
        <v>17</v>
      </c>
      <c r="S17" s="715">
        <f>F17</f>
        <v>100</v>
      </c>
      <c r="T17" s="714" t="s">
        <v>17</v>
      </c>
      <c r="U17" s="715">
        <f>H17</f>
        <v>100</v>
      </c>
      <c r="V17" s="714" t="s">
        <v>17</v>
      </c>
      <c r="W17" s="715">
        <f>J17</f>
        <v>100</v>
      </c>
      <c r="X17" s="1541"/>
      <c r="Y17" s="328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89"/>
      <c r="Q18" s="1538"/>
      <c r="R18" s="714"/>
      <c r="S18" s="715"/>
      <c r="T18" s="714"/>
      <c r="U18" s="715"/>
      <c r="V18" s="714"/>
      <c r="W18" s="715"/>
      <c r="X18" s="1541"/>
      <c r="Y18" s="3289"/>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89"/>
      <c r="Q19" s="1538" t="str">
        <f t="shared" ref="Q19:Q33" si="8">B19</f>
        <v>区域土地利用方向</v>
      </c>
      <c r="R19" s="714" t="s">
        <v>17</v>
      </c>
      <c r="S19" s="715">
        <f>F19</f>
        <v>100</v>
      </c>
      <c r="T19" s="714" t="s">
        <v>17</v>
      </c>
      <c r="U19" s="715">
        <f>H19</f>
        <v>100</v>
      </c>
      <c r="V19" s="714" t="s">
        <v>17</v>
      </c>
      <c r="W19" s="715">
        <f>J19</f>
        <v>100</v>
      </c>
      <c r="X19" s="1541"/>
      <c r="Y19" s="328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89"/>
      <c r="Q20" s="1538"/>
      <c r="R20" s="714"/>
      <c r="S20" s="715"/>
      <c r="T20" s="714"/>
      <c r="U20" s="715"/>
      <c r="V20" s="714"/>
      <c r="W20" s="715"/>
      <c r="X20" s="1541"/>
      <c r="Y20" s="3289"/>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89"/>
      <c r="Q21" s="1538" t="str">
        <f t="shared" si="8"/>
        <v>环境状况</v>
      </c>
      <c r="R21" s="714" t="s">
        <v>17</v>
      </c>
      <c r="S21" s="715">
        <f>F21</f>
        <v>100</v>
      </c>
      <c r="T21" s="714" t="s">
        <v>17</v>
      </c>
      <c r="U21" s="715">
        <f>H21</f>
        <v>100</v>
      </c>
      <c r="V21" s="714" t="s">
        <v>17</v>
      </c>
      <c r="W21" s="715">
        <f>J21</f>
        <v>100</v>
      </c>
      <c r="X21" s="1541"/>
      <c r="Y21" s="328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89"/>
      <c r="Q22" s="1538"/>
      <c r="R22" s="714"/>
      <c r="S22" s="715"/>
      <c r="T22" s="714"/>
      <c r="U22" s="715"/>
      <c r="V22" s="714"/>
      <c r="W22" s="715"/>
      <c r="X22" s="1541"/>
      <c r="Y22" s="3289"/>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89"/>
      <c r="Q23" s="1529" t="str">
        <f t="shared" si="8"/>
        <v>公共配套设施</v>
      </c>
      <c r="R23" s="710" t="s">
        <v>17</v>
      </c>
      <c r="S23" s="711">
        <f>F23</f>
        <v>100</v>
      </c>
      <c r="T23" s="710" t="s">
        <v>17</v>
      </c>
      <c r="U23" s="711">
        <f>H23</f>
        <v>100</v>
      </c>
      <c r="V23" s="710" t="s">
        <v>17</v>
      </c>
      <c r="W23" s="711">
        <f>J23</f>
        <v>100</v>
      </c>
      <c r="X23" s="712"/>
      <c r="Y23" s="328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89"/>
      <c r="Q24" s="1529"/>
      <c r="R24" s="710"/>
      <c r="S24" s="711"/>
      <c r="T24" s="710"/>
      <c r="U24" s="711"/>
      <c r="V24" s="710"/>
      <c r="W24" s="711"/>
      <c r="X24" s="712"/>
      <c r="Y24" s="3289"/>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89"/>
      <c r="Q25" s="1529" t="str">
        <f t="shared" ref="Q25" si="9">B25</f>
        <v>基础设施水平</v>
      </c>
      <c r="R25" s="710" t="s">
        <v>17</v>
      </c>
      <c r="S25" s="711">
        <f>F25</f>
        <v>100</v>
      </c>
      <c r="T25" s="710" t="s">
        <v>17</v>
      </c>
      <c r="U25" s="711">
        <f>H25</f>
        <v>100</v>
      </c>
      <c r="V25" s="710" t="s">
        <v>17</v>
      </c>
      <c r="W25" s="711">
        <f>J25</f>
        <v>100</v>
      </c>
      <c r="X25" s="712"/>
      <c r="Y25" s="328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89"/>
      <c r="Q26" s="1529"/>
      <c r="R26" s="710"/>
      <c r="S26" s="711"/>
      <c r="T26" s="710"/>
      <c r="U26" s="711"/>
      <c r="V26" s="710"/>
      <c r="W26" s="711"/>
      <c r="X26" s="712"/>
      <c r="Y26" s="328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8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9"/>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89"/>
      <c r="Q28" s="1538" t="str">
        <f t="shared" si="8"/>
        <v>毗邻道路的类型与等级</v>
      </c>
      <c r="R28" s="714" t="s">
        <v>17</v>
      </c>
      <c r="S28" s="715">
        <f t="shared" si="10"/>
        <v>100</v>
      </c>
      <c r="T28" s="714" t="s">
        <v>17</v>
      </c>
      <c r="U28" s="715">
        <f t="shared" si="11"/>
        <v>100</v>
      </c>
      <c r="V28" s="714" t="s">
        <v>17</v>
      </c>
      <c r="W28" s="715">
        <f t="shared" si="12"/>
        <v>100</v>
      </c>
      <c r="X28" s="1541"/>
      <c r="Y28" s="328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89"/>
      <c r="Q29" s="1538"/>
      <c r="R29" s="714"/>
      <c r="S29" s="715"/>
      <c r="T29" s="714"/>
      <c r="U29" s="715"/>
      <c r="V29" s="714"/>
      <c r="W29" s="715"/>
      <c r="X29" s="1541"/>
      <c r="Y29" s="328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89"/>
      <c r="Q30" s="1538" t="str">
        <f t="shared" si="8"/>
        <v>土地级别</v>
      </c>
      <c r="R30" s="714" t="s">
        <v>17</v>
      </c>
      <c r="S30" s="715">
        <f t="shared" si="10"/>
        <v>100</v>
      </c>
      <c r="T30" s="714" t="s">
        <v>17</v>
      </c>
      <c r="U30" s="715">
        <f t="shared" si="11"/>
        <v>100</v>
      </c>
      <c r="V30" s="714" t="s">
        <v>17</v>
      </c>
      <c r="W30" s="715">
        <f t="shared" si="12"/>
        <v>100</v>
      </c>
      <c r="X30" s="1541"/>
      <c r="Y30" s="328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89"/>
      <c r="Q31" s="1538">
        <f t="shared" si="8"/>
        <v>111</v>
      </c>
      <c r="R31" s="714" t="s">
        <v>17</v>
      </c>
      <c r="S31" s="715">
        <f t="shared" si="10"/>
        <v>100</v>
      </c>
      <c r="T31" s="714" t="s">
        <v>17</v>
      </c>
      <c r="U31" s="715">
        <f t="shared" si="11"/>
        <v>100</v>
      </c>
      <c r="V31" s="714" t="s">
        <v>17</v>
      </c>
      <c r="W31" s="715">
        <f t="shared" si="12"/>
        <v>100</v>
      </c>
      <c r="X31" s="1541"/>
      <c r="Y31" s="328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5" t="s">
        <v>2387</v>
      </c>
      <c r="Q32" s="1538">
        <f t="shared" si="8"/>
        <v>111</v>
      </c>
      <c r="R32" s="714" t="s">
        <v>17</v>
      </c>
      <c r="S32" s="715">
        <f t="shared" si="10"/>
        <v>100</v>
      </c>
      <c r="T32" s="714" t="s">
        <v>17</v>
      </c>
      <c r="U32" s="715">
        <f t="shared" si="11"/>
        <v>100</v>
      </c>
      <c r="V32" s="714" t="s">
        <v>17</v>
      </c>
      <c r="W32" s="715">
        <f t="shared" si="12"/>
        <v>100</v>
      </c>
      <c r="X32" s="1541"/>
      <c r="Y32" s="3293"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93"/>
      <c r="Q33" s="1538">
        <f t="shared" si="8"/>
        <v>111</v>
      </c>
      <c r="R33" s="717" t="s">
        <v>17</v>
      </c>
      <c r="S33" s="718">
        <f t="shared" si="10"/>
        <v>100</v>
      </c>
      <c r="T33" s="717" t="s">
        <v>17</v>
      </c>
      <c r="U33" s="718">
        <f t="shared" si="11"/>
        <v>100</v>
      </c>
      <c r="V33" s="717" t="s">
        <v>17</v>
      </c>
      <c r="W33" s="718">
        <f t="shared" si="12"/>
        <v>100</v>
      </c>
      <c r="X33" s="719"/>
      <c r="Y33" s="329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93"/>
      <c r="Q34" s="1538" t="str">
        <f>B34</f>
        <v>宗地面积</v>
      </c>
      <c r="R34" s="714" t="s">
        <v>17</v>
      </c>
      <c r="S34" s="715" t="e">
        <f t="shared" si="10"/>
        <v>#N/A</v>
      </c>
      <c r="T34" s="714" t="s">
        <v>17</v>
      </c>
      <c r="U34" s="715" t="e">
        <f t="shared" si="11"/>
        <v>#N/A</v>
      </c>
      <c r="V34" s="714" t="s">
        <v>17</v>
      </c>
      <c r="W34" s="715" t="e">
        <f t="shared" si="12"/>
        <v>#N/A</v>
      </c>
      <c r="X34" s="1541"/>
      <c r="Y34" s="3293"/>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93"/>
      <c r="Q35" s="1538" t="str">
        <f t="shared" ref="Q35:Q40" si="14">B35</f>
        <v>宗地形状</v>
      </c>
      <c r="R35" s="714" t="s">
        <v>17</v>
      </c>
      <c r="S35" s="715">
        <f t="shared" si="10"/>
        <v>100</v>
      </c>
      <c r="T35" s="714" t="s">
        <v>17</v>
      </c>
      <c r="U35" s="715">
        <f t="shared" si="11"/>
        <v>100</v>
      </c>
      <c r="V35" s="714" t="s">
        <v>17</v>
      </c>
      <c r="W35" s="715">
        <f t="shared" si="12"/>
        <v>100</v>
      </c>
      <c r="X35" s="1541"/>
      <c r="Y35" s="3293"/>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93"/>
      <c r="Q36" s="1538" t="str">
        <f t="shared" si="14"/>
        <v>宗地开发程度</v>
      </c>
      <c r="R36" s="710" t="s">
        <v>17</v>
      </c>
      <c r="S36" s="711">
        <f t="shared" si="10"/>
        <v>100</v>
      </c>
      <c r="T36" s="710" t="s">
        <v>17</v>
      </c>
      <c r="U36" s="711">
        <f t="shared" si="11"/>
        <v>100</v>
      </c>
      <c r="V36" s="710" t="s">
        <v>17</v>
      </c>
      <c r="W36" s="711">
        <f t="shared" si="12"/>
        <v>100</v>
      </c>
      <c r="X36" s="712"/>
      <c r="Y36" s="3293"/>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93" t="s">
        <v>2387</v>
      </c>
      <c r="Q37" s="1538" t="str">
        <f t="shared" si="14"/>
        <v>工程地质条件</v>
      </c>
      <c r="R37" s="714" t="s">
        <v>17</v>
      </c>
      <c r="S37" s="715">
        <f t="shared" si="10"/>
        <v>100</v>
      </c>
      <c r="T37" s="714" t="s">
        <v>17</v>
      </c>
      <c r="U37" s="715">
        <f t="shared" si="11"/>
        <v>100</v>
      </c>
      <c r="V37" s="714" t="s">
        <v>17</v>
      </c>
      <c r="W37" s="715">
        <f t="shared" si="12"/>
        <v>100</v>
      </c>
      <c r="X37" s="1541"/>
      <c r="Y37" s="329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93"/>
      <c r="Q38" s="1538">
        <f t="shared" si="14"/>
        <v>111</v>
      </c>
      <c r="R38" s="714" t="s">
        <v>17</v>
      </c>
      <c r="S38" s="715">
        <f t="shared" si="10"/>
        <v>100</v>
      </c>
      <c r="T38" s="714" t="s">
        <v>17</v>
      </c>
      <c r="U38" s="715">
        <f t="shared" si="11"/>
        <v>100</v>
      </c>
      <c r="V38" s="714" t="s">
        <v>17</v>
      </c>
      <c r="W38" s="715">
        <f t="shared" si="12"/>
        <v>100</v>
      </c>
      <c r="X38" s="1541"/>
      <c r="Y38" s="329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93"/>
      <c r="Q39" s="1538">
        <f t="shared" si="14"/>
        <v>111</v>
      </c>
      <c r="R39" s="714" t="s">
        <v>17</v>
      </c>
      <c r="S39" s="715">
        <f t="shared" si="10"/>
        <v>100</v>
      </c>
      <c r="T39" s="714" t="s">
        <v>17</v>
      </c>
      <c r="U39" s="715">
        <f t="shared" si="11"/>
        <v>100</v>
      </c>
      <c r="V39" s="714" t="s">
        <v>17</v>
      </c>
      <c r="W39" s="715">
        <f t="shared" si="12"/>
        <v>100</v>
      </c>
      <c r="X39" s="1541"/>
      <c r="Y39" s="329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93"/>
      <c r="Q40" s="1538">
        <f t="shared" si="14"/>
        <v>111</v>
      </c>
      <c r="R40" s="717" t="s">
        <v>17</v>
      </c>
      <c r="S40" s="718">
        <f t="shared" si="10"/>
        <v>100</v>
      </c>
      <c r="T40" s="717" t="s">
        <v>17</v>
      </c>
      <c r="U40" s="718">
        <f t="shared" si="11"/>
        <v>100</v>
      </c>
      <c r="V40" s="717" t="s">
        <v>17</v>
      </c>
      <c r="W40" s="718">
        <f t="shared" si="12"/>
        <v>100</v>
      </c>
      <c r="X40" s="719"/>
      <c r="Y40" s="3293"/>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86" t="str">
        <f>A41</f>
        <v>成交单价</v>
      </c>
      <c r="Q41" s="3286"/>
      <c r="R41" s="3317">
        <f>E41</f>
        <v>0</v>
      </c>
      <c r="S41" s="3317"/>
      <c r="T41" s="3317">
        <f>G41</f>
        <v>0</v>
      </c>
      <c r="U41" s="3317"/>
      <c r="V41" s="3317">
        <f>I41</f>
        <v>0</v>
      </c>
      <c r="W41" s="3317"/>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286" t="str">
        <f>A42</f>
        <v>比较价值（元/平方米）</v>
      </c>
      <c r="Q42" s="3286"/>
      <c r="R42" s="3347" t="e">
        <f>ROUND(PRODUCT(R41,AA7:AA40),0)</f>
        <v>#DIV/0!</v>
      </c>
      <c r="S42" s="3347"/>
      <c r="T42" s="3347" t="e">
        <f>ROUND(PRODUCT(T41,AB7:AB40),0)</f>
        <v>#DIV/0!</v>
      </c>
      <c r="U42" s="3347"/>
      <c r="V42" s="3347" t="e">
        <f>ROUND(PRODUCT(V41,AC7:AC40),0)</f>
        <v>#DIV/0!</v>
      </c>
      <c r="W42" s="3347"/>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83" t="str">
        <f>A43</f>
        <v>估价对象XX用房的比较价值（楼面单价，元/平方米）</v>
      </c>
      <c r="Q43" s="3284"/>
      <c r="R43" s="3348" t="e">
        <f>ROUND(IF(D42="简单平均",AVERAGE(R42:W42),R42*F42+T42*H42+V42*J42),0)</f>
        <v>#DIV/0!</v>
      </c>
      <c r="S43" s="3348"/>
      <c r="T43" s="3348"/>
      <c r="U43" s="3348"/>
      <c r="V43" s="3348"/>
      <c r="W43" s="3348"/>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01" t="s">
        <v>2586</v>
      </c>
      <c r="H50" s="3349"/>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83.16</v>
      </c>
      <c r="F51" s="647" t="e">
        <f t="shared" ref="F51:F60" si="15">ROUND(B51*E51/10000,0)</f>
        <v>#DIV/0!</v>
      </c>
      <c r="G51" s="3297"/>
      <c r="H51" s="3286"/>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0.8</v>
      </c>
      <c r="D52" s="1076">
        <v>0.25</v>
      </c>
      <c r="E52" s="650"/>
      <c r="F52" s="647" t="e">
        <f t="shared" si="15"/>
        <v>#DIV/0!</v>
      </c>
      <c r="G52" s="3350" t="s">
        <v>2591</v>
      </c>
      <c r="H52" s="1018" t="str">
        <f>项目基本情况!B37</f>
        <v>二级</v>
      </c>
      <c r="I52" s="879">
        <f>SUMIF(修正!A45:A56,H52,修正!B45:B56)</f>
        <v>0.8</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0.5</v>
      </c>
      <c r="D53" s="1076">
        <v>0.25</v>
      </c>
      <c r="E53" s="650"/>
      <c r="F53" s="647" t="e">
        <f t="shared" si="15"/>
        <v>#DIV/0!</v>
      </c>
      <c r="G53" s="3350"/>
      <c r="H53" s="1018" t="str">
        <f>项目基本情况!B37</f>
        <v>二级</v>
      </c>
      <c r="I53" s="879">
        <f>SUMIF(修正!A45:A56,H53,修正!C45:C56)</f>
        <v>0.5</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0.36</v>
      </c>
      <c r="D54" s="1076">
        <v>0.25</v>
      </c>
      <c r="E54" s="650"/>
      <c r="F54" s="647" t="e">
        <f t="shared" si="15"/>
        <v>#DIV/0!</v>
      </c>
      <c r="G54" s="3350"/>
      <c r="H54" s="1018" t="str">
        <f>项目基本情况!B37</f>
        <v>二级</v>
      </c>
      <c r="I54" s="879">
        <f>SUMIF(修正!A45:A56,H54,修正!D45:D56)</f>
        <v>0.36</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0.3</v>
      </c>
      <c r="D55" s="1076">
        <v>0.25</v>
      </c>
      <c r="E55" s="650"/>
      <c r="F55" s="647" t="e">
        <f t="shared" si="15"/>
        <v>#DIV/0!</v>
      </c>
      <c r="G55" s="3350"/>
      <c r="H55" s="1018" t="str">
        <f>项目基本情况!B37</f>
        <v>二级</v>
      </c>
      <c r="I55" s="879">
        <f>SUMIF(修正!A45:A56,H55,修正!E45:E56)</f>
        <v>0.3</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0.25</v>
      </c>
      <c r="D59" s="1076">
        <v>0.25</v>
      </c>
      <c r="E59" s="223">
        <f>'数据-汇总表'!E14</f>
        <v>0</v>
      </c>
      <c r="F59" s="647" t="e">
        <f t="shared" si="15"/>
        <v>#DIV/0!</v>
      </c>
      <c r="G59" s="2175" t="s">
        <v>2591</v>
      </c>
      <c r="H59" s="1018" t="str">
        <f>项目基本情况!B37</f>
        <v>二级</v>
      </c>
      <c r="I59" s="879">
        <f>SUMIF(修正!A45:A56,H59,修正!H45:H56)</f>
        <v>0.25</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rgb="FF92D050"/>
    <pageSetUpPr fitToPage="1"/>
  </sheetPr>
  <dimension ref="A1:I57"/>
  <sheetViews>
    <sheetView view="pageBreakPreview" zoomScaleNormal="70" zoomScaleSheetLayoutView="100" workbookViewId="0">
      <selection activeCell="G32" sqref="G32"/>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3172</v>
      </c>
      <c r="C1" s="204"/>
      <c r="D1" s="204"/>
      <c r="E1" s="204"/>
      <c r="F1" s="204"/>
      <c r="G1" s="1288">
        <f>MATCH(B1,'数据-取费表'!A6:A16,0)+5</f>
        <v>6</v>
      </c>
    </row>
    <row r="2" spans="1:9" s="206" customFormat="1" ht="18" customHeight="1">
      <c r="A2" s="207" t="s">
        <v>2149</v>
      </c>
      <c r="B2" s="208">
        <f ca="1">IF(D2="——",C52,C52-E2)</f>
        <v>334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40164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236</v>
      </c>
      <c r="D5" s="217" t="s">
        <v>2156</v>
      </c>
      <c r="E5" s="218" t="s">
        <v>2157</v>
      </c>
      <c r="F5" s="218" t="s">
        <v>2158</v>
      </c>
      <c r="G5" s="219"/>
    </row>
    <row r="6" spans="1:9" s="220" customFormat="1" ht="13.5" customHeight="1">
      <c r="A6" s="886" t="s">
        <v>2159</v>
      </c>
      <c r="B6" s="221" t="s">
        <v>2160</v>
      </c>
      <c r="C6" s="222">
        <f ca="1">基准地价修正!E29</f>
        <v>227</v>
      </c>
      <c r="D6" s="223"/>
      <c r="E6" s="224"/>
      <c r="F6" s="224"/>
      <c r="G6" s="225"/>
    </row>
    <row r="7" spans="1:9" s="220" customFormat="1" ht="13.5" customHeight="1">
      <c r="A7" s="886" t="s">
        <v>2161</v>
      </c>
      <c r="B7" s="221" t="s">
        <v>2162</v>
      </c>
      <c r="C7" s="226">
        <f ca="1">ROUND(C6*F7,0)</f>
        <v>7</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2</v>
      </c>
      <c r="D8" s="228"/>
      <c r="E8" s="226"/>
      <c r="F8" s="227"/>
      <c r="G8" s="2044" t="s">
        <v>3146</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3148</v>
      </c>
      <c r="H9" s="1299"/>
      <c r="I9" s="2046" t="s">
        <v>2166</v>
      </c>
    </row>
    <row r="10" spans="1:9" s="220" customFormat="1" ht="13.5" customHeight="1">
      <c r="A10" s="887" t="s">
        <v>801</v>
      </c>
      <c r="B10" s="230" t="s">
        <v>2167</v>
      </c>
      <c r="C10" s="231">
        <f ca="1">ROUND(D10*E10/10000,0)</f>
        <v>2</v>
      </c>
      <c r="D10" s="954">
        <f ca="1">IF(B1="",'数据-汇总表'!E6,IF(INDIRECT("'数据-取费表'!c"&amp;$G$1)="住宅",INDIRECT("'数据-取费表'!s"&amp;$G$1),INDIRECT("'数据-取费表'!k"&amp;$G$1)+INDIRECT("'数据-取费表'!s"&amp;$G$1)))</f>
        <v>83.16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83.16</v>
      </c>
      <c r="E19" s="217">
        <f>'数据-取费表'!B31</f>
        <v>200</v>
      </c>
      <c r="F19" s="237"/>
      <c r="G19" s="2044" t="s">
        <v>3147</v>
      </c>
    </row>
    <row r="20" spans="1:7" s="220" customFormat="1" ht="13.5" customHeight="1">
      <c r="A20" s="261" t="s">
        <v>2180</v>
      </c>
      <c r="B20" s="216" t="s">
        <v>2181</v>
      </c>
      <c r="C20" s="238">
        <f ca="1">ROUND((C5+C19)*F20,0)</f>
        <v>5</v>
      </c>
      <c r="D20" s="238"/>
      <c r="E20" s="238"/>
      <c r="F20" s="239">
        <f>'数据-取费表'!B37</f>
        <v>0.02</v>
      </c>
      <c r="G20" s="240" t="s">
        <v>2182</v>
      </c>
    </row>
    <row r="21" spans="1:7" s="220" customFormat="1" ht="13.5" customHeight="1">
      <c r="A21" s="261" t="s">
        <v>2183</v>
      </c>
      <c r="B21" s="216" t="s">
        <v>2184</v>
      </c>
      <c r="C21" s="241">
        <f>F21</f>
        <v>0</v>
      </c>
      <c r="D21" s="242" t="s">
        <v>2185</v>
      </c>
      <c r="E21" s="238"/>
      <c r="F21" s="239">
        <f>'数据-取费表'!B38</f>
        <v>0</v>
      </c>
      <c r="G21" s="240" t="s">
        <v>2186</v>
      </c>
    </row>
    <row r="22" spans="1:7" s="220" customFormat="1" ht="13.5" customHeight="1">
      <c r="A22" s="261" t="s">
        <v>2187</v>
      </c>
      <c r="B22" s="216" t="s">
        <v>2188</v>
      </c>
      <c r="C22" s="1264">
        <f ca="1">ROUND(SUM(C23:C25),0)</f>
        <v>10</v>
      </c>
      <c r="D22" s="241">
        <f ca="1">C26</f>
        <v>0</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10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0</v>
      </c>
      <c r="D26" s="244"/>
      <c r="E26" s="247"/>
      <c r="F26" s="245"/>
      <c r="G26" s="249"/>
    </row>
    <row r="27" spans="1:7" s="220" customFormat="1" ht="24.75">
      <c r="A27" s="261" t="s">
        <v>2199</v>
      </c>
      <c r="B27" s="250" t="s">
        <v>2200</v>
      </c>
      <c r="C27" s="251">
        <f ca="1">C28</f>
        <v>36</v>
      </c>
      <c r="D27" s="241">
        <f ca="1">C29</f>
        <v>0</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36</v>
      </c>
      <c r="D28" s="241"/>
      <c r="E28" s="242"/>
      <c r="F28" s="252"/>
      <c r="G28" s="253"/>
    </row>
    <row r="29" spans="1:7" s="220" customFormat="1" ht="13.5" customHeight="1">
      <c r="A29" s="888" t="s">
        <v>792</v>
      </c>
      <c r="B29" s="254" t="s">
        <v>2204</v>
      </c>
      <c r="C29" s="244">
        <f ca="1">ROUND(C21*F27*'数据-取费表'!B21/'数据-取费表'!B20,4)</f>
        <v>0</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303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32</v>
      </c>
      <c r="D34" s="223"/>
      <c r="E34" s="226"/>
      <c r="F34" s="263">
        <f ca="1">IF('数据-取费表'!B24=0,1,IF(B1="",'数据-取费表'!N16,INDIRECT("'数据-取费表'!n"&amp;$G$1)))</f>
        <v>1</v>
      </c>
      <c r="G34" s="225" t="s">
        <v>2213</v>
      </c>
    </row>
    <row r="35" spans="1:7" ht="13.5" customHeight="1">
      <c r="A35" s="888" t="s">
        <v>796</v>
      </c>
      <c r="B35" s="221" t="s">
        <v>2214</v>
      </c>
      <c r="C35" s="226">
        <f ca="1">ROUND(C34*F35,0)</f>
        <v>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v>
      </c>
      <c r="D37" s="223">
        <f ca="1">D19</f>
        <v>83.16</v>
      </c>
      <c r="E37" s="255">
        <f>'数据-取费表'!B35</f>
        <v>200</v>
      </c>
      <c r="F37" s="265"/>
      <c r="G37" s="267" t="s">
        <v>2219</v>
      </c>
    </row>
    <row r="38" spans="1:7" ht="13.5" customHeight="1">
      <c r="A38" s="888" t="s">
        <v>799</v>
      </c>
      <c r="B38" s="221" t="s">
        <v>2220</v>
      </c>
      <c r="C38" s="226">
        <f ca="1">ROUND(C34*F38,0)</f>
        <v>0</v>
      </c>
      <c r="D38" s="226"/>
      <c r="E38" s="226"/>
      <c r="F38" s="265">
        <f>'数据-取费表'!B36</f>
        <v>1.4999999999999999E-2</v>
      </c>
      <c r="G38" s="225" t="s">
        <v>2215</v>
      </c>
    </row>
    <row r="39" spans="1:7" s="220" customFormat="1" ht="13.5" customHeight="1">
      <c r="A39" s="261" t="s">
        <v>2221</v>
      </c>
      <c r="B39" s="216" t="s">
        <v>2222</v>
      </c>
      <c r="C39" s="238">
        <f ca="1">ROUND(C33*F20,0)</f>
        <v>1</v>
      </c>
      <c r="D39" s="238"/>
      <c r="E39" s="238"/>
      <c r="F39" s="2537">
        <f>F20</f>
        <v>0.02</v>
      </c>
      <c r="G39" s="240" t="s">
        <v>2223</v>
      </c>
    </row>
    <row r="40" spans="1:7" s="220" customFormat="1" ht="13.5" customHeight="1">
      <c r="A40" s="261" t="s">
        <v>2224</v>
      </c>
      <c r="B40" s="216" t="s">
        <v>2225</v>
      </c>
      <c r="C40" s="1497">
        <f>F21</f>
        <v>0</v>
      </c>
      <c r="D40" s="242" t="s">
        <v>2226</v>
      </c>
      <c r="E40" s="238"/>
      <c r="F40" s="2537">
        <f>F21</f>
        <v>0</v>
      </c>
      <c r="G40" s="240" t="s">
        <v>2227</v>
      </c>
    </row>
    <row r="41" spans="1:7" s="220" customFormat="1" ht="13.5" customHeight="1">
      <c r="A41" s="261" t="s">
        <v>2228</v>
      </c>
      <c r="B41" s="216" t="s">
        <v>2229</v>
      </c>
      <c r="C41" s="238">
        <f ca="1">ROUND(SUM(C42:C43),0)</f>
        <v>1</v>
      </c>
      <c r="D41" s="241">
        <f ca="1">C44</f>
        <v>0</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1</v>
      </c>
      <c r="D42" s="244"/>
      <c r="E42" s="244"/>
      <c r="F42" s="245"/>
      <c r="G42" s="3252" t="s">
        <v>2231</v>
      </c>
    </row>
    <row r="43" spans="1:7" ht="13.5" customHeight="1">
      <c r="A43" s="888" t="s">
        <v>792</v>
      </c>
      <c r="B43" s="221" t="s">
        <v>2232</v>
      </c>
      <c r="C43" s="244">
        <f ca="1">ROUND(IF('数据-取费表'!B22&lt;=1,C39*F22*'数据-取费表'!B21/2,C39*(POWER((1+F22),'数据-取费表'!B21/2)-1)),0)</f>
        <v>0</v>
      </c>
      <c r="D43" s="244"/>
      <c r="E43" s="244"/>
      <c r="F43" s="245"/>
      <c r="G43" s="3253"/>
    </row>
    <row r="44" spans="1:7" ht="13.5" customHeight="1">
      <c r="A44" s="888" t="s">
        <v>793</v>
      </c>
      <c r="B44" s="221" t="s">
        <v>2233</v>
      </c>
      <c r="C44" s="244">
        <f ca="1">ROUND(IF('数据-取费表'!B22&lt;=1,C40*F22*'数据-取费表'!B21/2,C40*(POWER((1+F22),'数据-取费表'!B21/2)-1)),4)</f>
        <v>0</v>
      </c>
      <c r="D44" s="244"/>
      <c r="E44" s="244"/>
      <c r="F44" s="245"/>
      <c r="G44" s="3254"/>
    </row>
    <row r="45" spans="1:7" s="220" customFormat="1" ht="13.5" customHeight="1">
      <c r="A45" s="261" t="s">
        <v>2234</v>
      </c>
      <c r="B45" s="250" t="s">
        <v>2200</v>
      </c>
      <c r="C45" s="251">
        <f ca="1">C46</f>
        <v>5</v>
      </c>
      <c r="D45" s="241">
        <f ca="1">C47</f>
        <v>0</v>
      </c>
      <c r="E45" s="242" t="s">
        <v>2226</v>
      </c>
      <c r="F45" s="2539">
        <f ca="1">F27</f>
        <v>0.15</v>
      </c>
      <c r="G45" s="253" t="s">
        <v>2235</v>
      </c>
    </row>
    <row r="46" spans="1:7" s="220" customFormat="1" ht="13.5" customHeight="1">
      <c r="A46" s="888" t="s">
        <v>791</v>
      </c>
      <c r="B46" s="254" t="s">
        <v>2236</v>
      </c>
      <c r="C46" s="255">
        <f ca="1">ROUND((C33+C39)*F27,0)</f>
        <v>5</v>
      </c>
      <c r="D46" s="269"/>
      <c r="E46" s="242"/>
      <c r="F46" s="252"/>
      <c r="G46" s="253"/>
    </row>
    <row r="47" spans="1:7" s="220" customFormat="1" ht="13.5" customHeight="1">
      <c r="A47" s="888" t="s">
        <v>792</v>
      </c>
      <c r="B47" s="254" t="s">
        <v>2237</v>
      </c>
      <c r="C47" s="244">
        <f ca="1">ROUND(C40*F27,4)</f>
        <v>0</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44</v>
      </c>
      <c r="D49" s="238"/>
      <c r="E49" s="238"/>
      <c r="F49" s="270"/>
      <c r="G49" s="240" t="s">
        <v>2241</v>
      </c>
    </row>
    <row r="50" spans="1:7" s="264" customFormat="1" ht="24">
      <c r="A50" s="261" t="s">
        <v>2242</v>
      </c>
      <c r="B50" s="216" t="s">
        <v>2243</v>
      </c>
      <c r="C50" s="238"/>
      <c r="D50" s="238"/>
      <c r="E50" s="238"/>
      <c r="F50" s="270">
        <f>IF('数据-取费表'!B24=0,'数据-取费表'!N16,1)</f>
        <v>0.7</v>
      </c>
      <c r="G50" s="253" t="s">
        <v>2244</v>
      </c>
    </row>
    <row r="51" spans="1:7" ht="16.5" customHeight="1">
      <c r="A51" s="261" t="s">
        <v>2245</v>
      </c>
      <c r="B51" s="216" t="s">
        <v>2246</v>
      </c>
      <c r="C51" s="238">
        <f ca="1">ROUND(C49*F50,0)</f>
        <v>31</v>
      </c>
      <c r="D51" s="238"/>
      <c r="E51" s="238"/>
      <c r="F51" s="270"/>
      <c r="G51" s="240" t="s">
        <v>2247</v>
      </c>
    </row>
    <row r="52" spans="1:7" s="214" customFormat="1" ht="16.5" thickBot="1">
      <c r="A52" s="271" t="s">
        <v>2248</v>
      </c>
      <c r="B52" s="272"/>
      <c r="C52" s="273">
        <f ca="1">C31+C51</f>
        <v>334</v>
      </c>
      <c r="D52" s="272"/>
      <c r="E52" s="272"/>
      <c r="F52" s="272"/>
      <c r="G52" s="274"/>
    </row>
    <row r="55" spans="1:7" ht="15">
      <c r="B55" s="276" t="s">
        <v>2249</v>
      </c>
      <c r="C55" s="277"/>
    </row>
    <row r="56" spans="1:7">
      <c r="B56" s="279" t="s">
        <v>1478</v>
      </c>
      <c r="C56" s="281">
        <f ca="1">1-C57</f>
        <v>0.90700000000000003</v>
      </c>
    </row>
    <row r="57" spans="1:7">
      <c r="B57" s="279" t="s">
        <v>1479</v>
      </c>
      <c r="C57" s="280">
        <f ca="1">ROUND(C51/C52,3)</f>
        <v>9.2999999999999999E-2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enableFormatConditionsCalculation="0">
    <tabColor rgb="FF92D050"/>
  </sheetPr>
  <dimension ref="A1:AK118"/>
  <sheetViews>
    <sheetView view="pageBreakPreview" topLeftCell="A39" zoomScale="110" zoomScaleNormal="80" zoomScaleSheetLayoutView="110" workbookViewId="0">
      <selection activeCell="E51" sqref="E51"/>
    </sheetView>
  </sheetViews>
  <sheetFormatPr defaultColWidth="12" defaultRowHeight="12.75"/>
  <cols>
    <col min="1" max="1" width="9.87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8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83.16</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227</v>
      </c>
      <c r="C2" s="2187" t="s">
        <v>2635</v>
      </c>
      <c r="D2" s="2188" t="s">
        <v>2636</v>
      </c>
      <c r="E2" s="2189" t="s">
        <v>1343</v>
      </c>
      <c r="F2" s="2188" t="s">
        <v>2637</v>
      </c>
      <c r="G2" s="2190" t="str">
        <f>IF(E2="商业",项目基本情况!B37,IF(E2="办公",项目基本情况!C37,IF(E2="住宅",项目基本情况!D37,项目基本情况!E37)))</f>
        <v>二级</v>
      </c>
      <c r="H2" s="2188" t="s">
        <v>2638</v>
      </c>
      <c r="I2" s="2190" t="str">
        <f>IF(E2="商业",项目基本情况!B38,IF(E2="办公",项目基本情况!C38,IF(E2="住宅",项目基本情况!D38,项目基本情况!E38)))</f>
        <v>Ⅱ—09</v>
      </c>
      <c r="J2" s="2191"/>
      <c r="K2" s="1280"/>
      <c r="L2" s="2192" t="s">
        <v>2639</v>
      </c>
      <c r="M2" s="995">
        <f>SUMPRODUCT((区片价!B10:B28=I2)*(区片价!C3:F3=E2)*(区片价!C10:F28))</f>
        <v>22350</v>
      </c>
      <c r="N2" s="997">
        <f>SUMPRODUCT((因素修正幅度!B10:B28=I2)*(因素修正幅度!C3:F3=E2)*(因素修正幅度!C10:F28))</f>
        <v>7.3999999999999996E-2</v>
      </c>
      <c r="O2" s="1280"/>
      <c r="P2" s="1280"/>
      <c r="Q2" s="1280"/>
      <c r="R2" s="1374">
        <v>1</v>
      </c>
      <c r="S2" s="1374">
        <f>ROUND(IF(G3&gt;1,IF(R2&lt;7,SUMPRODUCT((B93:B98=R2)*(C92:N92=G2)*(C93:N98)),SUMIF(C92:N92,G2,C100:N100)),IF(R2&lt;7,SUMPRODUCT((B102:B107=R2)*(C92:N92=G2)*(C102:N107)),SUMIF(C92:N92,G2,C109:N109))),4)</f>
        <v>1.9361999999999999</v>
      </c>
      <c r="T2" s="1374">
        <f ca="1">ROUND($C$5*$C$18*$C$19*$C$20*S2*$C$24,0)</f>
        <v>52828</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27297</v>
      </c>
      <c r="C3" s="2187" t="s">
        <v>2641</v>
      </c>
      <c r="D3" s="2188" t="s">
        <v>2642</v>
      </c>
      <c r="E3" s="2193" t="s">
        <v>3149</v>
      </c>
      <c r="F3" s="2194" t="s">
        <v>3150</v>
      </c>
      <c r="G3" s="855">
        <f>IF(F3="宗地容积率",'数据-汇总表'!I4,IF(F3="估价对象容积率",'数据-汇总表'!I6,'数据-汇总表'!I7))</f>
        <v>3.5</v>
      </c>
      <c r="H3" s="175" t="s">
        <v>2643</v>
      </c>
      <c r="I3" s="881">
        <v>7</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38738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8"/>
      <c r="B4" s="3359"/>
      <c r="C4" s="3359"/>
      <c r="D4" s="3360"/>
      <c r="E4" s="3360"/>
      <c r="F4" s="3360"/>
      <c r="G4" s="3360"/>
      <c r="H4" s="3360"/>
      <c r="I4" s="3360"/>
      <c r="J4" s="3361"/>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31633</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22350</v>
      </c>
      <c r="D5" s="1525">
        <f>ROUND(C6+C16,0)</f>
        <v>22350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26253</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22350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22965</v>
      </c>
      <c r="U6" s="1375"/>
      <c r="V6" s="1374">
        <f t="shared" ca="1" si="1"/>
        <v>0</v>
      </c>
      <c r="W6" s="1378"/>
      <c r="X6" s="1378"/>
      <c r="Y6" s="1378"/>
      <c r="Z6" s="1378"/>
      <c r="AA6" s="1378"/>
      <c r="AB6" s="1378"/>
      <c r="AC6" s="2201"/>
      <c r="AD6" s="2202"/>
      <c r="AE6" s="2202"/>
      <c r="AF6" s="2202"/>
      <c r="AG6" s="2202"/>
      <c r="AH6" s="2202"/>
      <c r="AI6" s="2202"/>
      <c r="AJ6" s="2203"/>
    </row>
    <row r="7" spans="1:36" ht="24">
      <c r="A7" s="3362" t="str">
        <f>IF(E2="商业",IF(C8="不临58条商业街","",2),"")</f>
        <v/>
      </c>
      <c r="B7" s="2211" t="s">
        <v>2653</v>
      </c>
      <c r="C7" s="858">
        <f>IF(C8="不临58条商业街",1,ROUND(1+(1.6*E8+1.2*E9+0.8*E10+0.4*E11)*C9,4))</f>
        <v>1</v>
      </c>
      <c r="D7" s="2212" t="s">
        <v>2654</v>
      </c>
      <c r="E7" s="882">
        <v>6</v>
      </c>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20758</v>
      </c>
      <c r="U7" s="1375"/>
      <c r="V7" s="1374">
        <f t="shared" ca="1" si="1"/>
        <v>0</v>
      </c>
      <c r="W7" s="1544" t="s">
        <v>2656</v>
      </c>
      <c r="X7" s="1376" t="str">
        <f>G2</f>
        <v>二级</v>
      </c>
      <c r="Y7" s="1376" t="s">
        <v>2657</v>
      </c>
      <c r="Z7" s="1377">
        <f>G3</f>
        <v>3.5</v>
      </c>
      <c r="AA7" s="1378"/>
      <c r="AB7" s="1378"/>
      <c r="AC7" s="1379"/>
      <c r="AD7" s="1380"/>
      <c r="AE7" s="1380"/>
      <c r="AF7" s="1380"/>
      <c r="AG7" s="1380"/>
      <c r="AH7" s="1380"/>
      <c r="AI7" s="1380"/>
      <c r="AJ7" s="1381"/>
    </row>
    <row r="8" spans="1:36" ht="25.5">
      <c r="A8" s="3363"/>
      <c r="B8" s="175" t="s">
        <v>2658</v>
      </c>
      <c r="C8" s="2216" t="s">
        <v>3151</v>
      </c>
      <c r="D8" s="859" t="s">
        <v>139</v>
      </c>
      <c r="E8" s="860">
        <f>ROUND(C11/E7,4)</f>
        <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5" t="s">
        <v>2661</v>
      </c>
      <c r="X8" s="335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3"/>
      <c r="B9" s="175" t="s">
        <v>2674</v>
      </c>
      <c r="C9" s="861">
        <f>SUMIF(修正!C59:C119,C8,修正!E59:E119)</f>
        <v>0</v>
      </c>
      <c r="D9" s="176" t="s">
        <v>140</v>
      </c>
      <c r="E9" s="176">
        <f>ROUND(C11/E7,4)</f>
        <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7"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3"/>
      <c r="B10" s="175" t="s">
        <v>2679</v>
      </c>
      <c r="C10" s="176">
        <f>SUMIF(修正!C59:C119,C8,修正!F59:F119)</f>
        <v>0</v>
      </c>
      <c r="D10" s="176" t="s">
        <v>141</v>
      </c>
      <c r="E10" s="176">
        <f>ROUND(C11/E7,4)</f>
        <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3"/>
      <c r="B11" s="2220" t="s">
        <v>2682</v>
      </c>
      <c r="C11" s="862">
        <f>C10/4</f>
        <v>0</v>
      </c>
      <c r="D11" s="862" t="s">
        <v>142</v>
      </c>
      <c r="E11" s="862">
        <f>ROUND(C11/E7,4)</f>
        <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7" t="s">
        <v>2685</v>
      </c>
      <c r="X11" s="1386" t="s">
        <v>2686</v>
      </c>
      <c r="Y11" s="1387">
        <f>$G$3</f>
        <v>3.5</v>
      </c>
      <c r="Z11" s="1387">
        <f t="shared" ref="Z11:AJ11" si="3">$G$3</f>
        <v>3.5</v>
      </c>
      <c r="AA11" s="1387">
        <f t="shared" si="3"/>
        <v>3.5</v>
      </c>
      <c r="AB11" s="1387">
        <f t="shared" si="3"/>
        <v>3.5</v>
      </c>
      <c r="AC11" s="1387">
        <f t="shared" si="3"/>
        <v>3.5</v>
      </c>
      <c r="AD11" s="1387">
        <f t="shared" si="3"/>
        <v>3.5</v>
      </c>
      <c r="AE11" s="1387">
        <f t="shared" si="3"/>
        <v>3.5</v>
      </c>
      <c r="AF11" s="1387">
        <f t="shared" si="3"/>
        <v>3.5</v>
      </c>
      <c r="AG11" s="1387">
        <f t="shared" si="3"/>
        <v>3.5</v>
      </c>
      <c r="AH11" s="1387">
        <f t="shared" si="3"/>
        <v>3.5</v>
      </c>
      <c r="AI11" s="1387">
        <f t="shared" si="3"/>
        <v>3.5</v>
      </c>
      <c r="AJ11" s="1387">
        <f t="shared" si="3"/>
        <v>3.5</v>
      </c>
    </row>
    <row r="12" spans="1:36" ht="25.5" thickBot="1">
      <c r="A12" s="3362"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4"/>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57"/>
      <c r="X13" s="1388"/>
      <c r="Y13" s="1385">
        <f>(-0.163*(Y12^2)-0.59*Y12+7617)*(10^(-4))/Y11</f>
        <v>0.21762857142857145</v>
      </c>
      <c r="Z13" s="1385">
        <f t="shared" ref="Z13:AJ13" si="5">(-0.163*(Z12^2)-0.59*Z12+7617)*(10^(-4))/Z11</f>
        <v>0.21762857142857145</v>
      </c>
      <c r="AA13" s="1385">
        <f t="shared" si="5"/>
        <v>0.21762857142857145</v>
      </c>
      <c r="AB13" s="1385">
        <f t="shared" si="5"/>
        <v>0.21762857142857145</v>
      </c>
      <c r="AC13" s="1385">
        <f t="shared" si="5"/>
        <v>0.21762857142857145</v>
      </c>
      <c r="AD13" s="1385">
        <f t="shared" si="5"/>
        <v>0.21762857142857145</v>
      </c>
      <c r="AE13" s="1385">
        <f t="shared" si="5"/>
        <v>0.21762857142857145</v>
      </c>
      <c r="AF13" s="1385">
        <f t="shared" si="5"/>
        <v>0.21762857142857145</v>
      </c>
      <c r="AG13" s="1385">
        <f t="shared" si="5"/>
        <v>0.21762857142857145</v>
      </c>
      <c r="AH13" s="1385">
        <f t="shared" si="5"/>
        <v>0.21762857142857145</v>
      </c>
      <c r="AI13" s="1385">
        <f t="shared" si="5"/>
        <v>0.21762857142857145</v>
      </c>
      <c r="AJ13" s="1385">
        <f t="shared" si="5"/>
        <v>0.21762857142857145</v>
      </c>
    </row>
    <row r="14" spans="1:36" ht="15">
      <c r="A14" s="3364"/>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65"/>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62" t="s">
        <v>2704</v>
      </c>
      <c r="B16" s="2211" t="s">
        <v>2705</v>
      </c>
      <c r="C16" s="2373">
        <f>ROUND(IF(F17="与级别开发程度一致",0,(G17-E17)/C17),0)</f>
        <v>0</v>
      </c>
      <c r="D16" s="3378" t="s">
        <v>2709</v>
      </c>
      <c r="E16" s="3379"/>
      <c r="F16" s="3378" t="s">
        <v>2706</v>
      </c>
      <c r="G16" s="3379"/>
      <c r="H16" s="2243" t="s">
        <v>3069</v>
      </c>
      <c r="I16" s="2243" t="s">
        <v>3070</v>
      </c>
      <c r="J16" s="2377" t="s">
        <v>3071</v>
      </c>
      <c r="K16" s="2243" t="s">
        <v>3072</v>
      </c>
      <c r="L16" s="2243" t="s">
        <v>3073</v>
      </c>
      <c r="M16" s="2243" t="s">
        <v>3152</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66"/>
      <c r="B17" s="2384" t="s">
        <v>2708</v>
      </c>
      <c r="C17" s="2385">
        <f>SUMPRODUCT((修正!A2:A5=E2)*(修正!B1:M1=G2)*(修正!B2:M5))</f>
        <v>3.5</v>
      </c>
      <c r="D17" s="193" t="str">
        <f>IF(OR(G2="八级",G2="九级",G2="十级",G2="十一级",G2="十二级"),"五通一平","七通一平")</f>
        <v>七通一平</v>
      </c>
      <c r="E17" s="2374">
        <f>SUMPRODUCT((修正!B1:M1=G2)*(修正!B15:M15))</f>
        <v>375</v>
      </c>
      <c r="F17" s="2375" t="s">
        <v>3153</v>
      </c>
      <c r="G17" s="2376">
        <f>SUM(H17:O17)</f>
        <v>265</v>
      </c>
      <c r="H17" s="2385">
        <f>SUMPRODUCT((七通一平=H16)*(修正!B1:M1=G2)*(修正!B6:M14))</f>
        <v>80</v>
      </c>
      <c r="I17" s="2385">
        <f>SUMPRODUCT((七通一平=I16)*(修正!B1:M1=G2)*(修正!B6:M14))</f>
        <v>70</v>
      </c>
      <c r="J17" s="2386">
        <f>SUMPRODUCT((七通一平=J16)*(修正!B1:M1=G2)*(修正!B6:M14))</f>
        <v>20</v>
      </c>
      <c r="K17" s="2385">
        <f>SUMPRODUCT((七通一平=K16)*(修正!B1:M1=G2)*(修正!B6:M14))</f>
        <v>30</v>
      </c>
      <c r="L17" s="2385">
        <f>SUMPRODUCT((七通一平=L16)*(修正!B1:M1=G2)*(修正!B6:M14))</f>
        <v>45</v>
      </c>
      <c r="M17" s="2385">
        <f>SUMPRODUCT((七通一平=M16)*(修正!B1:M1=G2)*(修正!B6:M14))</f>
        <v>20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1.3472</v>
      </c>
      <c r="D19" s="2253" t="s">
        <v>2713</v>
      </c>
      <c r="E19" s="864">
        <v>41640</v>
      </c>
      <c r="F19" s="2253" t="s">
        <v>2714</v>
      </c>
      <c r="G19" s="865">
        <f>'数据-取费表'!B2</f>
        <v>44125</v>
      </c>
      <c r="H19" s="2254" t="s">
        <v>3154</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0.87780000000000002</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28</v>
      </c>
      <c r="J20" s="875">
        <f>IF(E2="住宅",70,IF(E2="商业",40,50))</f>
        <v>40</v>
      </c>
      <c r="K20" s="1287"/>
      <c r="L20" s="2261" t="s">
        <v>2720</v>
      </c>
      <c r="M20" s="1499">
        <f>ROUND(SUMPRODUCT((地价!A4:A32=YEAR(G19)&amp;"-"&amp;ROUNDUP(MONTH(G19)/3,0))*(地价!B2:F2=E2)*(地价!B4:F32)),0)</f>
        <v>347</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3155</v>
      </c>
      <c r="C21" s="876">
        <f>IF(B21="容积率修正",IF(G3&lt;=10,D22,J22),C23)</f>
        <v>1</v>
      </c>
      <c r="D21" s="2267"/>
      <c r="E21" s="2267"/>
      <c r="F21" s="2267"/>
      <c r="G21" s="2267"/>
      <c r="H21" s="2267"/>
      <c r="I21" s="2267"/>
      <c r="J21" s="2268"/>
      <c r="K21" s="1287"/>
      <c r="L21" s="3021"/>
      <c r="M21" s="3021"/>
      <c r="N21" s="2269" t="s">
        <v>2724</v>
      </c>
      <c r="O21" s="1335"/>
      <c r="P21" s="1336">
        <f>SUMPRODUCT((地价!A3:A32=YEAR(G19)&amp;"-"&amp;ROUNDUP(MONTH(G19)/3,0))*(地价!AD2:AH2=N21)*(地价!AD3:AH32))</f>
        <v>1.1599999999999999E-2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1</v>
      </c>
      <c r="E22" s="855">
        <f>ROUNDDOWN(G3,1)</f>
        <v>3.5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1"/>
      <c r="M22" s="3021"/>
      <c r="N22" s="2269" t="s">
        <v>2728</v>
      </c>
      <c r="O22" s="1335"/>
      <c r="P22" s="1336">
        <f>SUMPRODUCT((地价!A3:A32=YEAR(G19)&amp;"-"&amp;ROUNDUP(MONTH(G19)/3,0))*(地价!AD2:AH2=N22)*(地价!AD3:AH32))</f>
        <v>1.1599999999999999E-2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0.76049999999999995</v>
      </c>
      <c r="D23" s="2239"/>
      <c r="E23" s="2239"/>
      <c r="F23" s="2272"/>
      <c r="G23" s="2273"/>
      <c r="H23" s="2274"/>
      <c r="I23" s="2275"/>
      <c r="J23" s="2276"/>
      <c r="K23" s="1280"/>
      <c r="L23" s="2185"/>
      <c r="M23" s="2185"/>
      <c r="N23" s="2269" t="s">
        <v>2731</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1.0323</v>
      </c>
      <c r="D24" s="2250"/>
      <c r="E24" s="2277"/>
      <c r="F24" s="2277"/>
      <c r="G24" s="2277"/>
      <c r="H24" s="2277"/>
      <c r="I24" s="2277"/>
      <c r="J24" s="2278"/>
      <c r="K24" s="1287"/>
      <c r="L24" s="3021"/>
      <c r="M24" s="3021"/>
      <c r="N24" s="2279" t="s">
        <v>2733</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227</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27284</v>
      </c>
      <c r="D29" s="2298">
        <f>'数据-汇总表'!E3</f>
        <v>83.16</v>
      </c>
      <c r="E29" s="879">
        <f ca="1">ROUND(C29*D29/10000,0)</f>
        <v>227</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6821</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75"/>
      <c r="B33" s="2314" t="s">
        <v>2750</v>
      </c>
      <c r="C33" s="180">
        <f ca="1">ROUND(D5*C19*C20*C24*F33,0)</f>
        <v>21827</v>
      </c>
      <c r="D33" s="2298"/>
      <c r="E33" s="176">
        <f ca="1">ROUND(C33*D33/10000,0)</f>
        <v>0</v>
      </c>
      <c r="F33" s="176">
        <f>SUMIF(修正!A45:A56,G2,修正!B45:B56)</f>
        <v>0.8</v>
      </c>
      <c r="G33" s="176">
        <f t="shared" ref="G33" ca="1" si="6">ROUND(IF(E2="工业",C33*$M$39,C33*$M$38),0)</f>
        <v>5457</v>
      </c>
      <c r="H33" s="176">
        <f>D33</f>
        <v>0</v>
      </c>
      <c r="I33" s="176">
        <f ca="1">ROUND(G33*H33/10000,0)</f>
        <v>0</v>
      </c>
      <c r="J33" s="3380"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76"/>
      <c r="B34" s="2231" t="s">
        <v>2751</v>
      </c>
      <c r="C34" s="180">
        <f ca="1">ROUND(D5*C19*C20*C24*F34,0)</f>
        <v>13642</v>
      </c>
      <c r="D34" s="2298"/>
      <c r="E34" s="176">
        <f t="shared" ref="E34:E39" ca="1" si="7">ROUND(C34*D34/10000,0)</f>
        <v>0</v>
      </c>
      <c r="F34" s="176">
        <f>SUMIF(修正!A45:A56,G2,修正!C45:C56)</f>
        <v>0.5</v>
      </c>
      <c r="G34" s="176">
        <f ca="1">ROUND(IF(E2="工业",C34*$M$39,C34*$M$38),0)</f>
        <v>3411</v>
      </c>
      <c r="H34" s="176">
        <f t="shared" ref="H34:H39" si="8">D34</f>
        <v>0</v>
      </c>
      <c r="I34" s="176">
        <f t="shared" ref="I34:I39" ca="1" si="9">ROUND(G34*H34/10000,0)</f>
        <v>0</v>
      </c>
      <c r="J34" s="337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76"/>
      <c r="B35" s="2231" t="s">
        <v>2752</v>
      </c>
      <c r="C35" s="180">
        <f ca="1">ROUND(D5*C19*C20*C24*F35,0)</f>
        <v>9822</v>
      </c>
      <c r="D35" s="2298"/>
      <c r="E35" s="176">
        <f t="shared" ca="1" si="7"/>
        <v>0</v>
      </c>
      <c r="F35" s="176">
        <f>SUMIF(修正!A45:A56,G2,修正!D45:D56)</f>
        <v>0.36</v>
      </c>
      <c r="G35" s="176">
        <f ca="1">ROUND(IF(E2="工业",C35*$M$39,C35*$M$38),0)</f>
        <v>2456</v>
      </c>
      <c r="H35" s="176">
        <f t="shared" si="8"/>
        <v>0</v>
      </c>
      <c r="I35" s="176">
        <f t="shared" ca="1" si="9"/>
        <v>0</v>
      </c>
      <c r="J35" s="337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77"/>
      <c r="B36" s="2231" t="s">
        <v>2753</v>
      </c>
      <c r="C36" s="180">
        <f ca="1">ROUND(D5*C19*C20*C24*F36,0)</f>
        <v>8185</v>
      </c>
      <c r="D36" s="2298"/>
      <c r="E36" s="176">
        <f t="shared" ca="1" si="7"/>
        <v>0</v>
      </c>
      <c r="F36" s="176">
        <f>SUMIF(修正!A45:A56,G2,修正!E45:E56)</f>
        <v>0.3</v>
      </c>
      <c r="G36" s="176">
        <f ca="1">ROUND(IF(E2="工业",C36*$M$39,C36*$M$38),0)</f>
        <v>2046</v>
      </c>
      <c r="H36" s="176">
        <f t="shared" si="8"/>
        <v>0</v>
      </c>
      <c r="I36" s="176">
        <f t="shared" ca="1" si="9"/>
        <v>0</v>
      </c>
      <c r="J36" s="3377"/>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8185</v>
      </c>
      <c r="D37" s="2298"/>
      <c r="E37" s="176">
        <f t="shared" ca="1" si="7"/>
        <v>0</v>
      </c>
      <c r="F37" s="180">
        <f>SUMIF(修正!A45:A56,G2,修正!F45:F56)</f>
        <v>0.3</v>
      </c>
      <c r="G37" s="176">
        <f ca="1">ROUND(IF(E2="工业",C37*$M$39,C37*$M$38),0)</f>
        <v>2046</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0.3</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0.25</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1.0323</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t="s">
        <v>3087</v>
      </c>
      <c r="D48" s="1196">
        <f t="shared" ref="D48:D56" si="10">SUMIF($J$47:$N$47,C48,J48:N48)</f>
        <v>1.2200000000000001E-2</v>
      </c>
      <c r="E48" s="760">
        <f>ROUND(SUM(D48:D56),4)</f>
        <v>3.2300000000000002E-2</v>
      </c>
      <c r="F48" s="2002">
        <f>IF(E2="商业",SUMIF(L1:L12,G2,N1:N12),"——")</f>
        <v>7.3999999999999996E-2</v>
      </c>
      <c r="G48" s="1194">
        <f>H48</f>
        <v>1.2200000000000001E-2</v>
      </c>
      <c r="H48" s="1198">
        <f t="shared" ref="H48:H56" si="11">IFERROR(ROUNDDOWN($F$48*I48/2,4),"——")</f>
        <v>1.2200000000000001E-2</v>
      </c>
      <c r="I48" s="759">
        <v>0.33</v>
      </c>
      <c r="J48" s="1195">
        <f t="shared" ref="J48:J56" si="12">K48+$G48</f>
        <v>2.4400000000000002E-2</v>
      </c>
      <c r="K48" s="1195">
        <f t="shared" ref="K48:K56" si="13">$L48+$G48</f>
        <v>1.2200000000000001E-2</v>
      </c>
      <c r="L48" s="1195">
        <v>0</v>
      </c>
      <c r="M48" s="1195">
        <f t="shared" ref="M48:N56" si="14">L48-$G48</f>
        <v>-1.2200000000000001E-2</v>
      </c>
      <c r="N48" s="1195">
        <f t="shared" si="14"/>
        <v>-2.4400000000000002E-2</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t="s">
        <v>3087</v>
      </c>
      <c r="D49" s="1196">
        <f t="shared" si="10"/>
        <v>9.1999999999999998E-3</v>
      </c>
      <c r="E49" s="761"/>
      <c r="F49" s="2002"/>
      <c r="G49" s="1194">
        <f t="shared" ref="G49:G56" si="15">H49</f>
        <v>9.1999999999999998E-3</v>
      </c>
      <c r="H49" s="1198">
        <f t="shared" si="11"/>
        <v>9.1999999999999998E-3</v>
      </c>
      <c r="I49" s="759">
        <v>0.25</v>
      </c>
      <c r="J49" s="1195">
        <f t="shared" si="12"/>
        <v>1.84E-2</v>
      </c>
      <c r="K49" s="1195">
        <f t="shared" si="13"/>
        <v>9.1999999999999998E-3</v>
      </c>
      <c r="L49" s="1195">
        <v>0</v>
      </c>
      <c r="M49" s="1195">
        <f t="shared" si="14"/>
        <v>-9.1999999999999998E-3</v>
      </c>
      <c r="N49" s="1195">
        <f t="shared" si="14"/>
        <v>-1.84E-2</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3087</v>
      </c>
      <c r="D50" s="1196">
        <f t="shared" si="10"/>
        <v>1.8E-3</v>
      </c>
      <c r="E50" s="761"/>
      <c r="F50" s="2002"/>
      <c r="G50" s="1194">
        <f t="shared" si="15"/>
        <v>1.8E-3</v>
      </c>
      <c r="H50" s="1198">
        <f t="shared" si="11"/>
        <v>1.8E-3</v>
      </c>
      <c r="I50" s="759">
        <v>0.05</v>
      </c>
      <c r="J50" s="1195">
        <f t="shared" si="12"/>
        <v>3.5999999999999999E-3</v>
      </c>
      <c r="K50" s="1195">
        <f t="shared" si="13"/>
        <v>1.8E-3</v>
      </c>
      <c r="L50" s="1195">
        <v>0</v>
      </c>
      <c r="M50" s="1195">
        <f t="shared" si="14"/>
        <v>-1.8E-3</v>
      </c>
      <c r="N50" s="1195">
        <f t="shared" si="14"/>
        <v>-3.5999999999999999E-3</v>
      </c>
      <c r="AA50" s="1281"/>
      <c r="AB50" s="1281"/>
      <c r="AC50" s="1281"/>
      <c r="AD50" s="1281"/>
      <c r="AE50" s="1281"/>
      <c r="AF50" s="1281"/>
      <c r="AG50" s="1281"/>
      <c r="AH50" s="1281"/>
      <c r="AI50" s="1281"/>
      <c r="AJ50" s="1281"/>
      <c r="AK50" s="1281"/>
    </row>
    <row r="51" spans="1:37" s="1280" customFormat="1" ht="36.75">
      <c r="A51" s="2331" t="s">
        <v>2772</v>
      </c>
      <c r="B51" s="2336" t="s">
        <v>2773</v>
      </c>
      <c r="C51" s="2236" t="s">
        <v>3087</v>
      </c>
      <c r="D51" s="1196">
        <f t="shared" si="10"/>
        <v>1.8E-3</v>
      </c>
      <c r="E51" s="761"/>
      <c r="F51" s="2002"/>
      <c r="G51" s="1194">
        <f t="shared" si="15"/>
        <v>1.8E-3</v>
      </c>
      <c r="H51" s="1198">
        <f t="shared" si="11"/>
        <v>1.8E-3</v>
      </c>
      <c r="I51" s="759">
        <v>0.05</v>
      </c>
      <c r="J51" s="1195">
        <f t="shared" si="12"/>
        <v>3.5999999999999999E-3</v>
      </c>
      <c r="K51" s="1195">
        <f t="shared" si="13"/>
        <v>1.8E-3</v>
      </c>
      <c r="L51" s="1195">
        <v>0</v>
      </c>
      <c r="M51" s="1195">
        <f t="shared" si="14"/>
        <v>-1.8E-3</v>
      </c>
      <c r="N51" s="1195">
        <f t="shared" si="14"/>
        <v>-3.5999999999999999E-3</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t="s">
        <v>3091</v>
      </c>
      <c r="D52" s="1196">
        <f t="shared" si="10"/>
        <v>0</v>
      </c>
      <c r="E52" s="761"/>
      <c r="F52" s="2002"/>
      <c r="G52" s="1194">
        <f t="shared" si="15"/>
        <v>2.8999999999999998E-3</v>
      </c>
      <c r="H52" s="1198">
        <f t="shared" si="11"/>
        <v>2.8999999999999998E-3</v>
      </c>
      <c r="I52" s="759">
        <v>0.08</v>
      </c>
      <c r="J52" s="1195">
        <f t="shared" si="12"/>
        <v>5.7999999999999996E-3</v>
      </c>
      <c r="K52" s="1195">
        <f t="shared" si="13"/>
        <v>2.8999999999999998E-3</v>
      </c>
      <c r="L52" s="1195">
        <v>0</v>
      </c>
      <c r="M52" s="1195">
        <f t="shared" si="14"/>
        <v>-2.8999999999999998E-3</v>
      </c>
      <c r="N52" s="1195">
        <f t="shared" si="14"/>
        <v>-5.7999999999999996E-3</v>
      </c>
      <c r="AA52" s="1281"/>
      <c r="AB52" s="1281"/>
      <c r="AC52" s="1281"/>
      <c r="AD52" s="1281"/>
      <c r="AE52" s="1281"/>
      <c r="AF52" s="1281"/>
      <c r="AG52" s="1281"/>
      <c r="AH52" s="1281"/>
      <c r="AI52" s="1281"/>
      <c r="AJ52" s="1281"/>
      <c r="AK52" s="1281"/>
    </row>
    <row r="53" spans="1:37" s="1280" customFormat="1" ht="24">
      <c r="A53" s="2331" t="s">
        <v>2775</v>
      </c>
      <c r="B53" s="2337" t="s">
        <v>2776</v>
      </c>
      <c r="C53" s="2236" t="s">
        <v>3087</v>
      </c>
      <c r="D53" s="1196">
        <f t="shared" si="10"/>
        <v>1.1000000000000001E-3</v>
      </c>
      <c r="E53" s="761"/>
      <c r="F53" s="2002"/>
      <c r="G53" s="1194">
        <f t="shared" si="15"/>
        <v>1.1000000000000001E-3</v>
      </c>
      <c r="H53" s="1198">
        <f t="shared" si="11"/>
        <v>1.1000000000000001E-3</v>
      </c>
      <c r="I53" s="759">
        <v>0.03</v>
      </c>
      <c r="J53" s="1195">
        <f t="shared" si="12"/>
        <v>2.2000000000000001E-3</v>
      </c>
      <c r="K53" s="1195">
        <f t="shared" si="13"/>
        <v>1.1000000000000001E-3</v>
      </c>
      <c r="L53" s="1195">
        <v>0</v>
      </c>
      <c r="M53" s="1195">
        <f t="shared" si="14"/>
        <v>-1.1000000000000001E-3</v>
      </c>
      <c r="N53" s="1195">
        <f t="shared" si="14"/>
        <v>-2.2000000000000001E-3</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t="s">
        <v>3087</v>
      </c>
      <c r="D54" s="1196">
        <f t="shared" si="10"/>
        <v>1.8E-3</v>
      </c>
      <c r="E54" s="761"/>
      <c r="F54" s="2002"/>
      <c r="G54" s="1194">
        <f t="shared" si="15"/>
        <v>1.8E-3</v>
      </c>
      <c r="H54" s="1198">
        <f t="shared" si="11"/>
        <v>1.8E-3</v>
      </c>
      <c r="I54" s="759">
        <v>0.05</v>
      </c>
      <c r="J54" s="1195">
        <f t="shared" si="12"/>
        <v>3.5999999999999999E-3</v>
      </c>
      <c r="K54" s="1195">
        <f t="shared" si="13"/>
        <v>1.8E-3</v>
      </c>
      <c r="L54" s="1195">
        <v>0</v>
      </c>
      <c r="M54" s="1195">
        <f t="shared" si="14"/>
        <v>-1.8E-3</v>
      </c>
      <c r="N54" s="1195">
        <f t="shared" si="14"/>
        <v>-3.5999999999999999E-3</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t="s">
        <v>3091</v>
      </c>
      <c r="D55" s="1196">
        <f t="shared" si="10"/>
        <v>0</v>
      </c>
      <c r="E55" s="761"/>
      <c r="F55" s="2002"/>
      <c r="G55" s="1194">
        <f t="shared" si="15"/>
        <v>3.7000000000000002E-3</v>
      </c>
      <c r="H55" s="1198">
        <f t="shared" si="11"/>
        <v>3.7000000000000002E-3</v>
      </c>
      <c r="I55" s="759">
        <v>0.1</v>
      </c>
      <c r="J55" s="1195">
        <f t="shared" si="12"/>
        <v>7.4000000000000003E-3</v>
      </c>
      <c r="K55" s="1195">
        <f t="shared" si="13"/>
        <v>3.7000000000000002E-3</v>
      </c>
      <c r="L55" s="1195">
        <v>0</v>
      </c>
      <c r="M55" s="1195">
        <f t="shared" si="14"/>
        <v>-3.7000000000000002E-3</v>
      </c>
      <c r="N55" s="1195">
        <f t="shared" si="14"/>
        <v>-7.4000000000000003E-3</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t="s">
        <v>3156</v>
      </c>
      <c r="D56" s="1196">
        <f t="shared" si="10"/>
        <v>4.4000000000000003E-3</v>
      </c>
      <c r="E56" s="764"/>
      <c r="F56" s="2002"/>
      <c r="G56" s="1194">
        <f t="shared" si="15"/>
        <v>2.2000000000000001E-3</v>
      </c>
      <c r="H56" s="1198">
        <f t="shared" si="11"/>
        <v>2.2000000000000001E-3</v>
      </c>
      <c r="I56" s="763">
        <v>0.06</v>
      </c>
      <c r="J56" s="1195">
        <f t="shared" si="12"/>
        <v>4.4000000000000003E-3</v>
      </c>
      <c r="K56" s="1195">
        <f t="shared" si="13"/>
        <v>2.2000000000000001E-3</v>
      </c>
      <c r="L56" s="1195">
        <v>0</v>
      </c>
      <c r="M56" s="1195">
        <f t="shared" si="14"/>
        <v>-2.2000000000000001E-3</v>
      </c>
      <c r="N56" s="1195">
        <f t="shared" si="14"/>
        <v>-4.4000000000000003E-3</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67" t="s">
        <v>2791</v>
      </c>
      <c r="B90" s="3367"/>
      <c r="C90" s="3367"/>
      <c r="D90" s="3367"/>
      <c r="E90" s="3367"/>
      <c r="F90" s="3367"/>
      <c r="G90" s="3367"/>
      <c r="H90" s="3367"/>
      <c r="I90" s="3367"/>
      <c r="J90" s="3367"/>
      <c r="K90" s="2345"/>
      <c r="L90" s="2345"/>
      <c r="M90" s="2345"/>
      <c r="N90" s="2345"/>
    </row>
    <row r="91" spans="1:37">
      <c r="A91" s="3369" t="s">
        <v>2792</v>
      </c>
      <c r="B91" s="3369" t="s">
        <v>2793</v>
      </c>
      <c r="C91" s="2299" t="s">
        <v>2794</v>
      </c>
      <c r="D91" s="2300"/>
      <c r="E91" s="2300"/>
      <c r="F91" s="2300"/>
      <c r="G91" s="2300"/>
      <c r="H91" s="2300"/>
      <c r="I91" s="2300"/>
      <c r="J91" s="2346"/>
      <c r="K91" s="2347"/>
      <c r="L91" s="2347"/>
      <c r="M91" s="2347"/>
      <c r="N91" s="2347"/>
    </row>
    <row r="92" spans="1:37">
      <c r="A92" s="3369"/>
      <c r="B92" s="336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0"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71"/>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71"/>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71"/>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71"/>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71"/>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71"/>
      <c r="B99" s="2348" t="s">
        <v>2678</v>
      </c>
      <c r="C99" s="2350">
        <f>$I$3</f>
        <v>7</v>
      </c>
      <c r="D99" s="2350">
        <f t="shared" ref="D99:M99" si="31">$I$3</f>
        <v>7</v>
      </c>
      <c r="E99" s="2350">
        <f t="shared" si="31"/>
        <v>7</v>
      </c>
      <c r="F99" s="2350">
        <f t="shared" si="31"/>
        <v>7</v>
      </c>
      <c r="G99" s="2350">
        <f t="shared" si="31"/>
        <v>7</v>
      </c>
      <c r="H99" s="2350">
        <f t="shared" si="31"/>
        <v>7</v>
      </c>
      <c r="I99" s="2350">
        <f t="shared" si="31"/>
        <v>7</v>
      </c>
      <c r="J99" s="2350">
        <f t="shared" si="31"/>
        <v>7</v>
      </c>
      <c r="K99" s="2350">
        <f t="shared" si="31"/>
        <v>7</v>
      </c>
      <c r="L99" s="2350">
        <f t="shared" si="31"/>
        <v>7</v>
      </c>
      <c r="M99" s="2350">
        <f t="shared" si="31"/>
        <v>7</v>
      </c>
      <c r="N99" s="2350">
        <f>$I$3</f>
        <v>7</v>
      </c>
    </row>
    <row r="100" spans="1:14">
      <c r="A100" s="3372"/>
      <c r="B100" s="2348">
        <v>7</v>
      </c>
      <c r="C100" s="2351">
        <f>(-0.163*(C99^2)-0.59*C99+7617)*(10^(-4))</f>
        <v>0.76048830000000001</v>
      </c>
      <c r="D100" s="2351">
        <f>(-0.163*(D99^2)-0.59*D99+7617)*(10^(-4))</f>
        <v>0.76048830000000001</v>
      </c>
      <c r="E100" s="2351">
        <f>(-0.161*(E99^2)-7.509*E99+6533)*(10^(-4))</f>
        <v>0.64725480000000002</v>
      </c>
      <c r="F100" s="2351">
        <f>(-0.161*(F99^2)-7.509*F99+6533)*(10^(-4))</f>
        <v>0.64725480000000002</v>
      </c>
      <c r="G100" s="2351">
        <f>(-0.161*(G99^2)-7.509*G99+6533)*(10^(-4))</f>
        <v>0.64725480000000002</v>
      </c>
      <c r="H100" s="2351">
        <f>(-0.161*(H99^2)-7.509*H99+6533)*(10^(-4))</f>
        <v>0.64725480000000002</v>
      </c>
      <c r="I100" s="2351">
        <f>(-0.161*(I99^2)-7.509*I99+6533)*(10^(-4))</f>
        <v>0.64725480000000002</v>
      </c>
      <c r="J100" s="2351">
        <f>(-0.214*(J99^2)-21.991*J99+4665)*(10^(-4))</f>
        <v>0.45005770000000006</v>
      </c>
      <c r="K100" s="2351">
        <f>(-0.214*(K99^2)-21.991*K99+4665)*(10^(-4))</f>
        <v>0.45005770000000006</v>
      </c>
      <c r="L100" s="2351">
        <f>(-0.214*(L99^2)-21.991*L99+4665)*(10^(-4))</f>
        <v>0.45005770000000006</v>
      </c>
      <c r="M100" s="2351">
        <f>(-0.214*(M99^2)-21.991*M99+4665)*(10^(-4))</f>
        <v>0.45005770000000006</v>
      </c>
      <c r="N100" s="2351">
        <f>(-0.214*(N99^2)-21.991*N99+4665)*(10^(-4))</f>
        <v>0.45005770000000006</v>
      </c>
    </row>
    <row r="101" spans="1:14">
      <c r="A101" s="3370" t="s">
        <v>2796</v>
      </c>
      <c r="B101" s="2352" t="s">
        <v>2797</v>
      </c>
      <c r="C101" s="2353">
        <f>$G$3</f>
        <v>3.5</v>
      </c>
      <c r="D101" s="2353">
        <f t="shared" ref="D101:N101" si="32">$G$3</f>
        <v>3.5</v>
      </c>
      <c r="E101" s="2353">
        <f t="shared" si="32"/>
        <v>3.5</v>
      </c>
      <c r="F101" s="2353">
        <f t="shared" si="32"/>
        <v>3.5</v>
      </c>
      <c r="G101" s="2353">
        <f t="shared" si="32"/>
        <v>3.5</v>
      </c>
      <c r="H101" s="2353">
        <f t="shared" si="32"/>
        <v>3.5</v>
      </c>
      <c r="I101" s="2353">
        <f t="shared" si="32"/>
        <v>3.5</v>
      </c>
      <c r="J101" s="2353">
        <f t="shared" si="32"/>
        <v>3.5</v>
      </c>
      <c r="K101" s="2353">
        <f t="shared" si="32"/>
        <v>3.5</v>
      </c>
      <c r="L101" s="2353">
        <f t="shared" si="32"/>
        <v>3.5</v>
      </c>
      <c r="M101" s="2353">
        <f t="shared" si="32"/>
        <v>3.5</v>
      </c>
      <c r="N101" s="2353">
        <f t="shared" si="32"/>
        <v>3.5</v>
      </c>
    </row>
    <row r="102" spans="1:14">
      <c r="A102" s="3371"/>
      <c r="B102" s="2348">
        <v>1</v>
      </c>
      <c r="C102" s="2349">
        <f>1.9362/C101</f>
        <v>0.55320000000000003</v>
      </c>
      <c r="D102" s="2349">
        <f>1.9362/D101</f>
        <v>0.55320000000000003</v>
      </c>
      <c r="E102" s="2349">
        <f>1.8629/E101</f>
        <v>0.53225714285714287</v>
      </c>
      <c r="F102" s="2349">
        <f>1.8629/F101</f>
        <v>0.53225714285714287</v>
      </c>
      <c r="G102" s="2349">
        <f>1.8629/G101</f>
        <v>0.53225714285714287</v>
      </c>
      <c r="H102" s="2349">
        <f>1.8629/H101</f>
        <v>0.53225714285714287</v>
      </c>
      <c r="I102" s="2349">
        <f>1.8629/I101</f>
        <v>0.53225714285714287</v>
      </c>
      <c r="J102" s="2349">
        <f>1.942/J101</f>
        <v>0.55485714285714283</v>
      </c>
      <c r="K102" s="2349">
        <f>1.942/K101</f>
        <v>0.55485714285714283</v>
      </c>
      <c r="L102" s="2349">
        <f>1.942/L101</f>
        <v>0.55485714285714283</v>
      </c>
      <c r="M102" s="2349">
        <f>1.942/M101</f>
        <v>0.55485714285714283</v>
      </c>
      <c r="N102" s="2349">
        <f>1.942/N101</f>
        <v>0.55485714285714283</v>
      </c>
    </row>
    <row r="103" spans="1:14">
      <c r="A103" s="3371"/>
      <c r="B103" s="2348">
        <v>2</v>
      </c>
      <c r="C103" s="2349">
        <f>1.4198/C101</f>
        <v>0.40565714285714283</v>
      </c>
      <c r="D103" s="2349">
        <f>1.4198/D101</f>
        <v>0.40565714285714283</v>
      </c>
      <c r="E103" s="2349">
        <f>1.3372/E101</f>
        <v>0.38205714285714282</v>
      </c>
      <c r="F103" s="2349">
        <f>1.3372/F101</f>
        <v>0.38205714285714282</v>
      </c>
      <c r="G103" s="2349">
        <f>1.3372/G101</f>
        <v>0.38205714285714282</v>
      </c>
      <c r="H103" s="2349">
        <f>1.3372/H101</f>
        <v>0.38205714285714282</v>
      </c>
      <c r="I103" s="2349">
        <f>1.3372/I101</f>
        <v>0.38205714285714282</v>
      </c>
      <c r="J103" s="2349">
        <f>1.2799/J101</f>
        <v>0.36568571428571428</v>
      </c>
      <c r="K103" s="2349">
        <f>1.2799/K101</f>
        <v>0.36568571428571428</v>
      </c>
      <c r="L103" s="2349">
        <f>1.2799/L101</f>
        <v>0.36568571428571428</v>
      </c>
      <c r="M103" s="2349">
        <f>1.2799/M101</f>
        <v>0.36568571428571428</v>
      </c>
      <c r="N103" s="2349">
        <f>1.2799/N101</f>
        <v>0.36568571428571428</v>
      </c>
    </row>
    <row r="104" spans="1:14">
      <c r="A104" s="3371"/>
      <c r="B104" s="2348">
        <v>3</v>
      </c>
      <c r="C104" s="2349">
        <f>1.1594/C101</f>
        <v>0.33125714285714286</v>
      </c>
      <c r="D104" s="2349">
        <f>1.1594/D101</f>
        <v>0.33125714285714286</v>
      </c>
      <c r="E104" s="2349">
        <f>1.0788/E101</f>
        <v>0.30822857142857141</v>
      </c>
      <c r="F104" s="2349">
        <f>1.0788/F101</f>
        <v>0.30822857142857141</v>
      </c>
      <c r="G104" s="2349">
        <f>1.0788/G101</f>
        <v>0.30822857142857141</v>
      </c>
      <c r="H104" s="2349">
        <f>1.0788/H101</f>
        <v>0.30822857142857141</v>
      </c>
      <c r="I104" s="2349">
        <f>1.0788/I101</f>
        <v>0.30822857142857141</v>
      </c>
      <c r="J104" s="2349">
        <f>1.0072/J101</f>
        <v>0.28777142857142862</v>
      </c>
      <c r="K104" s="2349">
        <f>1.0072/K101</f>
        <v>0.28777142857142862</v>
      </c>
      <c r="L104" s="2349">
        <f>1.0072/L101</f>
        <v>0.28777142857142862</v>
      </c>
      <c r="M104" s="2349">
        <f>1.0072/M101</f>
        <v>0.28777142857142862</v>
      </c>
      <c r="N104" s="2349">
        <f>1.0072/N101</f>
        <v>0.28777142857142862</v>
      </c>
    </row>
    <row r="105" spans="1:14">
      <c r="A105" s="3371"/>
      <c r="B105" s="2348">
        <v>4</v>
      </c>
      <c r="C105" s="2349">
        <f>0.9622/C101</f>
        <v>0.27491428571428572</v>
      </c>
      <c r="D105" s="2349">
        <f>0.9622/D101</f>
        <v>0.27491428571428572</v>
      </c>
      <c r="E105" s="2349">
        <f>0.8656/E101</f>
        <v>0.24731428571428574</v>
      </c>
      <c r="F105" s="2349">
        <f>0.8656/F101</f>
        <v>0.24731428571428574</v>
      </c>
      <c r="G105" s="2349">
        <f>0.8656/G101</f>
        <v>0.24731428571428574</v>
      </c>
      <c r="H105" s="2349">
        <f>0.8656/H101</f>
        <v>0.24731428571428574</v>
      </c>
      <c r="I105" s="2349">
        <f>0.8656/I101</f>
        <v>0.24731428571428574</v>
      </c>
      <c r="J105" s="2349">
        <f>0.7525/J101</f>
        <v>0.215</v>
      </c>
      <c r="K105" s="2349">
        <f>0.7525/K101</f>
        <v>0.215</v>
      </c>
      <c r="L105" s="2349">
        <f>0.7525/L101</f>
        <v>0.215</v>
      </c>
      <c r="M105" s="2349">
        <f>0.7525/M101</f>
        <v>0.215</v>
      </c>
      <c r="N105" s="2349">
        <f>0.7525/N101</f>
        <v>0.215</v>
      </c>
    </row>
    <row r="106" spans="1:14">
      <c r="A106" s="3371"/>
      <c r="B106" s="2348">
        <v>5</v>
      </c>
      <c r="C106" s="2349">
        <f>0.8417/C101</f>
        <v>0.24048571428571427</v>
      </c>
      <c r="D106" s="2349">
        <f>0.8417/D101</f>
        <v>0.24048571428571427</v>
      </c>
      <c r="E106" s="2349">
        <f>0.7371/E101</f>
        <v>0.21059999999999998</v>
      </c>
      <c r="F106" s="2349">
        <f>0.7371/F101</f>
        <v>0.21059999999999998</v>
      </c>
      <c r="G106" s="2349">
        <f>0.7371/G101</f>
        <v>0.21059999999999998</v>
      </c>
      <c r="H106" s="2349">
        <f>0.7371/H101</f>
        <v>0.21059999999999998</v>
      </c>
      <c r="I106" s="2349">
        <f>0.7371/I101</f>
        <v>0.21059999999999998</v>
      </c>
      <c r="J106" s="2349">
        <f>0.5659/J101</f>
        <v>0.16168571428571427</v>
      </c>
      <c r="K106" s="2349">
        <f>0.5659/K101</f>
        <v>0.16168571428571427</v>
      </c>
      <c r="L106" s="2349">
        <f>0.5659/L101</f>
        <v>0.16168571428571427</v>
      </c>
      <c r="M106" s="2349">
        <f>0.5659/M101</f>
        <v>0.16168571428571427</v>
      </c>
      <c r="N106" s="2349">
        <f>0.5659/N101</f>
        <v>0.16168571428571427</v>
      </c>
    </row>
    <row r="107" spans="1:14">
      <c r="A107" s="3371"/>
      <c r="B107" s="2348">
        <v>6</v>
      </c>
      <c r="C107" s="2349">
        <f>0.7608/C101</f>
        <v>0.21737142857142858</v>
      </c>
      <c r="D107" s="2349">
        <f>0.7608/D101</f>
        <v>0.21737142857142858</v>
      </c>
      <c r="E107" s="2349">
        <f>0.6482/E101</f>
        <v>0.1852</v>
      </c>
      <c r="F107" s="2349">
        <f>0.6482/F101</f>
        <v>0.1852</v>
      </c>
      <c r="G107" s="2349">
        <f>0.6482/G101</f>
        <v>0.1852</v>
      </c>
      <c r="H107" s="2349">
        <f>0.6482/H101</f>
        <v>0.1852</v>
      </c>
      <c r="I107" s="2349">
        <f>0.6482/I101</f>
        <v>0.1852</v>
      </c>
      <c r="J107" s="2349">
        <f>0.4525/J101</f>
        <v>0.12928571428571428</v>
      </c>
      <c r="K107" s="2349">
        <f>0.4525/K101</f>
        <v>0.12928571428571428</v>
      </c>
      <c r="L107" s="2349">
        <f>0.4525/L101</f>
        <v>0.12928571428571428</v>
      </c>
      <c r="M107" s="2349">
        <f>0.4525/M101</f>
        <v>0.12928571428571428</v>
      </c>
      <c r="N107" s="2349">
        <f>0.4525/N101</f>
        <v>0.12928571428571428</v>
      </c>
    </row>
    <row r="108" spans="1:14">
      <c r="A108" s="3371"/>
      <c r="B108" s="3373" t="s">
        <v>2798</v>
      </c>
      <c r="C108" s="2350">
        <f>C99</f>
        <v>7</v>
      </c>
      <c r="D108" s="2350">
        <f t="shared" ref="D108:N108" si="33">D99</f>
        <v>7</v>
      </c>
      <c r="E108" s="2350">
        <f t="shared" si="33"/>
        <v>7</v>
      </c>
      <c r="F108" s="2350">
        <f t="shared" si="33"/>
        <v>7</v>
      </c>
      <c r="G108" s="2350">
        <f t="shared" si="33"/>
        <v>7</v>
      </c>
      <c r="H108" s="2350">
        <f t="shared" si="33"/>
        <v>7</v>
      </c>
      <c r="I108" s="2350">
        <f t="shared" si="33"/>
        <v>7</v>
      </c>
      <c r="J108" s="2350">
        <f t="shared" si="33"/>
        <v>7</v>
      </c>
      <c r="K108" s="2350">
        <f t="shared" si="33"/>
        <v>7</v>
      </c>
      <c r="L108" s="2350">
        <f t="shared" si="33"/>
        <v>7</v>
      </c>
      <c r="M108" s="2350">
        <f t="shared" si="33"/>
        <v>7</v>
      </c>
      <c r="N108" s="2350">
        <f t="shared" si="33"/>
        <v>7</v>
      </c>
    </row>
    <row r="109" spans="1:14">
      <c r="A109" s="3372"/>
      <c r="B109" s="3374"/>
      <c r="C109" s="2351">
        <f>(-0.163*(C108^2)-0.59*C108+7617)*(10^(-4))/C101</f>
        <v>0.21728237142857143</v>
      </c>
      <c r="D109" s="2351">
        <f>(-0.163*(D108^2)-0.59*D108+7617)*(10^(-4))/D101</f>
        <v>0.21728237142857143</v>
      </c>
      <c r="E109" s="2351">
        <f>(-0.161*(E108^2)-7.509*E108+6533)*(10^(-4))/E101</f>
        <v>0.18492994285714287</v>
      </c>
      <c r="F109" s="2351">
        <f>(-0.161*(F108^2)-7.509*F108+6533)*(10^(-4))/F101</f>
        <v>0.18492994285714287</v>
      </c>
      <c r="G109" s="2351">
        <f>(-0.161*(G108^2)-7.509*G108+6533)*(10^(-4))/G101</f>
        <v>0.18492994285714287</v>
      </c>
      <c r="H109" s="2351">
        <f>(-0.161*(H108^2)-7.509*H108+6533)*(10^(-4))/H101</f>
        <v>0.18492994285714287</v>
      </c>
      <c r="I109" s="2351">
        <f>(-0.161*(I108^2)-7.509*I108+6533)*(10^(-4))/I101</f>
        <v>0.18492994285714287</v>
      </c>
      <c r="J109" s="2351">
        <f>(-0.214*(J108^2)-21.991*J108+4665)*(10^(-4))/J101</f>
        <v>0.12858791428571431</v>
      </c>
      <c r="K109" s="2351">
        <f>(-0.214*(K108^2)-21.991*K108+4665)*(10^(-4))/K101</f>
        <v>0.12858791428571431</v>
      </c>
      <c r="L109" s="2351">
        <f>(-0.214*(L108^2)-21.991*L108+4665)*(10^(-4))/L101</f>
        <v>0.12858791428571431</v>
      </c>
      <c r="M109" s="2351">
        <f>(-0.214*(M108^2)-21.991*M108+4665)*(10^(-4))/M101</f>
        <v>0.12858791428571431</v>
      </c>
      <c r="N109" s="2351">
        <f>(-0.214*(N108^2)-21.991*N108+4665)*(10^(-4))/N101</f>
        <v>0.12858791428571431</v>
      </c>
    </row>
    <row r="110" spans="1:14">
      <c r="A110" s="3368" t="s">
        <v>2799</v>
      </c>
      <c r="B110" s="3368"/>
      <c r="C110" s="3368"/>
      <c r="D110" s="3368"/>
      <c r="E110" s="3368"/>
      <c r="F110" s="3368"/>
      <c r="G110" s="3368"/>
      <c r="H110" s="3368"/>
      <c r="I110" s="3368"/>
      <c r="J110" s="3368"/>
      <c r="K110" s="2354"/>
      <c r="L110" s="2354"/>
      <c r="M110" s="2354"/>
      <c r="N110" s="2354"/>
    </row>
    <row r="112" spans="1:14" ht="13.5" thickBot="1"/>
    <row r="113" spans="1:13" ht="15.75" thickBot="1">
      <c r="A113" s="842" t="s">
        <v>2800</v>
      </c>
      <c r="B113" s="1197">
        <f>G3</f>
        <v>3.5</v>
      </c>
      <c r="C113" s="843" t="s">
        <v>2801</v>
      </c>
      <c r="D113" s="844">
        <f>SUMPRODUCT((A115:A118=F113)*(B114:M114=H113)*B115:M118)</f>
        <v>0.90059999999999996</v>
      </c>
      <c r="E113" s="2190" t="s">
        <v>2636</v>
      </c>
      <c r="F113" s="2356" t="str">
        <f>E2</f>
        <v>商业</v>
      </c>
      <c r="G113" s="2190" t="s">
        <v>2637</v>
      </c>
      <c r="H113" s="2356" t="str">
        <f>G2</f>
        <v>二级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4">I115</f>
        <v>0.63480000000000003</v>
      </c>
      <c r="K115" s="849">
        <f t="shared" si="34"/>
        <v>0.63480000000000003</v>
      </c>
      <c r="L115" s="849">
        <f t="shared" si="34"/>
        <v>0.63480000000000003</v>
      </c>
      <c r="M115" s="850">
        <f t="shared" si="34"/>
        <v>0.63480000000000003</v>
      </c>
    </row>
    <row r="116" spans="1:13">
      <c r="A116" s="848" t="s">
        <v>2701</v>
      </c>
      <c r="B116" s="849">
        <f>ROUND(0.949-0.012*B113,4)</f>
        <v>0.90700000000000003</v>
      </c>
      <c r="C116" s="849">
        <f>B116</f>
        <v>0.90700000000000003</v>
      </c>
      <c r="D116" s="849">
        <f>ROUND(0.8567-0.013*B113,4)</f>
        <v>0.81120000000000003</v>
      </c>
      <c r="E116" s="849">
        <f t="shared" ref="E116:H117" si="35">D116</f>
        <v>0.81120000000000003</v>
      </c>
      <c r="F116" s="849">
        <f t="shared" si="35"/>
        <v>0.81120000000000003</v>
      </c>
      <c r="G116" s="849">
        <f t="shared" si="35"/>
        <v>0.81120000000000003</v>
      </c>
      <c r="H116" s="849">
        <f t="shared" si="35"/>
        <v>0.81120000000000003</v>
      </c>
      <c r="I116" s="849">
        <f>ROUND(0.7694-0.014*B113,4)</f>
        <v>0.72040000000000004</v>
      </c>
      <c r="J116" s="849">
        <f t="shared" si="34"/>
        <v>0.72040000000000004</v>
      </c>
      <c r="K116" s="849">
        <f t="shared" si="34"/>
        <v>0.72040000000000004</v>
      </c>
      <c r="L116" s="849">
        <f t="shared" si="34"/>
        <v>0.72040000000000004</v>
      </c>
      <c r="M116" s="850">
        <f t="shared" si="34"/>
        <v>0.72040000000000004</v>
      </c>
    </row>
    <row r="117" spans="1:13">
      <c r="A117" s="848" t="s">
        <v>2702</v>
      </c>
      <c r="B117" s="849">
        <f>ROUND(0.8808-0.006*B113,4)</f>
        <v>0.85980000000000001</v>
      </c>
      <c r="C117" s="849">
        <f>B117</f>
        <v>0.85980000000000001</v>
      </c>
      <c r="D117" s="849">
        <f>ROUND(0.8748-0.008*B113,4)</f>
        <v>0.8468</v>
      </c>
      <c r="E117" s="849">
        <f t="shared" si="35"/>
        <v>0.8468</v>
      </c>
      <c r="F117" s="849">
        <f t="shared" si="35"/>
        <v>0.8468</v>
      </c>
      <c r="G117" s="849">
        <f t="shared" si="35"/>
        <v>0.8468</v>
      </c>
      <c r="H117" s="849">
        <f t="shared" si="35"/>
        <v>0.8468</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2703</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4"/>
        <v>0.51910000000000001</v>
      </c>
      <c r="K118" s="851">
        <f t="shared" si="34"/>
        <v>0.51910000000000001</v>
      </c>
      <c r="L118" s="851">
        <f t="shared" si="34"/>
        <v>0.51910000000000001</v>
      </c>
      <c r="M118" s="852">
        <f t="shared" si="34"/>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1" t="s">
        <v>614</v>
      </c>
      <c r="C61" s="757" t="s">
        <v>615</v>
      </c>
      <c r="D61" s="757" t="s">
        <v>616</v>
      </c>
      <c r="E61" s="834">
        <v>0.5</v>
      </c>
      <c r="F61" s="821">
        <v>80</v>
      </c>
    </row>
    <row r="62" spans="1:8" s="817" customFormat="1" ht="24">
      <c r="A62" s="821">
        <v>2</v>
      </c>
      <c r="B62" s="3381"/>
      <c r="C62" s="757" t="s">
        <v>617</v>
      </c>
      <c r="D62" s="757" t="s">
        <v>618</v>
      </c>
      <c r="E62" s="834">
        <v>0.5</v>
      </c>
      <c r="F62" s="821">
        <v>80</v>
      </c>
    </row>
    <row r="63" spans="1:8" s="817" customFormat="1" ht="36">
      <c r="A63" s="821">
        <v>3</v>
      </c>
      <c r="B63" s="3381"/>
      <c r="C63" s="757" t="s">
        <v>619</v>
      </c>
      <c r="D63" s="757" t="s">
        <v>620</v>
      </c>
      <c r="E63" s="834">
        <v>0.5</v>
      </c>
      <c r="F63" s="821">
        <v>80</v>
      </c>
    </row>
    <row r="64" spans="1:8" s="817" customFormat="1" ht="36">
      <c r="A64" s="821">
        <v>4</v>
      </c>
      <c r="B64" s="3381"/>
      <c r="C64" s="757" t="s">
        <v>621</v>
      </c>
      <c r="D64" s="757" t="s">
        <v>622</v>
      </c>
      <c r="E64" s="834">
        <v>0.4</v>
      </c>
      <c r="F64" s="821">
        <v>60</v>
      </c>
    </row>
    <row r="65" spans="1:6" s="817" customFormat="1" ht="36">
      <c r="A65" s="821">
        <v>5</v>
      </c>
      <c r="B65" s="3381"/>
      <c r="C65" s="757" t="s">
        <v>623</v>
      </c>
      <c r="D65" s="757" t="s">
        <v>624</v>
      </c>
      <c r="E65" s="834">
        <v>0.2</v>
      </c>
      <c r="F65" s="821">
        <v>30</v>
      </c>
    </row>
    <row r="66" spans="1:6" s="817" customFormat="1" ht="36">
      <c r="A66" s="821">
        <v>6</v>
      </c>
      <c r="B66" s="3381"/>
      <c r="C66" s="757" t="s">
        <v>625</v>
      </c>
      <c r="D66" s="757" t="s">
        <v>626</v>
      </c>
      <c r="E66" s="834">
        <v>0.3</v>
      </c>
      <c r="F66" s="821">
        <v>50</v>
      </c>
    </row>
    <row r="67" spans="1:6" s="817" customFormat="1" ht="36">
      <c r="A67" s="821">
        <v>7</v>
      </c>
      <c r="B67" s="3381"/>
      <c r="C67" s="757" t="s">
        <v>627</v>
      </c>
      <c r="D67" s="757" t="s">
        <v>628</v>
      </c>
      <c r="E67" s="834">
        <v>0.2</v>
      </c>
      <c r="F67" s="821">
        <v>30</v>
      </c>
    </row>
    <row r="68" spans="1:6" s="817" customFormat="1" ht="36">
      <c r="A68" s="821">
        <v>8</v>
      </c>
      <c r="B68" s="3381"/>
      <c r="C68" s="757" t="s">
        <v>629</v>
      </c>
      <c r="D68" s="757" t="s">
        <v>630</v>
      </c>
      <c r="E68" s="834">
        <v>0.2</v>
      </c>
      <c r="F68" s="821">
        <v>30</v>
      </c>
    </row>
    <row r="69" spans="1:6" s="817" customFormat="1" ht="36">
      <c r="A69" s="821">
        <v>9</v>
      </c>
      <c r="B69" s="3381"/>
      <c r="C69" s="757" t="s">
        <v>631</v>
      </c>
      <c r="D69" s="757" t="s">
        <v>632</v>
      </c>
      <c r="E69" s="834">
        <v>0.2</v>
      </c>
      <c r="F69" s="821">
        <v>30</v>
      </c>
    </row>
    <row r="70" spans="1:6" s="817" customFormat="1" ht="48">
      <c r="A70" s="821">
        <v>10</v>
      </c>
      <c r="B70" s="3381"/>
      <c r="C70" s="757" t="s">
        <v>633</v>
      </c>
      <c r="D70" s="757" t="s">
        <v>634</v>
      </c>
      <c r="E70" s="834">
        <v>0.2</v>
      </c>
      <c r="F70" s="821">
        <v>30</v>
      </c>
    </row>
    <row r="71" spans="1:6" s="817" customFormat="1" ht="48">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24">
      <c r="A73" s="821">
        <v>13</v>
      </c>
      <c r="B73" s="3381"/>
      <c r="C73" s="757" t="s">
        <v>639</v>
      </c>
      <c r="D73" s="757" t="s">
        <v>640</v>
      </c>
      <c r="E73" s="834">
        <v>0.4</v>
      </c>
      <c r="F73" s="821">
        <v>60</v>
      </c>
    </row>
    <row r="74" spans="1:6" s="817" customFormat="1" ht="24">
      <c r="A74" s="821">
        <v>14</v>
      </c>
      <c r="B74" s="3381"/>
      <c r="C74" s="757" t="s">
        <v>641</v>
      </c>
      <c r="D74" s="757" t="s">
        <v>642</v>
      </c>
      <c r="E74" s="834">
        <v>0.2</v>
      </c>
      <c r="F74" s="821">
        <v>30</v>
      </c>
    </row>
    <row r="75" spans="1:6" s="817" customFormat="1" ht="24">
      <c r="A75" s="821">
        <v>15</v>
      </c>
      <c r="B75" s="3381"/>
      <c r="C75" s="757" t="s">
        <v>643</v>
      </c>
      <c r="D75" s="757" t="s">
        <v>644</v>
      </c>
      <c r="E75" s="834">
        <v>0.2</v>
      </c>
      <c r="F75" s="821">
        <v>30</v>
      </c>
    </row>
    <row r="76" spans="1:6" s="817" customFormat="1" ht="24">
      <c r="A76" s="821">
        <v>16</v>
      </c>
      <c r="B76" s="3381" t="s">
        <v>645</v>
      </c>
      <c r="C76" s="757" t="s">
        <v>646</v>
      </c>
      <c r="D76" s="757" t="s">
        <v>647</v>
      </c>
      <c r="E76" s="834">
        <v>0.5</v>
      </c>
      <c r="F76" s="821">
        <v>80</v>
      </c>
    </row>
    <row r="77" spans="1:6" s="817" customFormat="1" ht="24">
      <c r="A77" s="821">
        <v>17</v>
      </c>
      <c r="B77" s="3381"/>
      <c r="C77" s="757" t="s">
        <v>648</v>
      </c>
      <c r="D77" s="757" t="s">
        <v>649</v>
      </c>
      <c r="E77" s="834">
        <v>0.5</v>
      </c>
      <c r="F77" s="821">
        <v>80</v>
      </c>
    </row>
    <row r="78" spans="1:6" s="817" customFormat="1" ht="24">
      <c r="A78" s="821">
        <v>18</v>
      </c>
      <c r="B78" s="3381"/>
      <c r="C78" s="757" t="s">
        <v>650</v>
      </c>
      <c r="D78" s="757" t="s">
        <v>651</v>
      </c>
      <c r="E78" s="834">
        <v>0.2</v>
      </c>
      <c r="F78" s="821">
        <v>30</v>
      </c>
    </row>
    <row r="79" spans="1:6" s="817" customFormat="1" ht="24">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48">
      <c r="A82" s="821">
        <v>22</v>
      </c>
      <c r="B82" s="3381"/>
      <c r="C82" s="757" t="s">
        <v>658</v>
      </c>
      <c r="D82" s="757" t="s">
        <v>659</v>
      </c>
      <c r="E82" s="834">
        <v>0.2</v>
      </c>
      <c r="F82" s="821">
        <v>30</v>
      </c>
    </row>
    <row r="83" spans="1:6" s="817" customFormat="1" ht="48">
      <c r="A83" s="821">
        <v>23</v>
      </c>
      <c r="B83" s="3381"/>
      <c r="C83" s="757" t="s">
        <v>660</v>
      </c>
      <c r="D83" s="757" t="s">
        <v>661</v>
      </c>
      <c r="E83" s="834">
        <v>0.2</v>
      </c>
      <c r="F83" s="821">
        <v>30</v>
      </c>
    </row>
    <row r="84" spans="1:6" s="817" customFormat="1" ht="36">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24">
      <c r="A89" s="821">
        <v>29</v>
      </c>
      <c r="B89" s="3381"/>
      <c r="C89" s="757" t="s">
        <v>672</v>
      </c>
      <c r="D89" s="757" t="s">
        <v>673</v>
      </c>
      <c r="E89" s="834">
        <v>0.2</v>
      </c>
      <c r="F89" s="821">
        <v>30</v>
      </c>
    </row>
    <row r="90" spans="1:6" s="817" customFormat="1" ht="24">
      <c r="A90" s="821">
        <v>30</v>
      </c>
      <c r="B90" s="3381"/>
      <c r="C90" s="757" t="s">
        <v>674</v>
      </c>
      <c r="D90" s="757" t="s">
        <v>675</v>
      </c>
      <c r="E90" s="834">
        <v>0.2</v>
      </c>
      <c r="F90" s="821">
        <v>30</v>
      </c>
    </row>
    <row r="91" spans="1:6" s="817" customFormat="1" ht="36">
      <c r="A91" s="821">
        <v>31</v>
      </c>
      <c r="B91" s="3381"/>
      <c r="C91" s="757" t="s">
        <v>676</v>
      </c>
      <c r="D91" s="757" t="s">
        <v>677</v>
      </c>
      <c r="E91" s="834">
        <v>0.2</v>
      </c>
      <c r="F91" s="821">
        <v>30</v>
      </c>
    </row>
    <row r="92" spans="1:6" s="817" customFormat="1" ht="24">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48">
      <c r="A94" s="821">
        <v>34</v>
      </c>
      <c r="B94" s="3381"/>
      <c r="C94" s="821" t="s">
        <v>683</v>
      </c>
      <c r="D94" s="757" t="s">
        <v>684</v>
      </c>
      <c r="E94" s="834">
        <v>0.2</v>
      </c>
      <c r="F94" s="821">
        <v>30</v>
      </c>
    </row>
    <row r="95" spans="1:6" s="817" customFormat="1" ht="36">
      <c r="A95" s="821">
        <v>35</v>
      </c>
      <c r="B95" s="3381"/>
      <c r="C95" s="821" t="s">
        <v>685</v>
      </c>
      <c r="D95" s="757" t="s">
        <v>686</v>
      </c>
      <c r="E95" s="834">
        <v>0.2</v>
      </c>
      <c r="F95" s="821">
        <v>30</v>
      </c>
    </row>
    <row r="96" spans="1:6" s="817" customFormat="1" ht="48">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24">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1" t="s">
        <v>708</v>
      </c>
      <c r="C105" s="821" t="s">
        <v>709</v>
      </c>
      <c r="D105" s="757" t="s">
        <v>710</v>
      </c>
      <c r="E105" s="834">
        <v>0.2</v>
      </c>
      <c r="F105" s="821">
        <v>30</v>
      </c>
    </row>
    <row r="106" spans="1:6" s="817" customFormat="1" ht="36">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36">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1" t="s">
        <v>724</v>
      </c>
      <c r="C111" s="821" t="s">
        <v>725</v>
      </c>
      <c r="D111" s="757" t="s">
        <v>726</v>
      </c>
      <c r="E111" s="834">
        <v>0.2</v>
      </c>
      <c r="F111" s="821">
        <v>30</v>
      </c>
    </row>
    <row r="112" spans="1:6" s="817" customFormat="1" ht="24">
      <c r="A112" s="821">
        <v>52</v>
      </c>
      <c r="B112" s="3381"/>
      <c r="C112" s="821" t="s">
        <v>727</v>
      </c>
      <c r="D112" s="757" t="s">
        <v>728</v>
      </c>
      <c r="E112" s="834">
        <v>0.2</v>
      </c>
      <c r="F112" s="821">
        <v>30</v>
      </c>
    </row>
    <row r="113" spans="1:6" s="817" customFormat="1" ht="24">
      <c r="A113" s="821">
        <v>53</v>
      </c>
      <c r="B113" s="338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8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估价结果一览表（市场价值不需“结果表-1”）</v>
      </c>
      <c r="B3" s="3066"/>
      <c r="C3" s="3066"/>
      <c r="D3" s="3066"/>
      <c r="E3" s="3066"/>
    </row>
    <row r="4" spans="1:5" ht="19.5" thickBot="1">
      <c r="A4" s="1680"/>
      <c r="B4" s="3064" t="s">
        <v>1595</v>
      </c>
      <c r="C4" s="3064"/>
      <c r="D4" s="3064"/>
      <c r="E4" s="1680"/>
    </row>
    <row r="5" spans="1:5" ht="16.5" thickTop="1">
      <c r="A5" s="1678"/>
      <c r="B5" s="3062" t="s">
        <v>1587</v>
      </c>
      <c r="C5" s="1681" t="s">
        <v>1588</v>
      </c>
      <c r="D5" s="959">
        <f ca="1">结果表!H101</f>
        <v>256</v>
      </c>
      <c r="E5" s="1678"/>
    </row>
    <row r="6" spans="1:5" ht="15.75">
      <c r="A6" s="1678"/>
      <c r="B6" s="3062"/>
      <c r="C6" s="1681" t="s">
        <v>1589</v>
      </c>
      <c r="D6" s="959" t="str">
        <f ca="1">NUMBERSTRING(INT(D5*10000),2)&amp;"元整"</f>
        <v>贰佰伍拾陆万元整</v>
      </c>
      <c r="E6" s="1678"/>
    </row>
    <row r="7" spans="1:5" ht="15.75">
      <c r="A7" s="1678"/>
      <c r="B7" s="3067"/>
      <c r="C7" s="1682" t="s">
        <v>1590</v>
      </c>
      <c r="D7" s="960">
        <f ca="1">结果表!H102</f>
        <v>30784</v>
      </c>
      <c r="E7" s="1678"/>
    </row>
    <row r="8" spans="1:5" ht="15.75">
      <c r="A8" s="1678"/>
      <c r="B8" s="3068" t="str">
        <f>结果表!E103</f>
        <v>2.估价师知悉的法定优先受偿款</v>
      </c>
      <c r="C8" s="1683" t="s">
        <v>1591</v>
      </c>
      <c r="D8" s="960">
        <f>结果表!H103</f>
        <v>0</v>
      </c>
      <c r="E8" s="1678"/>
    </row>
    <row r="9" spans="1:5" ht="15.75">
      <c r="A9" s="1678"/>
      <c r="B9" s="307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1" t="str">
        <f>结果表!E107</f>
        <v>3.房地产抵押价值</v>
      </c>
      <c r="C13" s="1686" t="s">
        <v>1588</v>
      </c>
      <c r="D13" s="962">
        <f ca="1">结果表!H107</f>
        <v>256</v>
      </c>
      <c r="E13" s="1678"/>
    </row>
    <row r="14" spans="1:5" ht="15.75">
      <c r="A14" s="1678"/>
      <c r="B14" s="3062"/>
      <c r="C14" s="1681" t="s">
        <v>1589</v>
      </c>
      <c r="D14" s="959" t="str">
        <f ca="1">NUMBERSTRING(INT(D13*10000),2)&amp;"元整"</f>
        <v>贰佰伍拾陆万元整</v>
      </c>
      <c r="E14" s="1678"/>
    </row>
    <row r="15" spans="1:5" ht="15">
      <c r="A15" s="1678"/>
      <c r="B15" s="3067"/>
      <c r="C15" s="1682" t="s">
        <v>1599</v>
      </c>
      <c r="D15" s="968">
        <f ca="1">结果表!H108</f>
        <v>30784</v>
      </c>
      <c r="E15" s="1678"/>
    </row>
    <row r="16" spans="1:5" ht="15">
      <c r="A16" s="1678"/>
      <c r="B16" s="3068" t="str">
        <f>结果表!E109</f>
        <v>——</v>
      </c>
      <c r="C16" s="1686" t="s">
        <v>1600</v>
      </c>
      <c r="D16" s="1687" t="str">
        <f>结果表!H109</f>
        <v>——</v>
      </c>
      <c r="E16" s="1678"/>
    </row>
    <row r="17" spans="1:5" ht="15.75">
      <c r="A17" s="1678"/>
      <c r="B17" s="3069"/>
      <c r="C17" s="1681" t="s">
        <v>1601</v>
      </c>
      <c r="D17" s="959" t="e">
        <f>NUMBERSTRING(INT(D16*10000),2)&amp;"元整"</f>
        <v>#VALUE!</v>
      </c>
      <c r="E17" s="1678"/>
    </row>
    <row r="18" spans="1:5" ht="15">
      <c r="A18" s="1678"/>
      <c r="B18" s="3070"/>
      <c r="C18" s="1682" t="s">
        <v>1590</v>
      </c>
      <c r="D18" s="968" t="str">
        <f>结果表!H110</f>
        <v>——</v>
      </c>
      <c r="E18" s="1678"/>
    </row>
    <row r="19" spans="1:5" ht="15.75">
      <c r="A19" s="1678"/>
      <c r="B19" s="3061" t="str">
        <f>结果表!E111</f>
        <v>——</v>
      </c>
      <c r="C19" s="1686" t="s">
        <v>1588</v>
      </c>
      <c r="D19" s="960" t="str">
        <f>结果表!H111</f>
        <v>——</v>
      </c>
      <c r="E19" s="1678"/>
    </row>
    <row r="20" spans="1:5" ht="15.75">
      <c r="A20" s="1678"/>
      <c r="B20" s="3062"/>
      <c r="C20" s="1681" t="s">
        <v>1601</v>
      </c>
      <c r="D20" s="959" t="e">
        <f>NUMBERSTRING(INT(D19*10000),2)&amp;"元整"</f>
        <v>#VALUE!</v>
      </c>
      <c r="E20" s="1678"/>
    </row>
    <row r="21" spans="1:5" ht="15.75" thickBot="1">
      <c r="A21" s="1678"/>
      <c r="B21" s="306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f ca="1">SUMIF(B6:B13,"&lt;&gt;#ref!",B6:B13)</f>
        <v>227</v>
      </c>
      <c r="C2" s="2363" t="s">
        <v>2815</v>
      </c>
      <c r="D2" s="2363" t="s">
        <v>2816</v>
      </c>
      <c r="E2" s="2840">
        <f ca="1">SUMIF(E6:E13,"&lt;&gt;#ref!",E6:E13)</f>
        <v>83.16</v>
      </c>
      <c r="F2" s="3026"/>
      <c r="G2" s="3026"/>
      <c r="H2" s="3026"/>
      <c r="I2" s="3026"/>
      <c r="J2" s="3026"/>
      <c r="K2" s="3026"/>
      <c r="L2" s="3026"/>
      <c r="M2" s="3026"/>
      <c r="N2" s="3026"/>
      <c r="O2" s="3026"/>
      <c r="P2" s="3026"/>
    </row>
    <row r="3" spans="1:16" ht="15.75">
      <c r="A3" s="2363" t="s">
        <v>2817</v>
      </c>
      <c r="B3" s="2830">
        <f ca="1">ROUND(B2*10000/E2,0)</f>
        <v>27297</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f ca="1">SUMIF(INDIRECT("'"&amp;A6&amp;"'"&amp;"!A:A"),"总价",INDIRECT("'"&amp;A6&amp;"'"&amp;"!B:B"))</f>
        <v>227</v>
      </c>
      <c r="C6" s="2363" t="s">
        <v>2815</v>
      </c>
      <c r="D6" s="3026"/>
      <c r="E6" s="2840">
        <f ca="1">SUMIF(INDIRECT("'"&amp;A6&amp;"'"&amp;"!C:C"),"建筑面积",INDIRECT("'"&amp;A6&amp;"'"&amp;"!D:D"))</f>
        <v>83.16</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rgb="FF92D050"/>
  </sheetPr>
  <dimension ref="A1:AH115"/>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c r="A6" s="2425" t="s">
        <v>3059</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2">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83">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83"/>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83"/>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92"/>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388">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83"/>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83"/>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92"/>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88">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83"/>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83"/>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4"/>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82">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83"/>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83"/>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4"/>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82">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83"/>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83"/>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4"/>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89">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90"/>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90"/>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91"/>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82">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83"/>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83"/>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84"/>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82">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83">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83">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4">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82">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83">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83">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4">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82">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83">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83">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4">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82">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83">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83">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4">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82">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83">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83">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4">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82">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83">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83">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4">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82">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83">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83">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4">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82">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83">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83">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84">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82">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83">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83">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84">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82">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83">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83">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84">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6" t="s">
        <v>2825</v>
      </c>
      <c r="D1" s="3397"/>
      <c r="E1" s="3397"/>
      <c r="F1" s="3397"/>
      <c r="G1" s="3397"/>
      <c r="H1" s="3397"/>
      <c r="I1" s="3397"/>
      <c r="J1" s="3397"/>
      <c r="K1" s="3397"/>
      <c r="L1" s="3397"/>
      <c r="M1" s="3397"/>
      <c r="N1" s="3397"/>
      <c r="O1" s="3397"/>
      <c r="P1" s="3397"/>
      <c r="Q1" s="3397"/>
      <c r="R1" s="3397"/>
      <c r="S1" s="339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26502</v>
      </c>
      <c r="C2" s="2" t="s">
        <v>133</v>
      </c>
      <c r="D2" s="205"/>
      <c r="E2" s="205"/>
      <c r="F2" s="205"/>
      <c r="G2" s="205"/>
    </row>
    <row r="3" spans="1:7" s="206" customFormat="1" ht="18" customHeight="1" thickBot="1">
      <c r="A3" s="209" t="s">
        <v>85</v>
      </c>
      <c r="B3" s="210">
        <f ca="1">ROUND(B2*10000/'数据-汇总表'!E3,0)</f>
        <v>3186869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v>
      </c>
      <c r="D10" s="954">
        <f>'数据-汇总表'!E6</f>
        <v>83.16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83.16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64">
        <f ca="1">ROUND(SUM(C23:C25),0)</f>
        <v>906</v>
      </c>
      <c r="D22" s="241">
        <f ca="1">C26</f>
        <v>0</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0</v>
      </c>
      <c r="D26" s="244"/>
      <c r="E26" s="247"/>
      <c r="F26" s="245"/>
      <c r="G26" s="249"/>
    </row>
    <row r="27" spans="1:7" s="220" customFormat="1" ht="24.75">
      <c r="A27" s="885" t="s">
        <v>787</v>
      </c>
      <c r="B27" s="250" t="s">
        <v>112</v>
      </c>
      <c r="C27" s="251">
        <f>C28</f>
        <v>3154</v>
      </c>
      <c r="D27" s="241">
        <f>C29</f>
        <v>0</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0</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26471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v>
      </c>
      <c r="D37" s="223">
        <f>'数据-汇总表'!E3</f>
        <v>83.16</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f ca="1">ROUND(SUM(C42:C43),0)</f>
        <v>1</v>
      </c>
      <c r="D41" s="241">
        <f ca="1">C44</f>
        <v>0</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v>
      </c>
      <c r="D42" s="244"/>
      <c r="E42" s="244"/>
      <c r="F42" s="245"/>
      <c r="G42" s="3252" t="s">
        <v>121</v>
      </c>
    </row>
    <row r="43" spans="1:7" ht="13.5" customHeight="1">
      <c r="A43" s="888" t="s">
        <v>792</v>
      </c>
      <c r="B43" s="221" t="s">
        <v>1032</v>
      </c>
      <c r="C43" s="244">
        <f ca="1">ROUND(IF('数据-取费表'!B22&lt;=1,C39*F22*'数据-取费表'!B21/2,C39*(POWER((1+F22),'数据-取费表'!B21/2)-1)),0)</f>
        <v>0</v>
      </c>
      <c r="D43" s="244"/>
      <c r="E43" s="244"/>
      <c r="F43" s="245"/>
      <c r="G43" s="3253"/>
    </row>
    <row r="44" spans="1:7" ht="13.5" customHeight="1">
      <c r="A44" s="888" t="s">
        <v>793</v>
      </c>
      <c r="B44" s="221" t="s">
        <v>1034</v>
      </c>
      <c r="C44" s="244">
        <f ca="1">ROUND(IF('数据-取费表'!B22&lt;=1,C40*F22*'数据-取费表'!B21/2,C40*(POWER((1+F22),'数据-取费表'!B21/2)-1)),4)</f>
        <v>0</v>
      </c>
      <c r="D44" s="244"/>
      <c r="E44" s="244"/>
      <c r="F44" s="245"/>
      <c r="G44" s="3254"/>
    </row>
    <row r="45" spans="1:7" s="220" customFormat="1" ht="13.5" customHeight="1">
      <c r="A45" s="885" t="s">
        <v>786</v>
      </c>
      <c r="B45" s="250" t="s">
        <v>112</v>
      </c>
      <c r="C45" s="251">
        <f>C46</f>
        <v>5</v>
      </c>
      <c r="D45" s="241">
        <f>C47</f>
        <v>0</v>
      </c>
      <c r="E45" s="242" t="s">
        <v>129</v>
      </c>
      <c r="F45" s="252"/>
      <c r="G45" s="253" t="s">
        <v>1040</v>
      </c>
    </row>
    <row r="46" spans="1:7" s="220" customFormat="1" ht="13.5" customHeight="1">
      <c r="A46" s="888" t="s">
        <v>794</v>
      </c>
      <c r="B46" s="254" t="s">
        <v>1033</v>
      </c>
      <c r="C46" s="255">
        <f>ROUND((C33+C39)*F27,0)</f>
        <v>5</v>
      </c>
      <c r="D46" s="269"/>
      <c r="E46" s="242"/>
      <c r="F46" s="252"/>
      <c r="G46" s="253"/>
    </row>
    <row r="47" spans="1:7" s="220" customFormat="1" ht="13.5" customHeight="1">
      <c r="A47" s="888" t="s">
        <v>792</v>
      </c>
      <c r="B47" s="254" t="s">
        <v>1035</v>
      </c>
      <c r="C47" s="244">
        <f>ROUND(C40*F27,4)</f>
        <v>0</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44</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31</v>
      </c>
      <c r="D51" s="238"/>
      <c r="E51" s="238"/>
      <c r="F51" s="270"/>
      <c r="G51" s="240" t="s">
        <v>64</v>
      </c>
    </row>
    <row r="52" spans="1:7" s="214" customFormat="1" ht="16.5" thickBot="1">
      <c r="A52" s="271" t="s">
        <v>65</v>
      </c>
      <c r="B52" s="272"/>
      <c r="C52" s="273">
        <f ca="1">C31+C51</f>
        <v>26502</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399" t="s">
        <v>156</v>
      </c>
      <c r="B1" s="3399"/>
      <c r="C1" s="3399"/>
      <c r="D1" s="3399"/>
      <c r="E1" s="3399"/>
      <c r="F1" s="339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0" t="s">
        <v>169</v>
      </c>
      <c r="B2" s="3400"/>
      <c r="C2" s="3400"/>
      <c r="D2" s="3400"/>
      <c r="E2" s="3400"/>
      <c r="F2" s="340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399" t="s">
        <v>839</v>
      </c>
      <c r="B1" s="339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63"/>
  <sheetViews>
    <sheetView workbookViewId="0">
      <selection activeCell="I1" sqref="I1"/>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87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87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87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87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87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87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87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87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87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87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87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87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87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87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87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87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87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87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87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87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87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87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87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87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87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87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87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87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87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87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87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87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87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87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87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87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87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87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87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87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87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87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87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87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87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87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87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87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87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87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87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87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87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87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87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87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87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87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87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87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87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87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87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875" style="1407" customWidth="1"/>
    <col min="16142" max="16384" width="8.875" style="1407"/>
  </cols>
  <sheetData>
    <row r="1" spans="1:257" s="1471" customFormat="1" ht="14.25" thickBot="1">
      <c r="A1" s="1465"/>
      <c r="B1" s="1472" t="s">
        <v>1267</v>
      </c>
      <c r="C1" s="1466">
        <f>项目基本情况!D3</f>
        <v>44125</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17"/>
  <sheetViews>
    <sheetView workbookViewId="0">
      <selection activeCell="K25" sqref="K25"/>
    </sheetView>
  </sheetViews>
  <sheetFormatPr defaultColWidth="8.875"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49:M50"/>
  <sheetViews>
    <sheetView topLeftCell="A19" workbookViewId="0">
      <selection activeCell="A52" sqref="A52"/>
    </sheetView>
  </sheetViews>
  <sheetFormatPr defaultColWidth="11" defaultRowHeight="13.5"/>
  <sheetData>
    <row r="49" spans="1:13">
      <c r="A49" s="3403" t="s">
        <v>3170</v>
      </c>
      <c r="B49" s="3403"/>
      <c r="C49" s="3403"/>
      <c r="D49" s="3403"/>
      <c r="E49" s="3403"/>
      <c r="F49" s="3403"/>
      <c r="G49" s="3403"/>
      <c r="H49" s="3403"/>
      <c r="I49" s="3403"/>
      <c r="J49" s="3403"/>
      <c r="K49" s="3403"/>
      <c r="L49" s="3403"/>
      <c r="M49" s="3403"/>
    </row>
    <row r="50" spans="1:13">
      <c r="A50" s="3403"/>
      <c r="B50" s="3403"/>
      <c r="C50" s="3403"/>
      <c r="D50" s="3403"/>
      <c r="E50" s="3403"/>
      <c r="F50" s="3403"/>
      <c r="G50" s="3403"/>
      <c r="H50" s="3403"/>
      <c r="I50" s="3403"/>
      <c r="J50" s="3403"/>
      <c r="K50" s="3403"/>
      <c r="L50" s="3403"/>
      <c r="M50" s="3403"/>
    </row>
  </sheetData>
  <mergeCells count="1">
    <mergeCell ref="A49:M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0" t="str">
        <f>IF(项目基本情况!B9="房地产市场价值","估价结果一览表","结果表-2")</f>
        <v>估价结果一览表</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房地产市场价值</v>
      </c>
      <c r="I2" s="3081"/>
    </row>
    <row r="3" spans="1:9" ht="15">
      <c r="A3" s="3075"/>
      <c r="B3" s="3075"/>
      <c r="C3" s="3075"/>
      <c r="D3" s="963" t="s">
        <v>1603</v>
      </c>
      <c r="E3" s="963" t="s">
        <v>1609</v>
      </c>
      <c r="F3" s="963" t="s">
        <v>1603</v>
      </c>
      <c r="G3" s="963" t="s">
        <v>1604</v>
      </c>
      <c r="H3" s="963" t="s">
        <v>1603</v>
      </c>
      <c r="I3" s="963" t="s">
        <v>1604</v>
      </c>
    </row>
    <row r="4" spans="1:9" ht="15">
      <c r="A4" s="1692" t="str">
        <f>项目基本情况!S2</f>
        <v>北京市房地产</v>
      </c>
      <c r="B4" s="963">
        <f>项目基本情况!C17</f>
        <v>83.16</v>
      </c>
      <c r="C4" s="963">
        <f>项目基本情况!C18</f>
        <v>0</v>
      </c>
      <c r="D4" s="963">
        <f>结果表!D118</f>
        <v>0</v>
      </c>
      <c r="E4" s="963">
        <f>结果表!E118</f>
        <v>0</v>
      </c>
      <c r="F4" s="963">
        <f>结果表!F118</f>
        <v>0</v>
      </c>
      <c r="G4" s="963">
        <f>结果表!G118</f>
        <v>0</v>
      </c>
      <c r="H4" s="963">
        <f ca="1">结果表!H118</f>
        <v>256</v>
      </c>
      <c r="I4" s="963">
        <f ca="1">结果表!I118</f>
        <v>30784</v>
      </c>
    </row>
    <row r="5" spans="1:9" ht="30" customHeight="1">
      <c r="A5" s="3075" t="s">
        <v>1605</v>
      </c>
      <c r="B5" s="3075"/>
      <c r="C5" s="3075"/>
      <c r="D5" s="3076" t="str">
        <f>结果表!D119</f>
        <v>零元整</v>
      </c>
      <c r="E5" s="3076"/>
      <c r="F5" s="3076" t="str">
        <f>结果表!F119</f>
        <v>零元整</v>
      </c>
      <c r="G5" s="3076"/>
      <c r="H5" s="3076" t="str">
        <f ca="1">结果表!H119</f>
        <v>贰佰伍拾陆万元整</v>
      </c>
      <c r="I5" s="3076"/>
    </row>
    <row r="6" spans="1:9" ht="15.75">
      <c r="A6" s="3074" t="str">
        <f>结果表!A120</f>
        <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
      </c>
      <c r="B8" s="3074"/>
      <c r="C8" s="3074"/>
      <c r="D8" s="3074">
        <f ca="1">结果表!D122</f>
        <v>256</v>
      </c>
      <c r="E8" s="3074"/>
      <c r="F8" s="3074"/>
      <c r="G8" s="3074"/>
      <c r="H8" s="3074"/>
      <c r="I8" s="3074"/>
    </row>
    <row r="9" spans="1:9" ht="15">
      <c r="A9" s="3075" t="s">
        <v>1605</v>
      </c>
      <c r="B9" s="3075"/>
      <c r="C9" s="3075"/>
      <c r="D9" s="3076" t="str">
        <f ca="1">结果表!D123</f>
        <v>贰佰伍拾陆万元整</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1605</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8" t="s">
        <v>1627</v>
      </c>
      <c r="B1" s="3088"/>
      <c r="C1" s="3088"/>
      <c r="D1" s="3088"/>
    </row>
    <row r="2" spans="1:4" ht="18">
      <c r="A2" s="3089" t="s">
        <v>1611</v>
      </c>
      <c r="B2" s="3089"/>
      <c r="C2" s="3089"/>
      <c r="D2" s="3089"/>
    </row>
    <row r="3" spans="1:4" ht="18.75">
      <c r="A3" s="1696" t="s">
        <v>1612</v>
      </c>
      <c r="B3" s="1696" t="s">
        <v>1613</v>
      </c>
      <c r="C3" s="1696" t="s">
        <v>1614</v>
      </c>
      <c r="D3" s="1696" t="s">
        <v>1615</v>
      </c>
    </row>
    <row r="4" spans="1:4" ht="56.25" customHeight="1">
      <c r="A4" s="1697" t="str">
        <f>项目基本情况!B4</f>
        <v>叶凌</v>
      </c>
      <c r="B4" s="1698">
        <f ca="1">项目基本情况!C4</f>
        <v>1119970111</v>
      </c>
      <c r="C4" s="1699"/>
      <c r="D4" s="1700" t="s">
        <v>1616</v>
      </c>
    </row>
    <row r="5" spans="1:4" ht="56.25" customHeight="1">
      <c r="A5" s="1697" t="str">
        <f>项目基本情况!D4</f>
        <v>陈颖</v>
      </c>
      <c r="B5" s="1698">
        <f ca="1">项目基本情况!E4</f>
        <v>1120060040</v>
      </c>
      <c r="C5" s="1701"/>
      <c r="D5" s="1700" t="s">
        <v>1616</v>
      </c>
    </row>
    <row r="6" spans="1:4" ht="18">
      <c r="A6" s="3089" t="s">
        <v>1617</v>
      </c>
      <c r="B6" s="3089"/>
      <c r="C6" s="3089"/>
      <c r="D6" s="308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7"/>
      <c r="C12" s="3087"/>
      <c r="D12" s="3087"/>
    </row>
    <row r="13" spans="1:4" ht="30" customHeight="1">
      <c r="A13" s="3082" t="str">
        <f>IF(项目基本情况!B8="抵押","3.抵押双方在办理抵押登记手续时，应使用本公司出具的正式《房地产评估报告》，特提醒报告使用者注意。","——")</f>
        <v>——</v>
      </c>
      <c r="B13" s="3087"/>
      <c r="C13" s="3087"/>
      <c r="D13" s="3087"/>
    </row>
    <row r="14" spans="1:4" ht="15.75" customHeight="1">
      <c r="A14" s="3082" t="str">
        <f>IF(项目基本情况!B8="抵押","4.本次评估估价师所知悉的法定优先受偿款情况说明如下：","——")</f>
        <v>——</v>
      </c>
      <c r="B14" s="3087"/>
      <c r="C14" s="3087"/>
      <c r="D14" s="3087"/>
    </row>
    <row r="15" spans="1:4" ht="42" customHeight="1">
      <c r="A15" s="3082" t="str">
        <f>IF(项目基本情况!B8="抵押","（1）"&amp;CONCATENATE(项目基本情况!L20,项目基本情况!L21,项目基本情况!L22),"——")</f>
        <v>——</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1623</v>
      </c>
      <c r="B22" s="3086"/>
      <c r="C22" s="3086"/>
      <c r="D22" s="308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6" t="s">
        <v>1634</v>
      </c>
      <c r="B15" s="3091" t="s">
        <v>136</v>
      </c>
      <c r="C15" s="3092"/>
    </row>
    <row r="16" spans="1:7" ht="13.5">
      <c r="A16" s="3097"/>
      <c r="B16" s="3091" t="s">
        <v>69</v>
      </c>
      <c r="C16" s="3092"/>
    </row>
    <row r="17" spans="1:3" ht="13.5">
      <c r="A17" s="3097"/>
      <c r="B17" s="3094" t="s">
        <v>1635</v>
      </c>
      <c r="C17" s="1719" t="s">
        <v>1634</v>
      </c>
    </row>
    <row r="18" spans="1:3" ht="13.5">
      <c r="A18" s="3097"/>
      <c r="B18" s="3094"/>
      <c r="C18" s="1719" t="s">
        <v>1636</v>
      </c>
    </row>
    <row r="19" spans="1:3" ht="13.5">
      <c r="A19" s="3097"/>
      <c r="B19" s="3094"/>
      <c r="C19" s="1719" t="s">
        <v>1637</v>
      </c>
    </row>
    <row r="20" spans="1:3" ht="13.5">
      <c r="A20" s="3098"/>
      <c r="B20" s="3093" t="s">
        <v>1638</v>
      </c>
      <c r="C20" s="3092"/>
    </row>
    <row r="21" spans="1:3" ht="13.5">
      <c r="A21" s="1720" t="s">
        <v>1639</v>
      </c>
      <c r="B21" s="1721"/>
      <c r="C21" s="1722"/>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9" t="s">
        <v>1645</v>
      </c>
    </row>
    <row r="26" spans="1:3" ht="13.5">
      <c r="A26" s="3095"/>
      <c r="B26" s="3094"/>
      <c r="C26" s="1719" t="s">
        <v>1646</v>
      </c>
    </row>
    <row r="27" spans="1:3" ht="13.5">
      <c r="A27" s="3095"/>
      <c r="B27" s="3094"/>
      <c r="C27" s="1719" t="s">
        <v>1647</v>
      </c>
    </row>
    <row r="28" spans="1:3" ht="13.5">
      <c r="A28" s="3095"/>
      <c r="B28" s="3094"/>
      <c r="C28" s="1719" t="s">
        <v>1648</v>
      </c>
    </row>
    <row r="29" spans="1:3" ht="13.5">
      <c r="A29" s="3095"/>
      <c r="B29" s="3094"/>
      <c r="C29" s="1719" t="s">
        <v>1649</v>
      </c>
    </row>
    <row r="30" spans="1:3" ht="13.5">
      <c r="A30" s="3095"/>
      <c r="B30" s="3094"/>
      <c r="C30" s="1719" t="s">
        <v>1650</v>
      </c>
    </row>
    <row r="31" spans="1:3" ht="13.5">
      <c r="A31" s="3095"/>
      <c r="B31" s="3094"/>
      <c r="C31" s="1719" t="s">
        <v>1651</v>
      </c>
    </row>
    <row r="32" spans="1:3" ht="13.5">
      <c r="A32" s="3095"/>
      <c r="B32" s="3094"/>
      <c r="C32" s="1719" t="s">
        <v>1652</v>
      </c>
    </row>
    <row r="33" spans="1:3" ht="13.5">
      <c r="A33" s="3095"/>
      <c r="B33" s="309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44132</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9" t="s">
        <v>2902</v>
      </c>
      <c r="B17" s="3099"/>
      <c r="C17" s="3099"/>
      <c r="D17" s="3099"/>
      <c r="E17" s="3099"/>
      <c r="F17" s="3099"/>
      <c r="G17" s="3099"/>
      <c r="H17" s="3099"/>
    </row>
    <row r="18" spans="1:8" ht="24" customHeight="1">
      <c r="A18" s="3100" t="s">
        <v>2903</v>
      </c>
      <c r="B18" s="3100"/>
      <c r="C18" s="3100"/>
      <c r="D18" s="2568"/>
      <c r="E18" s="3101" t="s">
        <v>2904</v>
      </c>
      <c r="F18" s="3100"/>
      <c r="G18" s="3100"/>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土地级别</vt:lpstr>
      <vt:lpstr>数据-基础表</vt:lpstr>
      <vt:lpstr>抵押物清单（分楼）</vt:lpstr>
      <vt:lpstr>数据-汇总表</vt:lpstr>
      <vt:lpstr>数据-取费表</vt:lpstr>
      <vt:lpstr>估价对象房地状况</vt:lpstr>
      <vt:lpstr>系统读取表</vt:lpstr>
      <vt:lpstr>结果表</vt:lpstr>
      <vt:lpstr>扣除出让金结果</vt:lpstr>
      <vt:lpstr>成本法 (元)</vt:lpstr>
      <vt:lpstr>假设开发法</vt:lpstr>
      <vt:lpstr>收益法</vt:lpstr>
      <vt:lpstr>收益法 (元)</vt:lpstr>
      <vt:lpstr>收益法（汇总）</vt:lpstr>
      <vt:lpstr>酒店收入计算</vt:lpstr>
      <vt:lpstr>租金案例</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2020-10-28T09:01:13Z</dcterms:modified>
</cp:coreProperties>
</file>