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308北京市朝阳区清河营东路2号院2号楼3层310、311号\"/>
    </mc:Choice>
  </mc:AlternateContent>
  <bookViews>
    <workbookView xWindow="240" yWindow="4110" windowWidth="22290" windowHeight="55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汇总表" sheetId="6" r:id="rId13"/>
    <sheet name="数据-基础表" sheetId="3"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Sheet2" sheetId="82"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2)" sheetId="81" r:id="rId37"/>
    <sheet name="基准地价修正" sheetId="43" r:id="rId38"/>
    <sheet name="修正" sheetId="45" state="hidden" r:id="rId39"/>
    <sheet name="容积率修正" sheetId="46" state="hidden" r:id="rId40"/>
    <sheet name="成本法（废）" sheetId="11" state="hidden" r:id="rId41"/>
    <sheet name="Sheet1" sheetId="80"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2">'数据-汇总表'!$A$1:$P$32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Y6" i="1" l="1"/>
  <c r="B14" i="74" l="1"/>
  <c r="F41" i="81"/>
  <c r="F32" i="81"/>
  <c r="F27" i="81"/>
  <c r="F23" i="81"/>
  <c r="F19" i="81"/>
  <c r="E13" i="81"/>
  <c r="D5" i="9"/>
  <c r="C6" i="69"/>
  <c r="D33" i="43"/>
  <c r="AH6" i="1"/>
  <c r="N18" i="1"/>
  <c r="F19" i="6" l="1"/>
  <c r="B4" i="81"/>
  <c r="B5" i="81"/>
  <c r="B6" i="81"/>
  <c r="B3" i="8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I37" i="79"/>
  <c r="AD37" i="79" s="1"/>
  <c r="AB36" i="79"/>
  <c r="AA36" i="79"/>
  <c r="Z36" i="79"/>
  <c r="N36" i="79"/>
  <c r="U36" i="79" s="1"/>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Z27" i="79"/>
  <c r="N27" i="79"/>
  <c r="U25" i="79" s="1"/>
  <c r="M27" i="79"/>
  <c r="T25" i="79" s="1"/>
  <c r="W25" i="79" s="1"/>
  <c r="L27" i="79"/>
  <c r="I27" i="79"/>
  <c r="AD27" i="79" s="1"/>
  <c r="AA25" i="79"/>
  <c r="AD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L3" i="79" s="1"/>
  <c r="K5" i="79"/>
  <c r="K3" i="79" s="1"/>
  <c r="I5" i="79"/>
  <c r="V3" i="79"/>
  <c r="S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8" i="79" l="1"/>
  <c r="W28" i="79" s="1"/>
  <c r="U34" i="79"/>
  <c r="AD35" i="79"/>
  <c r="S36" i="79"/>
  <c r="T27" i="79"/>
  <c r="U28" i="79"/>
  <c r="AD34" i="79"/>
  <c r="S35" i="79"/>
  <c r="S28" i="79"/>
  <c r="T34" i="79"/>
  <c r="U35"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Y21" i="71" s="1"/>
  <c r="Z21" i="71" s="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V68" i="71"/>
  <c r="E68" i="71"/>
  <c r="P68" i="71" s="1"/>
  <c r="C68" i="71"/>
  <c r="B68" i="71"/>
  <c r="B67" i="71" s="1"/>
  <c r="S68" i="71"/>
  <c r="Q66" i="71"/>
  <c r="D65" i="71"/>
  <c r="Q64" i="71"/>
  <c r="P64" i="71"/>
  <c r="O64" i="71"/>
  <c r="N64" i="71"/>
  <c r="Q63" i="71"/>
  <c r="P63" i="71"/>
  <c r="O63" i="71"/>
  <c r="N63" i="71"/>
  <c r="Q62" i="71"/>
  <c r="P62" i="71"/>
  <c r="O62" i="71"/>
  <c r="N62" i="71"/>
  <c r="Q61" i="71"/>
  <c r="F62" i="7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c r="F55" i="71"/>
  <c r="F56" i="71" s="1"/>
  <c r="V56" i="71" s="1"/>
  <c r="P53" i="71"/>
  <c r="E54" i="71"/>
  <c r="E55" i="71" s="1"/>
  <c r="E56" i="71" s="1"/>
  <c r="U56" i="71" s="1"/>
  <c r="O53" i="71"/>
  <c r="C54" i="71" s="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s="1"/>
  <c r="Q45" i="71"/>
  <c r="P45" i="71"/>
  <c r="E46" i="71"/>
  <c r="E47" i="7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D44" i="71" s="1"/>
  <c r="N41" i="71"/>
  <c r="B42" i="71"/>
  <c r="B43" i="71"/>
  <c r="B44" i="71" s="1"/>
  <c r="S44" i="71" s="1"/>
  <c r="D41" i="71"/>
  <c r="Q40" i="71"/>
  <c r="P40" i="71"/>
  <c r="O40" i="71"/>
  <c r="N40" i="71"/>
  <c r="AB39" i="71"/>
  <c r="Q39" i="71"/>
  <c r="P39" i="71"/>
  <c r="AA39" i="71"/>
  <c r="O39" i="71"/>
  <c r="Y35" i="71" s="1"/>
  <c r="Z35" i="71" s="1"/>
  <c r="N39" i="71"/>
  <c r="X39" i="71"/>
  <c r="Q38" i="71"/>
  <c r="AB38" i="71"/>
  <c r="P38" i="71"/>
  <c r="AA10" i="71" s="1"/>
  <c r="O38" i="71"/>
  <c r="N38" i="71"/>
  <c r="X25" i="71" s="1"/>
  <c r="F38" i="71"/>
  <c r="F39" i="71" s="1"/>
  <c r="F40" i="71" s="1"/>
  <c r="V40" i="71" s="1"/>
  <c r="Q37" i="71"/>
  <c r="P37" i="71"/>
  <c r="O37" i="71"/>
  <c r="N37" i="71"/>
  <c r="D37" i="71"/>
  <c r="Q36" i="71"/>
  <c r="P36" i="71"/>
  <c r="O36" i="71"/>
  <c r="N36" i="71"/>
  <c r="Q35" i="71"/>
  <c r="AB35" i="71" s="1"/>
  <c r="P35" i="71"/>
  <c r="O35" i="71"/>
  <c r="N35" i="71"/>
  <c r="X33" i="71" s="1"/>
  <c r="Q34" i="71"/>
  <c r="AB34" i="71" s="1"/>
  <c r="P34" i="71"/>
  <c r="O34" i="71"/>
  <c r="Y34" i="71"/>
  <c r="Z34" i="71" s="1"/>
  <c r="N34" i="71"/>
  <c r="F35" i="71"/>
  <c r="F36" i="71" s="1"/>
  <c r="V36" i="71" s="1"/>
  <c r="Q33" i="71"/>
  <c r="F34" i="71" s="1"/>
  <c r="P33" i="71"/>
  <c r="O33" i="71"/>
  <c r="N33" i="71"/>
  <c r="D33" i="71"/>
  <c r="Q32" i="71"/>
  <c r="AB32" i="71"/>
  <c r="P32" i="71"/>
  <c r="O32" i="71"/>
  <c r="N32" i="71"/>
  <c r="Q31" i="71"/>
  <c r="P31" i="71"/>
  <c r="AA31" i="71" s="1"/>
  <c r="O31" i="71"/>
  <c r="N31" i="71"/>
  <c r="Q30" i="71"/>
  <c r="P30" i="71"/>
  <c r="AA29" i="71" s="1"/>
  <c r="O30" i="71"/>
  <c r="N30" i="71"/>
  <c r="F30" i="71"/>
  <c r="F31" i="71" s="1"/>
  <c r="F32" i="71" s="1"/>
  <c r="V32" i="71" s="1"/>
  <c r="Q29" i="71"/>
  <c r="P29" i="71"/>
  <c r="O29" i="71"/>
  <c r="N29" i="71"/>
  <c r="X27" i="71" s="1"/>
  <c r="D29" i="71"/>
  <c r="O28" i="71"/>
  <c r="N28" i="71"/>
  <c r="B30" i="71"/>
  <c r="B31" i="71" s="1"/>
  <c r="B32" i="71" s="1"/>
  <c r="S32" i="71" s="1"/>
  <c r="E30" i="71"/>
  <c r="E31" i="71" s="1"/>
  <c r="E32" i="71" s="1"/>
  <c r="U32" i="71" s="1"/>
  <c r="B34" i="71"/>
  <c r="B35" i="71"/>
  <c r="B36" i="71"/>
  <c r="S36" i="71" s="1"/>
  <c r="E38" i="71"/>
  <c r="E39" i="71" s="1"/>
  <c r="E40" i="71" s="1"/>
  <c r="U40" i="71" s="1"/>
  <c r="AA37" i="71"/>
  <c r="N68" i="71"/>
  <c r="C30" i="71"/>
  <c r="Y29" i="71"/>
  <c r="Z29" i="71" s="1"/>
  <c r="AA32" i="71"/>
  <c r="X35" i="71"/>
  <c r="AA35" i="71"/>
  <c r="C38" i="71"/>
  <c r="X38" i="71"/>
  <c r="AA38" i="71"/>
  <c r="C28" i="71"/>
  <c r="Y28" i="71"/>
  <c r="Z28" i="71" s="1"/>
  <c r="B28" i="71"/>
  <c r="B27" i="71"/>
  <c r="B26" i="71"/>
  <c r="C31" i="71"/>
  <c r="C32" i="71" s="1"/>
  <c r="D30" i="71"/>
  <c r="C39" i="71"/>
  <c r="D38" i="71"/>
  <c r="C51" i="71"/>
  <c r="C52" i="71" s="1"/>
  <c r="D50" i="71"/>
  <c r="P28" i="71"/>
  <c r="E63" i="71"/>
  <c r="E64" i="71" s="1"/>
  <c r="U64" i="71" s="1"/>
  <c r="Q65" i="71"/>
  <c r="U68" i="71"/>
  <c r="E67" i="71"/>
  <c r="E66" i="71" s="1"/>
  <c r="Q28" i="71"/>
  <c r="C59" i="71"/>
  <c r="D59" i="71" s="1"/>
  <c r="D58" i="71"/>
  <c r="C63" i="71"/>
  <c r="D62" i="71"/>
  <c r="Q67" i="71"/>
  <c r="T68" i="71"/>
  <c r="O68" i="71"/>
  <c r="D68" i="71"/>
  <c r="C67" i="71"/>
  <c r="Q68" i="71"/>
  <c r="C71" i="71"/>
  <c r="D71" i="71" s="1"/>
  <c r="D72" i="71"/>
  <c r="C75" i="71"/>
  <c r="D75" i="71" s="1"/>
  <c r="E75" i="71"/>
  <c r="E74" i="71"/>
  <c r="D76" i="71"/>
  <c r="C79" i="71"/>
  <c r="D79" i="71" s="1"/>
  <c r="E79" i="71"/>
  <c r="E78" i="71"/>
  <c r="D80" i="71"/>
  <c r="C83" i="71"/>
  <c r="C87" i="71"/>
  <c r="T28" i="71"/>
  <c r="C27" i="71"/>
  <c r="C26" i="71" s="1"/>
  <c r="D26" i="71" s="1"/>
  <c r="S28" i="71"/>
  <c r="F28" i="71"/>
  <c r="F27" i="71"/>
  <c r="F26" i="71"/>
  <c r="AB28" i="71"/>
  <c r="E28" i="71"/>
  <c r="E27" i="71" s="1"/>
  <c r="E26" i="71" s="1"/>
  <c r="AA3" i="71"/>
  <c r="AA28" i="71"/>
  <c r="D28" i="71"/>
  <c r="U28" i="71" s="1"/>
  <c r="C66" i="71"/>
  <c r="O67" i="71"/>
  <c r="D67" i="71"/>
  <c r="C64" i="71"/>
  <c r="D63" i="71"/>
  <c r="D83" i="71"/>
  <c r="C82" i="71"/>
  <c r="D82" i="71" s="1"/>
  <c r="C74" i="71"/>
  <c r="D74" i="71" s="1"/>
  <c r="D87" i="71"/>
  <c r="C86" i="71"/>
  <c r="D86" i="71" s="1"/>
  <c r="C78" i="71"/>
  <c r="D78" i="71" s="1"/>
  <c r="C60" i="71"/>
  <c r="T60" i="71" s="1"/>
  <c r="P67" i="71"/>
  <c r="D51" i="71"/>
  <c r="C40" i="71"/>
  <c r="T40" i="71" s="1"/>
  <c r="D39" i="71"/>
  <c r="D31" i="71"/>
  <c r="V28" i="71"/>
  <c r="O66" i="71"/>
  <c r="D66" i="71"/>
  <c r="O65" i="71"/>
  <c r="D40" i="71"/>
  <c r="T44"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68" i="35" s="1"/>
  <c r="F18" i="35"/>
  <c r="S18" i="35" s="1"/>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H1" i="69"/>
  <c r="W25" i="40"/>
  <c r="U25" i="40"/>
  <c r="U29" i="39"/>
  <c r="W29" i="39"/>
  <c r="W18" i="36"/>
  <c r="AB21" i="37"/>
  <c r="U21" i="37"/>
  <c r="U21" i="34"/>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7"/>
  <c r="AC21" i="34"/>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c r="P8" i="31" s="1"/>
  <c r="Q8" i="31" s="1"/>
  <c r="R8" i="31" s="1"/>
  <c r="S8" i="31" s="1"/>
  <c r="D6" i="31"/>
  <c r="E6" i="31" s="1"/>
  <c r="F6" i="31" s="1"/>
  <c r="G6" i="31" s="1"/>
  <c r="H6" i="31" s="1"/>
  <c r="I6" i="31"/>
  <c r="J6" i="31" s="1"/>
  <c r="K6" i="31" s="1"/>
  <c r="L6" i="31" s="1"/>
  <c r="M6" i="31" s="1"/>
  <c r="N6" i="31" s="1"/>
  <c r="O6" i="3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c r="BK98" i="3"/>
  <c r="BJ98" i="3"/>
  <c r="BI98" i="3"/>
  <c r="BH98" i="3"/>
  <c r="BG98" i="3"/>
  <c r="BF98" i="3"/>
  <c r="BE98" i="3"/>
  <c r="BD98" i="3"/>
  <c r="BC98" i="3"/>
  <c r="BA98" i="3" s="1"/>
  <c r="AZ98" i="3" s="1"/>
  <c r="BB98" i="3"/>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c r="BK78" i="3"/>
  <c r="BJ78" i="3"/>
  <c r="BI78" i="3"/>
  <c r="BH78" i="3"/>
  <c r="BG78" i="3"/>
  <c r="BF78" i="3"/>
  <c r="BE78" i="3"/>
  <c r="BD78" i="3"/>
  <c r="BC78" i="3"/>
  <c r="BA78" i="3" s="1"/>
  <c r="AZ78" i="3" s="1"/>
  <c r="BB78" i="3"/>
  <c r="AX78" i="3"/>
  <c r="AW78" i="3"/>
  <c r="AV78" i="3"/>
  <c r="AC78" i="3"/>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s="1"/>
  <c r="BK60" i="3"/>
  <c r="BJ60" i="3"/>
  <c r="BI60" i="3"/>
  <c r="BH60" i="3"/>
  <c r="BG60" i="3"/>
  <c r="BF60" i="3"/>
  <c r="BE60" i="3"/>
  <c r="BD60" i="3"/>
  <c r="BC60" i="3"/>
  <c r="BA60" i="3" s="1"/>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L57" i="3" s="1"/>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L49" i="3" s="1"/>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L27" i="3"/>
  <c r="BK27" i="3"/>
  <c r="BJ27" i="3"/>
  <c r="BI27" i="3"/>
  <c r="BH27" i="3"/>
  <c r="BG27" i="3"/>
  <c r="BF27" i="3"/>
  <c r="BE27" i="3"/>
  <c r="BD27" i="3"/>
  <c r="BC27" i="3"/>
  <c r="BA27" i="3" s="1"/>
  <c r="AZ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L185" i="3" s="1"/>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G292" i="3" s="1"/>
  <c r="H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AZ226" i="3" s="1"/>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AZ219" i="3" s="1"/>
  <c r="BM219" i="3"/>
  <c r="BK219" i="3"/>
  <c r="BJ219" i="3"/>
  <c r="BI219" i="3"/>
  <c r="BH219" i="3"/>
  <c r="BG219" i="3"/>
  <c r="BF219" i="3"/>
  <c r="BE219" i="3"/>
  <c r="BD219" i="3"/>
  <c r="BC219" i="3"/>
  <c r="BB219" i="3"/>
  <c r="BA219" i="3" s="1"/>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BC486" i="3"/>
  <c r="BB486" i="3"/>
  <c r="AZ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A481" i="3" s="1"/>
  <c r="AZ481" i="3" s="1"/>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AZ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L550" i="3" s="1"/>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c r="H99" i="37" s="1"/>
  <c r="I99" i="37" s="1"/>
  <c r="J99" i="37" s="1"/>
  <c r="K99" i="37" s="1"/>
  <c r="L99" i="37" s="1"/>
  <c r="M99" i="37" s="1"/>
  <c r="H42" i="34"/>
  <c r="U42" i="34" s="1"/>
  <c r="J42" i="34"/>
  <c r="W42" i="34"/>
  <c r="F42" i="34"/>
  <c r="J38" i="34"/>
  <c r="D114" i="34"/>
  <c r="F38" i="34"/>
  <c r="S38" i="34"/>
  <c r="D112" i="34"/>
  <c r="E112" i="34"/>
  <c r="F112" i="34" s="1"/>
  <c r="G112" i="34"/>
  <c r="H112" i="34" s="1"/>
  <c r="I112" i="34" s="1"/>
  <c r="J112" i="34" s="1"/>
  <c r="K112" i="34"/>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H40" i="40" s="1"/>
  <c r="AB40" i="40" s="1"/>
  <c r="B118" i="40"/>
  <c r="B116" i="40"/>
  <c r="F38" i="40"/>
  <c r="AA38" i="40" s="1"/>
  <c r="D115" i="40"/>
  <c r="E115" i="40" s="1"/>
  <c r="F115" i="40"/>
  <c r="G115" i="40"/>
  <c r="H115" i="40" s="1"/>
  <c r="I115" i="40" s="1"/>
  <c r="J115" i="40" s="1"/>
  <c r="K115" i="40"/>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c r="G92" i="40" s="1"/>
  <c r="D90" i="40"/>
  <c r="E90" i="40"/>
  <c r="F90" i="40"/>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F40" i="40"/>
  <c r="AA40" i="40"/>
  <c r="Q39" i="40"/>
  <c r="Z39" i="40" s="1"/>
  <c r="Q38" i="40"/>
  <c r="Z38" i="40" s="1"/>
  <c r="J38" i="40"/>
  <c r="AC38" i="40" s="1"/>
  <c r="H38" i="40"/>
  <c r="AB38" i="40" s="1"/>
  <c r="Q37" i="40"/>
  <c r="Z37" i="40" s="1"/>
  <c r="Q36" i="40"/>
  <c r="Z36" i="40" s="1"/>
  <c r="Q35" i="40"/>
  <c r="Z35" i="40"/>
  <c r="Q34" i="40"/>
  <c r="Z34" i="40" s="1"/>
  <c r="J34" i="40"/>
  <c r="AC34" i="40"/>
  <c r="H34" i="40"/>
  <c r="AB34" i="40" s="1"/>
  <c r="F34" i="40"/>
  <c r="AA34" i="40" s="1"/>
  <c r="Q33" i="40"/>
  <c r="Z33" i="40" s="1"/>
  <c r="Q32" i="40"/>
  <c r="Z32" i="40"/>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c r="Q11" i="40"/>
  <c r="Z11" i="40" s="1"/>
  <c r="Q10" i="40"/>
  <c r="Z10" i="40" s="1"/>
  <c r="Q9" i="40"/>
  <c r="Z9" i="40" s="1"/>
  <c r="J9" i="40"/>
  <c r="W9" i="40"/>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J38" i="37" s="1"/>
  <c r="AC38" i="37" s="1"/>
  <c r="C23" i="37"/>
  <c r="C19" i="37"/>
  <c r="C17" i="37"/>
  <c r="C15" i="37"/>
  <c r="B112" i="37"/>
  <c r="D107" i="37"/>
  <c r="E107" i="37"/>
  <c r="D105" i="37"/>
  <c r="E105" i="37" s="1"/>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c r="H29" i="37"/>
  <c r="AB29" i="37" s="1"/>
  <c r="Q28" i="37"/>
  <c r="Z28" i="37" s="1"/>
  <c r="Q27" i="37"/>
  <c r="Z27" i="37" s="1"/>
  <c r="Q26" i="37"/>
  <c r="Z26" i="37"/>
  <c r="J26" i="37"/>
  <c r="AC26" i="37" s="1"/>
  <c r="H26" i="37"/>
  <c r="AB26" i="37" s="1"/>
  <c r="F26" i="37"/>
  <c r="AA26" i="37" s="1"/>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c r="H81" i="36" s="1"/>
  <c r="I81" i="36" s="1"/>
  <c r="J81" i="36" s="1"/>
  <c r="K81" i="36" s="1"/>
  <c r="L81" i="36" s="1"/>
  <c r="M81" i="36" s="1"/>
  <c r="F79" i="36"/>
  <c r="E79" i="36"/>
  <c r="D79" i="36"/>
  <c r="C79" i="36"/>
  <c r="B93" i="36"/>
  <c r="B91" i="36"/>
  <c r="F32" i="36" s="1"/>
  <c r="B95" i="36"/>
  <c r="H34" i="36" s="1"/>
  <c r="D83" i="36"/>
  <c r="E83" i="36" s="1"/>
  <c r="F83" i="36"/>
  <c r="G83" i="36"/>
  <c r="H83" i="36" s="1"/>
  <c r="I83" i="36" s="1"/>
  <c r="J83" i="36" s="1"/>
  <c r="K83" i="36" s="1"/>
  <c r="L83" i="36" s="1"/>
  <c r="M83" i="36" s="1"/>
  <c r="D78" i="36"/>
  <c r="E78" i="36" s="1"/>
  <c r="F78" i="36" s="1"/>
  <c r="G78" i="36" s="1"/>
  <c r="H78" i="36"/>
  <c r="I78" i="36" s="1"/>
  <c r="J78" i="36" s="1"/>
  <c r="K78" i="36" s="1"/>
  <c r="L78" i="36" s="1"/>
  <c r="M78" i="36" s="1"/>
  <c r="B75" i="36"/>
  <c r="F25" i="36" s="1"/>
  <c r="B73" i="36"/>
  <c r="J24" i="36"/>
  <c r="AC24" i="36" s="1"/>
  <c r="B71" i="36"/>
  <c r="D70" i="36"/>
  <c r="H22" i="36"/>
  <c r="AB22" i="36" s="1"/>
  <c r="D68" i="36"/>
  <c r="E68" i="36" s="1"/>
  <c r="F68" i="36" s="1"/>
  <c r="G68" i="36" s="1"/>
  <c r="D64" i="36"/>
  <c r="E64" i="36" s="1"/>
  <c r="F64" i="36" s="1"/>
  <c r="G64" i="36" s="1"/>
  <c r="J16" i="36"/>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c r="AB36" i="35" s="1"/>
  <c r="B99" i="35"/>
  <c r="B97" i="35"/>
  <c r="B77" i="35"/>
  <c r="F25" i="35" s="1"/>
  <c r="B75" i="35"/>
  <c r="J24" i="35" s="1"/>
  <c r="AC24" i="35"/>
  <c r="B73" i="35"/>
  <c r="H23" i="35"/>
  <c r="U23" i="35" s="1"/>
  <c r="B57" i="35"/>
  <c r="B61" i="35"/>
  <c r="B59" i="35"/>
  <c r="B131" i="34"/>
  <c r="F47" i="34" s="1"/>
  <c r="B129" i="34"/>
  <c r="B127" i="34"/>
  <c r="B99" i="34"/>
  <c r="B97" i="34"/>
  <c r="H31" i="34" s="1"/>
  <c r="B95" i="34"/>
  <c r="B93" i="34"/>
  <c r="B75" i="34"/>
  <c r="B73" i="34"/>
  <c r="B71" i="34"/>
  <c r="B130" i="33"/>
  <c r="B128" i="33"/>
  <c r="B126" i="33"/>
  <c r="F44" i="33" s="1"/>
  <c r="AA44" i="33" s="1"/>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s="1"/>
  <c r="H80" i="35"/>
  <c r="I80" i="35" s="1"/>
  <c r="J80" i="35" s="1"/>
  <c r="K80" i="35" s="1"/>
  <c r="L80" i="35" s="1"/>
  <c r="M80" i="35" s="1"/>
  <c r="D72" i="35"/>
  <c r="E72" i="35" s="1"/>
  <c r="F72" i="35"/>
  <c r="G72" i="35" s="1"/>
  <c r="D70" i="35"/>
  <c r="E70" i="35" s="1"/>
  <c r="F70" i="35" s="1"/>
  <c r="G70" i="35" s="1"/>
  <c r="D66" i="35"/>
  <c r="E66" i="35" s="1"/>
  <c r="F66" i="35"/>
  <c r="G66" i="35" s="1"/>
  <c r="D64" i="35"/>
  <c r="E64" i="35" s="1"/>
  <c r="F64" i="35" s="1"/>
  <c r="G64" i="35"/>
  <c r="J14" i="35"/>
  <c r="W14" i="35" s="1"/>
  <c r="C53" i="35"/>
  <c r="J9" i="35" s="1"/>
  <c r="P39" i="35"/>
  <c r="P38" i="35"/>
  <c r="V37" i="35"/>
  <c r="T37" i="35"/>
  <c r="R37" i="35"/>
  <c r="P37" i="35"/>
  <c r="Q36" i="35"/>
  <c r="Z36" i="35" s="1"/>
  <c r="J36" i="35"/>
  <c r="Q35" i="35"/>
  <c r="Z35" i="35"/>
  <c r="Q34" i="35"/>
  <c r="Z34" i="35" s="1"/>
  <c r="J34" i="35"/>
  <c r="H34" i="35"/>
  <c r="AB34" i="35" s="1"/>
  <c r="F34" i="35"/>
  <c r="AA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F12" i="35"/>
  <c r="S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c r="F90" i="34"/>
  <c r="G90" i="34" s="1"/>
  <c r="H90" i="34" s="1"/>
  <c r="I90" i="34" s="1"/>
  <c r="J90" i="34" s="1"/>
  <c r="K90" i="34" s="1"/>
  <c r="L90" i="34" s="1"/>
  <c r="M90" i="34" s="1"/>
  <c r="C15" i="34"/>
  <c r="D126" i="34"/>
  <c r="E126" i="34" s="1"/>
  <c r="F126" i="34"/>
  <c r="G126" i="34" s="1"/>
  <c r="D124" i="34"/>
  <c r="E124" i="34" s="1"/>
  <c r="F124" i="34" s="1"/>
  <c r="G124" i="34"/>
  <c r="H124" i="34" s="1"/>
  <c r="I124" i="34" s="1"/>
  <c r="J124" i="34" s="1"/>
  <c r="K124" i="34" s="1"/>
  <c r="L124" i="34"/>
  <c r="M124" i="34" s="1"/>
  <c r="H43" i="34"/>
  <c r="AB43" i="34"/>
  <c r="D118" i="34"/>
  <c r="E118" i="34" s="1"/>
  <c r="F118" i="34"/>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c r="F88" i="34" s="1"/>
  <c r="G88" i="34" s="1"/>
  <c r="H88" i="34" s="1"/>
  <c r="I88" i="34" s="1"/>
  <c r="J88" i="34"/>
  <c r="K88" i="34" s="1"/>
  <c r="L88" i="34" s="1"/>
  <c r="M88" i="34" s="1"/>
  <c r="D86" i="34"/>
  <c r="E86" i="34" s="1"/>
  <c r="F86" i="34"/>
  <c r="G86" i="34" s="1"/>
  <c r="D82" i="34"/>
  <c r="E82" i="34" s="1"/>
  <c r="F82" i="34" s="1"/>
  <c r="G82" i="34"/>
  <c r="D80" i="34"/>
  <c r="E80" i="34" s="1"/>
  <c r="F80" i="34"/>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c r="G125" i="21" s="1"/>
  <c r="D123" i="21"/>
  <c r="E123" i="21" s="1"/>
  <c r="F123" i="21" s="1"/>
  <c r="G123" i="21" s="1"/>
  <c r="H123" i="21" s="1"/>
  <c r="I123" i="21" s="1"/>
  <c r="J123" i="21" s="1"/>
  <c r="K123" i="21" s="1"/>
  <c r="L123" i="21" s="1"/>
  <c r="M123" i="21" s="1"/>
  <c r="F42" i="21"/>
  <c r="AA42" i="21" s="1"/>
  <c r="D119" i="21"/>
  <c r="F40" i="21"/>
  <c r="AA40" i="21"/>
  <c r="D117" i="21"/>
  <c r="E117" i="21" s="1"/>
  <c r="F117" i="21"/>
  <c r="G117" i="21" s="1"/>
  <c r="D115" i="21"/>
  <c r="E115" i="21" s="1"/>
  <c r="F115" i="21" s="1"/>
  <c r="G115" i="21" s="1"/>
  <c r="H115" i="21" s="1"/>
  <c r="I115" i="21" s="1"/>
  <c r="J115" i="2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s="1"/>
  <c r="W27" i="21" s="1"/>
  <c r="B74" i="21"/>
  <c r="F14" i="21" s="1"/>
  <c r="B72" i="21"/>
  <c r="H13" i="21"/>
  <c r="B70" i="21"/>
  <c r="F12" i="21"/>
  <c r="S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D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c r="H36" i="21"/>
  <c r="U36" i="21" s="1"/>
  <c r="F35" i="21"/>
  <c r="AA35" i="21"/>
  <c r="J10" i="21"/>
  <c r="AC10" i="21" s="1"/>
  <c r="H26" i="21"/>
  <c r="AB26" i="21"/>
  <c r="AB19" i="21"/>
  <c r="J19" i="21"/>
  <c r="W19" i="21" s="1"/>
  <c r="J12" i="21"/>
  <c r="AC12" i="21" s="1"/>
  <c r="H12" i="21"/>
  <c r="AB12" i="21" s="1"/>
  <c r="J26" i="21"/>
  <c r="W26" i="21" s="1"/>
  <c r="F26" i="21"/>
  <c r="S26" i="21"/>
  <c r="AB41" i="21"/>
  <c r="F45" i="39"/>
  <c r="S45" i="39"/>
  <c r="J45" i="39"/>
  <c r="W45" i="39"/>
  <c r="J44" i="39"/>
  <c r="AC44" i="39"/>
  <c r="F36" i="39"/>
  <c r="S36" i="39"/>
  <c r="H36" i="39"/>
  <c r="AB36" i="39"/>
  <c r="J35" i="39"/>
  <c r="AC35" i="39"/>
  <c r="F35" i="39"/>
  <c r="AA35" i="39"/>
  <c r="J36" i="39"/>
  <c r="AC36" i="39"/>
  <c r="W40" i="39"/>
  <c r="W25" i="37"/>
  <c r="W31" i="37"/>
  <c r="E103" i="37"/>
  <c r="F103" i="37" s="1"/>
  <c r="G103" i="37" s="1"/>
  <c r="H103" i="37" s="1"/>
  <c r="I103" i="37"/>
  <c r="J103" i="37" s="1"/>
  <c r="K103" i="37" s="1"/>
  <c r="L103" i="37" s="1"/>
  <c r="M103" i="37"/>
  <c r="F39" i="37"/>
  <c r="S39" i="37"/>
  <c r="U14" i="37"/>
  <c r="F29" i="36"/>
  <c r="AA29" i="36" s="1"/>
  <c r="F16" i="36"/>
  <c r="AA16" i="36"/>
  <c r="U9" i="36"/>
  <c r="W28" i="36"/>
  <c r="U31" i="36"/>
  <c r="H22" i="35"/>
  <c r="AB22" i="35"/>
  <c r="AC27" i="35"/>
  <c r="W28" i="35"/>
  <c r="U31" i="35"/>
  <c r="S34" i="35"/>
  <c r="W22" i="35"/>
  <c r="S31" i="35"/>
  <c r="F36" i="34"/>
  <c r="J35" i="34"/>
  <c r="W9" i="34"/>
  <c r="U34" i="34"/>
  <c r="H39" i="33"/>
  <c r="AB39" i="33"/>
  <c r="F26" i="33"/>
  <c r="AA26" i="33" s="1"/>
  <c r="U33" i="33"/>
  <c r="S40" i="33"/>
  <c r="H39" i="37"/>
  <c r="AB39" i="37"/>
  <c r="F11" i="40"/>
  <c r="AA11" i="40"/>
  <c r="H11" i="40"/>
  <c r="AB11" i="40" s="1"/>
  <c r="AA9" i="40"/>
  <c r="AC9" i="40"/>
  <c r="U9" i="40"/>
  <c r="S34" i="40"/>
  <c r="U38" i="40"/>
  <c r="S40" i="40"/>
  <c r="U34" i="40"/>
  <c r="S38" i="40"/>
  <c r="U40" i="40"/>
  <c r="F42" i="39"/>
  <c r="AA42" i="39" s="1"/>
  <c r="F41" i="39"/>
  <c r="S41" i="39" s="1"/>
  <c r="H40" i="39"/>
  <c r="AB40" i="39" s="1"/>
  <c r="H39" i="39"/>
  <c r="U39" i="39" s="1"/>
  <c r="S38" i="39"/>
  <c r="H34" i="39"/>
  <c r="U34" i="39" s="1"/>
  <c r="E108" i="39"/>
  <c r="H31" i="39"/>
  <c r="AB31" i="39"/>
  <c r="F31" i="39"/>
  <c r="AA31" i="39"/>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W32" i="40"/>
  <c r="S44" i="39"/>
  <c r="F37" i="39"/>
  <c r="AA37" i="39"/>
  <c r="J34" i="36"/>
  <c r="W34" i="36" s="1"/>
  <c r="U30" i="36"/>
  <c r="J30" i="35"/>
  <c r="W30" i="35" s="1"/>
  <c r="H30" i="35"/>
  <c r="AB30" i="35" s="1"/>
  <c r="F22" i="35"/>
  <c r="AA22" i="35"/>
  <c r="H10" i="35"/>
  <c r="U10" i="35" s="1"/>
  <c r="W30" i="36"/>
  <c r="H16" i="36"/>
  <c r="AB16" i="36"/>
  <c r="E85" i="36"/>
  <c r="F85" i="36" s="1"/>
  <c r="G85" i="36" s="1"/>
  <c r="H85" i="36" s="1"/>
  <c r="I85" i="36"/>
  <c r="J85" i="36" s="1"/>
  <c r="K85" i="36" s="1"/>
  <c r="L85" i="36" s="1"/>
  <c r="M85" i="36" s="1"/>
  <c r="J29" i="36"/>
  <c r="AC29" i="36" s="1"/>
  <c r="F24" i="36"/>
  <c r="AA24" i="36"/>
  <c r="F34" i="36"/>
  <c r="S34" i="36"/>
  <c r="F14" i="35"/>
  <c r="AA14" i="35"/>
  <c r="F23" i="35"/>
  <c r="AA23" i="35"/>
  <c r="J32" i="35"/>
  <c r="AC32" i="35" s="1"/>
  <c r="J16" i="35"/>
  <c r="AC16" i="35" s="1"/>
  <c r="H16" i="35"/>
  <c r="U16" i="35"/>
  <c r="F16" i="35"/>
  <c r="S16" i="35" s="1"/>
  <c r="H14" i="35"/>
  <c r="AB14" i="35"/>
  <c r="J29" i="35"/>
  <c r="H33" i="35"/>
  <c r="AB33" i="35"/>
  <c r="J20" i="35"/>
  <c r="W20" i="35"/>
  <c r="F35" i="37"/>
  <c r="S35" i="37"/>
  <c r="E101" i="37"/>
  <c r="F101" i="37" s="1"/>
  <c r="G101" i="37" s="1"/>
  <c r="H101" i="37" s="1"/>
  <c r="I101" i="37" s="1"/>
  <c r="J101" i="37" s="1"/>
  <c r="K101" i="37" s="1"/>
  <c r="L101" i="37" s="1"/>
  <c r="M101" i="37" s="1"/>
  <c r="J34" i="37"/>
  <c r="W34" i="37" s="1"/>
  <c r="AA39" i="37"/>
  <c r="AB34" i="37"/>
  <c r="J33" i="37"/>
  <c r="AC33" i="37" s="1"/>
  <c r="H40" i="34"/>
  <c r="U40" i="34"/>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AB17" i="34" s="1"/>
  <c r="U17" i="34"/>
  <c r="F15" i="34"/>
  <c r="J15" i="34"/>
  <c r="H15" i="34"/>
  <c r="AB15" i="34"/>
  <c r="W8" i="34"/>
  <c r="J28" i="34"/>
  <c r="W28" i="34"/>
  <c r="F41" i="33"/>
  <c r="AA41" i="33" s="1"/>
  <c r="S38" i="33"/>
  <c r="E113" i="33"/>
  <c r="F32" i="33"/>
  <c r="AA32" i="33" s="1"/>
  <c r="J19" i="33"/>
  <c r="AC19" i="33"/>
  <c r="J15" i="33"/>
  <c r="AC15" i="33" s="1"/>
  <c r="F11" i="33"/>
  <c r="AA11" i="33" s="1"/>
  <c r="S26" i="33"/>
  <c r="U40" i="33"/>
  <c r="W40" i="33"/>
  <c r="F37" i="40"/>
  <c r="AA37" i="40"/>
  <c r="F36" i="40"/>
  <c r="AA36" i="40" s="1"/>
  <c r="H28" i="40"/>
  <c r="U28" i="40"/>
  <c r="F23" i="40"/>
  <c r="AA23" i="40" s="1"/>
  <c r="F17" i="40"/>
  <c r="AA17" i="40"/>
  <c r="J17" i="40"/>
  <c r="W17" i="40" s="1"/>
  <c r="F15" i="40"/>
  <c r="S15" i="40"/>
  <c r="H15" i="40"/>
  <c r="AB15" i="40" s="1"/>
  <c r="AC11" i="40"/>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s="1"/>
  <c r="J19" i="34"/>
  <c r="AC19" i="34"/>
  <c r="F17" i="34"/>
  <c r="AA17" i="34" s="1"/>
  <c r="J17" i="34"/>
  <c r="W17" i="34"/>
  <c r="AA15" i="34"/>
  <c r="S15" i="34"/>
  <c r="S41" i="33"/>
  <c r="F113" i="33"/>
  <c r="G113" i="33" s="1"/>
  <c r="H113" i="33" s="1"/>
  <c r="I113" i="33" s="1"/>
  <c r="J113" i="33" s="1"/>
  <c r="K113" i="33" s="1"/>
  <c r="L113" i="33" s="1"/>
  <c r="M113" i="33" s="1"/>
  <c r="H37" i="33"/>
  <c r="AB37" i="33"/>
  <c r="H15" i="33"/>
  <c r="AB15" i="33"/>
  <c r="H11" i="33"/>
  <c r="AB11" i="33" s="1"/>
  <c r="F28" i="40"/>
  <c r="AA28" i="40" s="1"/>
  <c r="AA42" i="34"/>
  <c r="S42" i="34"/>
  <c r="AA38" i="34"/>
  <c r="J37" i="34"/>
  <c r="AC37" i="34" s="1"/>
  <c r="J11" i="33"/>
  <c r="W11" i="33" s="1"/>
  <c r="S28" i="34"/>
  <c r="U23" i="40"/>
  <c r="J42" i="21"/>
  <c r="AC42" i="21"/>
  <c r="H42" i="21"/>
  <c r="U42" i="21" s="1"/>
  <c r="J44" i="34"/>
  <c r="F44" i="34"/>
  <c r="AA44" i="34"/>
  <c r="J10" i="35"/>
  <c r="AC10" i="35" s="1"/>
  <c r="BL587" i="3"/>
  <c r="S14" i="21"/>
  <c r="H28" i="21"/>
  <c r="AB28" i="21"/>
  <c r="F28" i="21"/>
  <c r="AA28" i="21" s="1"/>
  <c r="J28" i="21"/>
  <c r="W28" i="21"/>
  <c r="H30" i="21"/>
  <c r="U30" i="21" s="1"/>
  <c r="F30" i="21"/>
  <c r="S30" i="21"/>
  <c r="J30" i="21"/>
  <c r="AC30" i="21" s="1"/>
  <c r="H44" i="21"/>
  <c r="U44" i="21" s="1"/>
  <c r="H46" i="21"/>
  <c r="U46" i="21"/>
  <c r="J46" i="21"/>
  <c r="W46" i="21"/>
  <c r="F46" i="21"/>
  <c r="AA46" i="21"/>
  <c r="E119" i="21"/>
  <c r="F119" i="21"/>
  <c r="G119" i="21"/>
  <c r="H119" i="21"/>
  <c r="I119" i="21" s="1"/>
  <c r="J119" i="21" s="1"/>
  <c r="K119" i="21" s="1"/>
  <c r="L119" i="21" s="1"/>
  <c r="M119" i="21" s="1"/>
  <c r="H26" i="33"/>
  <c r="U26" i="33"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c r="F28" i="36"/>
  <c r="AA28" i="36" s="1"/>
  <c r="J13" i="21"/>
  <c r="AC13" i="21"/>
  <c r="H27" i="21"/>
  <c r="AB27" i="21" s="1"/>
  <c r="F27" i="21"/>
  <c r="AA27" i="21"/>
  <c r="H29" i="21"/>
  <c r="U29" i="21" s="1"/>
  <c r="J31" i="21"/>
  <c r="AC31" i="21"/>
  <c r="F31" i="21"/>
  <c r="S31" i="21" s="1"/>
  <c r="F45" i="21"/>
  <c r="AA45" i="21"/>
  <c r="F27" i="33"/>
  <c r="AA27" i="33" s="1"/>
  <c r="J13" i="33"/>
  <c r="H13" i="33"/>
  <c r="U13" i="33" s="1"/>
  <c r="F13" i="33"/>
  <c r="S13" i="33" s="1"/>
  <c r="J29" i="33"/>
  <c r="AC29" i="33"/>
  <c r="H29" i="33"/>
  <c r="U29" i="33" s="1"/>
  <c r="F29" i="33"/>
  <c r="S29" i="33"/>
  <c r="J31" i="33"/>
  <c r="AC31" i="33" s="1"/>
  <c r="H31" i="33"/>
  <c r="F31" i="33"/>
  <c r="H45" i="33"/>
  <c r="AB45" i="33" s="1"/>
  <c r="J45" i="33"/>
  <c r="W45" i="33"/>
  <c r="F45" i="33"/>
  <c r="AA45" i="33" s="1"/>
  <c r="J14" i="34"/>
  <c r="W14" i="34"/>
  <c r="F14" i="34"/>
  <c r="S14" i="34" s="1"/>
  <c r="H14" i="34"/>
  <c r="H30" i="34"/>
  <c r="F30" i="34"/>
  <c r="S30" i="34" s="1"/>
  <c r="J30" i="34"/>
  <c r="W30" i="34"/>
  <c r="H32" i="34"/>
  <c r="F32" i="34"/>
  <c r="J32" i="34"/>
  <c r="W32" i="34"/>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c r="F29" i="37"/>
  <c r="S29" i="37" s="1"/>
  <c r="H36" i="37"/>
  <c r="AB36" i="37"/>
  <c r="F107" i="37"/>
  <c r="J37" i="37"/>
  <c r="AC37" i="37"/>
  <c r="H37" i="37"/>
  <c r="U37" i="37" s="1"/>
  <c r="H40" i="37"/>
  <c r="U40" i="37"/>
  <c r="J40" i="37"/>
  <c r="AC40" i="37" s="1"/>
  <c r="F40" i="37"/>
  <c r="AA40" i="37"/>
  <c r="AC12" i="40"/>
  <c r="W12" i="40"/>
  <c r="F14" i="33"/>
  <c r="AA14" i="33" s="1"/>
  <c r="S14" i="33"/>
  <c r="H30" i="33"/>
  <c r="AB30" i="33" s="1"/>
  <c r="F30" i="33"/>
  <c r="J30" i="33"/>
  <c r="H44" i="33"/>
  <c r="J44" i="33"/>
  <c r="AC44" i="33"/>
  <c r="S44" i="33"/>
  <c r="J46" i="33"/>
  <c r="AC46" i="33" s="1"/>
  <c r="F46" i="33"/>
  <c r="AA46" i="33"/>
  <c r="H46" i="33"/>
  <c r="AB46" i="33" s="1"/>
  <c r="J13" i="34"/>
  <c r="AC13" i="34" s="1"/>
  <c r="J29" i="34"/>
  <c r="F29" i="34"/>
  <c r="S29" i="34"/>
  <c r="H29" i="34"/>
  <c r="AB29" i="34"/>
  <c r="J31" i="34"/>
  <c r="W31" i="34" s="1"/>
  <c r="AC31" i="34"/>
  <c r="AB31" i="34"/>
  <c r="F31" i="34"/>
  <c r="S31" i="34"/>
  <c r="H45" i="34"/>
  <c r="U45" i="34"/>
  <c r="J45" i="34"/>
  <c r="W45" i="34"/>
  <c r="F45" i="34"/>
  <c r="S45" i="34"/>
  <c r="H47" i="34"/>
  <c r="U47" i="34"/>
  <c r="S47" i="34"/>
  <c r="J47" i="34"/>
  <c r="AC47" i="34" s="1"/>
  <c r="F13" i="35"/>
  <c r="S13" i="35"/>
  <c r="J13" i="35"/>
  <c r="AC13" i="35" s="1"/>
  <c r="H13" i="35"/>
  <c r="U13" i="35"/>
  <c r="J25" i="35"/>
  <c r="W25" i="35" s="1"/>
  <c r="S25" i="35"/>
  <c r="H25" i="35"/>
  <c r="AB25" i="35" s="1"/>
  <c r="J35" i="35"/>
  <c r="AC35" i="35"/>
  <c r="F35" i="35"/>
  <c r="AA35" i="35" s="1"/>
  <c r="H35" i="35"/>
  <c r="AB35" i="35"/>
  <c r="J25" i="36"/>
  <c r="W25" i="36" s="1"/>
  <c r="S25" i="36"/>
  <c r="H25" i="36"/>
  <c r="AB25" i="36"/>
  <c r="H13" i="37"/>
  <c r="AB13" i="37" s="1"/>
  <c r="F13" i="37"/>
  <c r="S13" i="37"/>
  <c r="J13" i="37"/>
  <c r="W13" i="37" s="1"/>
  <c r="F28" i="37"/>
  <c r="AA28" i="37"/>
  <c r="J28" i="37"/>
  <c r="AC28" i="37"/>
  <c r="H28" i="37"/>
  <c r="U28" i="37"/>
  <c r="H38" i="37"/>
  <c r="AB38" i="37"/>
  <c r="F43" i="39"/>
  <c r="AA43" i="39"/>
  <c r="H43" i="39"/>
  <c r="J14" i="39"/>
  <c r="AC14" i="39" s="1"/>
  <c r="F14" i="39"/>
  <c r="H14" i="39"/>
  <c r="AB14" i="39" s="1"/>
  <c r="F12" i="40"/>
  <c r="S12" i="40" s="1"/>
  <c r="H12" i="40"/>
  <c r="AB12" i="40" s="1"/>
  <c r="H30" i="40"/>
  <c r="AB30" i="40" s="1"/>
  <c r="F33" i="40"/>
  <c r="AA33" i="40"/>
  <c r="H33" i="40"/>
  <c r="U33" i="40" s="1"/>
  <c r="J35" i="40"/>
  <c r="AC35" i="40"/>
  <c r="J37" i="40"/>
  <c r="AC37" i="40" s="1"/>
  <c r="H13" i="40"/>
  <c r="U13" i="40" s="1"/>
  <c r="J13" i="40"/>
  <c r="W13" i="40" s="1"/>
  <c r="F13" i="40"/>
  <c r="AA13" i="40" s="1"/>
  <c r="F14" i="37"/>
  <c r="S14" i="37" s="1"/>
  <c r="F27" i="37"/>
  <c r="AA27" i="37"/>
  <c r="F13" i="39"/>
  <c r="J13" i="39"/>
  <c r="W13" i="39" s="1"/>
  <c r="H13" i="39"/>
  <c r="H14" i="40"/>
  <c r="AB14" i="40" s="1"/>
  <c r="J14" i="40"/>
  <c r="W14" i="40"/>
  <c r="F14" i="40"/>
  <c r="AA14" i="40" s="1"/>
  <c r="J14" i="37"/>
  <c r="AC14" i="37"/>
  <c r="J27" i="37"/>
  <c r="AC27" i="37" s="1"/>
  <c r="AA13" i="35"/>
  <c r="U31" i="34"/>
  <c r="U46" i="33"/>
  <c r="J36" i="37"/>
  <c r="AC36" i="37" s="1"/>
  <c r="G105" i="37"/>
  <c r="J10" i="36"/>
  <c r="AC10" i="36" s="1"/>
  <c r="AA14" i="37"/>
  <c r="AC13" i="36"/>
  <c r="W13" i="36"/>
  <c r="S11" i="36"/>
  <c r="AC30" i="34"/>
  <c r="AA14" i="34"/>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2" i="3"/>
  <c r="G531" i="3"/>
  <c r="G528"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522" i="3"/>
  <c r="AZ522" i="3" s="1"/>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BA558" i="3"/>
  <c r="BA556" i="3"/>
  <c r="AZ556" i="3" s="1"/>
  <c r="BA554" i="3"/>
  <c r="BA552" i="3"/>
  <c r="AZ552" i="3" s="1"/>
  <c r="BA548" i="3"/>
  <c r="BA546" i="3"/>
  <c r="BA544" i="3"/>
  <c r="AZ544" i="3" s="1"/>
  <c r="BA542" i="3"/>
  <c r="AZ542" i="3"/>
  <c r="BA540" i="3"/>
  <c r="AZ540" i="3" s="1"/>
  <c r="BA538" i="3"/>
  <c r="AZ538" i="3"/>
  <c r="BA536" i="3"/>
  <c r="AZ536" i="3" s="1"/>
  <c r="BA534" i="3"/>
  <c r="BA532" i="3"/>
  <c r="AZ532" i="3" s="1"/>
  <c r="BA530" i="3"/>
  <c r="BA528" i="3"/>
  <c r="AZ528" i="3"/>
  <c r="BA526" i="3"/>
  <c r="AZ526" i="3" s="1"/>
  <c r="BA524" i="3"/>
  <c r="AZ524" i="3"/>
  <c r="BA522" i="3"/>
  <c r="BA520" i="3"/>
  <c r="BA518" i="3"/>
  <c r="AZ518" i="3"/>
  <c r="BA516" i="3"/>
  <c r="AZ516" i="3" s="1"/>
  <c r="BA514" i="3"/>
  <c r="AZ514" i="3" s="1"/>
  <c r="BA512" i="3"/>
  <c r="AZ512" i="3" s="1"/>
  <c r="BA510" i="3"/>
  <c r="AZ510" i="3"/>
  <c r="BA508" i="3"/>
  <c r="BA506" i="3"/>
  <c r="BA504" i="3"/>
  <c r="AZ504" i="3"/>
  <c r="BA502" i="3"/>
  <c r="BA500" i="3"/>
  <c r="BA498" i="3"/>
  <c r="BA496" i="3"/>
  <c r="BA494" i="3"/>
  <c r="BA587" i="3"/>
  <c r="AZ587" i="3"/>
  <c r="BA583" i="3"/>
  <c r="AZ583" i="3" s="1"/>
  <c r="BA581" i="3"/>
  <c r="AZ581" i="3" s="1"/>
  <c r="BA579" i="3"/>
  <c r="BA577" i="3"/>
  <c r="AZ577" i="3" s="1"/>
  <c r="BA575" i="3"/>
  <c r="BA573" i="3"/>
  <c r="BA571" i="3"/>
  <c r="BA569" i="3"/>
  <c r="AZ569" i="3" s="1"/>
  <c r="BA567" i="3"/>
  <c r="BA565" i="3"/>
  <c r="BA563" i="3"/>
  <c r="BA561" i="3"/>
  <c r="BA559" i="3"/>
  <c r="BA555" i="3"/>
  <c r="BA553" i="3"/>
  <c r="BA549" i="3"/>
  <c r="AZ549" i="3" s="1"/>
  <c r="BA547" i="3"/>
  <c r="BA545" i="3"/>
  <c r="BA543" i="3"/>
  <c r="BA541" i="3"/>
  <c r="AZ541" i="3" s="1"/>
  <c r="BA539" i="3"/>
  <c r="BA537" i="3"/>
  <c r="BA535" i="3"/>
  <c r="BA533" i="3"/>
  <c r="AZ533" i="3" s="1"/>
  <c r="BA531" i="3"/>
  <c r="BA529" i="3"/>
  <c r="BA527" i="3"/>
  <c r="BA525" i="3"/>
  <c r="BA523" i="3"/>
  <c r="BA519" i="3"/>
  <c r="BA517" i="3"/>
  <c r="BA515" i="3"/>
  <c r="AZ515" i="3" s="1"/>
  <c r="BA513" i="3"/>
  <c r="BA511" i="3"/>
  <c r="BA507" i="3"/>
  <c r="AZ507" i="3" s="1"/>
  <c r="BA505" i="3"/>
  <c r="BA503" i="3"/>
  <c r="BA501" i="3"/>
  <c r="BA499" i="3"/>
  <c r="BA497" i="3"/>
  <c r="AZ497" i="3" s="1"/>
  <c r="BA495" i="3"/>
  <c r="BA493" i="3"/>
  <c r="AZ560" i="3"/>
  <c r="G583" i="3"/>
  <c r="G581" i="3"/>
  <c r="G579" i="3"/>
  <c r="G577" i="3"/>
  <c r="G575" i="3"/>
  <c r="G573" i="3"/>
  <c r="G571" i="3"/>
  <c r="G569" i="3"/>
  <c r="G567" i="3"/>
  <c r="G565" i="3"/>
  <c r="G563" i="3"/>
  <c r="G561" i="3"/>
  <c r="BL558" i="3"/>
  <c r="AZ558" i="3" s="1"/>
  <c r="BA557" i="3"/>
  <c r="AC557" i="3"/>
  <c r="G557" i="3"/>
  <c r="BQ557" i="3"/>
  <c r="BL557" i="3" s="1"/>
  <c r="BQ583" i="3"/>
  <c r="BL583" i="3"/>
  <c r="BQ581" i="3"/>
  <c r="BL581" i="3"/>
  <c r="BQ579" i="3"/>
  <c r="BL579" i="3" s="1"/>
  <c r="BQ577" i="3"/>
  <c r="BL577" i="3"/>
  <c r="BQ575" i="3"/>
  <c r="BL575" i="3"/>
  <c r="AZ575" i="3"/>
  <c r="BQ573" i="3"/>
  <c r="BL573" i="3" s="1"/>
  <c r="AZ573" i="3" s="1"/>
  <c r="BQ571" i="3"/>
  <c r="BL571" i="3" s="1"/>
  <c r="BQ569" i="3"/>
  <c r="BL569" i="3"/>
  <c r="BQ567" i="3"/>
  <c r="BL567" i="3"/>
  <c r="AZ567" i="3"/>
  <c r="BQ565" i="3"/>
  <c r="BL565" i="3" s="1"/>
  <c r="AZ565" i="3" s="1"/>
  <c r="BQ563" i="3"/>
  <c r="BL563" i="3" s="1"/>
  <c r="BQ561" i="3"/>
  <c r="BL561" i="3"/>
  <c r="AZ561" i="3"/>
  <c r="BQ559" i="3"/>
  <c r="BL559" i="3" s="1"/>
  <c r="AZ559" i="3" s="1"/>
  <c r="G559" i="3"/>
  <c r="G555" i="3"/>
  <c r="G553" i="3"/>
  <c r="G549" i="3"/>
  <c r="G547" i="3"/>
  <c r="G545" i="3"/>
  <c r="G543" i="3"/>
  <c r="G541" i="3"/>
  <c r="G539" i="3"/>
  <c r="G537" i="3"/>
  <c r="BQ555" i="3"/>
  <c r="BL555" i="3"/>
  <c r="AZ555" i="3"/>
  <c r="BQ553" i="3"/>
  <c r="BL553" i="3" s="1"/>
  <c r="AZ553" i="3" s="1"/>
  <c r="BQ551" i="3"/>
  <c r="BL551" i="3" s="1"/>
  <c r="AZ551" i="3" s="1"/>
  <c r="BQ549" i="3"/>
  <c r="BQ547" i="3"/>
  <c r="BL547" i="3"/>
  <c r="AZ547" i="3" s="1"/>
  <c r="BQ545" i="3"/>
  <c r="BL545" i="3"/>
  <c r="AZ545" i="3"/>
  <c r="BQ543" i="3"/>
  <c r="BL543" i="3" s="1"/>
  <c r="AZ543" i="3" s="1"/>
  <c r="BQ541" i="3"/>
  <c r="BL541" i="3" s="1"/>
  <c r="BQ539" i="3"/>
  <c r="BL539" i="3"/>
  <c r="AZ539" i="3" s="1"/>
  <c r="BQ537" i="3"/>
  <c r="BL537" i="3"/>
  <c r="AZ537" i="3"/>
  <c r="BQ535" i="3"/>
  <c r="BL535" i="3" s="1"/>
  <c r="AZ535" i="3" s="1"/>
  <c r="BQ533" i="3"/>
  <c r="BL533" i="3" s="1"/>
  <c r="BQ531" i="3"/>
  <c r="BL531" i="3"/>
  <c r="AZ531" i="3" s="1"/>
  <c r="BQ529" i="3"/>
  <c r="BL529" i="3"/>
  <c r="AZ529" i="3"/>
  <c r="BQ527" i="3"/>
  <c r="BL527" i="3" s="1"/>
  <c r="AZ527" i="3" s="1"/>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s="1"/>
  <c r="BQ511" i="3"/>
  <c r="BL511" i="3"/>
  <c r="AZ511" i="3" s="1"/>
  <c r="BA509" i="3"/>
  <c r="AC509" i="3"/>
  <c r="AC5" i="3" s="1"/>
  <c r="BQ509" i="3"/>
  <c r="BL509" i="3" s="1"/>
  <c r="AZ509" i="3" s="1"/>
  <c r="BL508" i="3"/>
  <c r="AZ508" i="3"/>
  <c r="G507" i="3"/>
  <c r="G505" i="3"/>
  <c r="G503" i="3"/>
  <c r="G501" i="3"/>
  <c r="G499" i="3"/>
  <c r="G497" i="3"/>
  <c r="G495" i="3"/>
  <c r="BQ507" i="3"/>
  <c r="BL507" i="3" s="1"/>
  <c r="BQ505" i="3"/>
  <c r="BL505" i="3"/>
  <c r="AZ505" i="3" s="1"/>
  <c r="BQ503" i="3"/>
  <c r="BL503" i="3" s="1"/>
  <c r="AZ503" i="3" s="1"/>
  <c r="BQ501" i="3"/>
  <c r="BL501" i="3" s="1"/>
  <c r="AZ501" i="3" s="1"/>
  <c r="BQ499" i="3"/>
  <c r="BL499" i="3"/>
  <c r="AZ499" i="3" s="1"/>
  <c r="BQ497" i="3"/>
  <c r="BL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AA22" i="36" s="1"/>
  <c r="F26" i="36"/>
  <c r="S26" i="36" s="1"/>
  <c r="H27" i="34"/>
  <c r="AB27" i="34" s="1"/>
  <c r="H35" i="34"/>
  <c r="U35" i="34" s="1"/>
  <c r="F41" i="34"/>
  <c r="S41" i="34" s="1"/>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U42" i="33" s="1"/>
  <c r="J43" i="33"/>
  <c r="AC43" i="33"/>
  <c r="S28" i="31"/>
  <c r="S27" i="31"/>
  <c r="S26" i="31"/>
  <c r="U14" i="40"/>
  <c r="U35" i="35"/>
  <c r="AA12" i="35"/>
  <c r="W23" i="35"/>
  <c r="W14" i="37"/>
  <c r="AB28" i="37"/>
  <c r="U33" i="37"/>
  <c r="U39" i="37"/>
  <c r="W26" i="37"/>
  <c r="U26" i="37"/>
  <c r="W47" i="34"/>
  <c r="AC36" i="34"/>
  <c r="AC45" i="33"/>
  <c r="W44" i="33"/>
  <c r="U19" i="21"/>
  <c r="U26" i="21"/>
  <c r="AC46" i="21"/>
  <c r="U12"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J15" i="37"/>
  <c r="AC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J11" i="39"/>
  <c r="W11" i="39" s="1"/>
  <c r="F11" i="39"/>
  <c r="AA11" i="39"/>
  <c r="S11" i="39"/>
  <c r="G4" i="4"/>
  <c r="I4" i="4"/>
  <c r="F61" i="43"/>
  <c r="H64" i="43" s="1"/>
  <c r="AZ20" i="3"/>
  <c r="AZ24" i="3"/>
  <c r="AZ28" i="3"/>
  <c r="AZ32" i="3"/>
  <c r="BL549" i="3"/>
  <c r="AZ494" i="3"/>
  <c r="AZ502" i="3"/>
  <c r="AZ530" i="3"/>
  <c r="AZ546"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AZ362" i="3" s="1"/>
  <c r="G370" i="3"/>
  <c r="BL371" i="3"/>
  <c r="G372" i="3"/>
  <c r="BL373" i="3"/>
  <c r="BA375" i="3"/>
  <c r="AZ375" i="3" s="1"/>
  <c r="BA376" i="3"/>
  <c r="AZ376" i="3" s="1"/>
  <c r="BL376" i="3"/>
  <c r="G377" i="3"/>
  <c r="BA378" i="3"/>
  <c r="AZ378" i="3" s="1"/>
  <c r="BL378" i="3"/>
  <c r="G379" i="3"/>
  <c r="BA380" i="3"/>
  <c r="G388" i="3"/>
  <c r="BL389" i="3"/>
  <c r="G390" i="3"/>
  <c r="BL391" i="3"/>
  <c r="BA393" i="3"/>
  <c r="AZ393" i="3" s="1"/>
  <c r="BA394" i="3"/>
  <c r="BL394" i="3"/>
  <c r="G113" i="3"/>
  <c r="BA115" i="3"/>
  <c r="AZ115" i="3"/>
  <c r="BL116" i="3"/>
  <c r="AZ116" i="3" s="1"/>
  <c r="G117" i="3"/>
  <c r="BA119" i="3"/>
  <c r="AZ119" i="3" s="1"/>
  <c r="BL120" i="3"/>
  <c r="G121" i="3"/>
  <c r="BA123" i="3"/>
  <c r="AZ123" i="3" s="1"/>
  <c r="BL124" i="3"/>
  <c r="AZ124" i="3" s="1"/>
  <c r="G125" i="3"/>
  <c r="BA127" i="3"/>
  <c r="AZ127" i="3" s="1"/>
  <c r="BL128" i="3"/>
  <c r="G129" i="3"/>
  <c r="BA131" i="3"/>
  <c r="AZ131" i="3" s="1"/>
  <c r="BL132" i="3"/>
  <c r="AZ132" i="3"/>
  <c r="G133" i="3"/>
  <c r="BA135" i="3"/>
  <c r="AZ135" i="3" s="1"/>
  <c r="BL136" i="3"/>
  <c r="AZ136" i="3" s="1"/>
  <c r="G137" i="3"/>
  <c r="BA139" i="3"/>
  <c r="AZ139" i="3" s="1"/>
  <c r="BL140" i="3"/>
  <c r="AZ140" i="3" s="1"/>
  <c r="G141" i="3"/>
  <c r="BA143" i="3"/>
  <c r="AZ143" i="3"/>
  <c r="BL144" i="3"/>
  <c r="AZ144" i="3" s="1"/>
  <c r="G145" i="3"/>
  <c r="BA147" i="3"/>
  <c r="AZ147" i="3"/>
  <c r="BL148" i="3"/>
  <c r="AZ148" i="3" s="1"/>
  <c r="G149" i="3"/>
  <c r="BA151" i="3"/>
  <c r="AZ151" i="3" s="1"/>
  <c r="BL152" i="3"/>
  <c r="G153" i="3"/>
  <c r="BA155" i="3"/>
  <c r="AZ155" i="3" s="1"/>
  <c r="BL156" i="3"/>
  <c r="AZ156" i="3" s="1"/>
  <c r="G157" i="3"/>
  <c r="BA159" i="3"/>
  <c r="AZ159" i="3" s="1"/>
  <c r="BL160" i="3"/>
  <c r="G161" i="3"/>
  <c r="BA163" i="3"/>
  <c r="AZ163" i="3" s="1"/>
  <c r="BL164" i="3"/>
  <c r="AZ164" i="3"/>
  <c r="G165" i="3"/>
  <c r="BA167" i="3"/>
  <c r="AZ167" i="3" s="1"/>
  <c r="BL168" i="3"/>
  <c r="AZ168" i="3" s="1"/>
  <c r="G169" i="3"/>
  <c r="BA171" i="3"/>
  <c r="AZ171" i="3" s="1"/>
  <c r="BL172" i="3"/>
  <c r="AZ172" i="3" s="1"/>
  <c r="G173" i="3"/>
  <c r="BA175" i="3"/>
  <c r="AZ175" i="3"/>
  <c r="BL176" i="3"/>
  <c r="AZ176" i="3" s="1"/>
  <c r="G177" i="3"/>
  <c r="BA179" i="3"/>
  <c r="AZ179" i="3"/>
  <c r="BL180" i="3"/>
  <c r="AZ180" i="3" s="1"/>
  <c r="G181" i="3"/>
  <c r="BA183" i="3"/>
  <c r="AZ183" i="3" s="1"/>
  <c r="BL184" i="3"/>
  <c r="G185" i="3"/>
  <c r="BA187" i="3"/>
  <c r="AZ187" i="3" s="1"/>
  <c r="BL188" i="3"/>
  <c r="AZ188" i="3" s="1"/>
  <c r="G189" i="3"/>
  <c r="BA191" i="3"/>
  <c r="AZ191" i="3" s="1"/>
  <c r="BL192" i="3"/>
  <c r="G193" i="3"/>
  <c r="BA195" i="3"/>
  <c r="AZ195" i="3" s="1"/>
  <c r="BL196" i="3"/>
  <c r="AZ196" i="3"/>
  <c r="G197" i="3"/>
  <c r="BA199" i="3"/>
  <c r="AZ199" i="3" s="1"/>
  <c r="BL200" i="3"/>
  <c r="AZ200" i="3" s="1"/>
  <c r="G201" i="3"/>
  <c r="BA203" i="3"/>
  <c r="AZ203" i="3" s="1"/>
  <c r="BL204" i="3"/>
  <c r="AZ204" i="3" s="1"/>
  <c r="AZ39" i="3"/>
  <c r="AZ47" i="3"/>
  <c r="AZ55" i="3"/>
  <c r="AZ63" i="3"/>
  <c r="AZ71" i="3"/>
  <c r="AZ79" i="3"/>
  <c r="AZ83" i="3"/>
  <c r="AZ152" i="3"/>
  <c r="AZ160" i="3"/>
  <c r="AZ184" i="3"/>
  <c r="AZ192" i="3"/>
  <c r="AZ85" i="3"/>
  <c r="AZ93" i="3"/>
  <c r="AZ101" i="3"/>
  <c r="AZ105"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s="1"/>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s="1"/>
  <c r="BL307" i="3"/>
  <c r="AZ307" i="3"/>
  <c r="G308" i="3"/>
  <c r="BA310" i="3"/>
  <c r="AZ310" i="3" s="1"/>
  <c r="BL311" i="3"/>
  <c r="AZ311" i="3" s="1"/>
  <c r="G312" i="3"/>
  <c r="BA314" i="3"/>
  <c r="AZ314" i="3"/>
  <c r="BL315" i="3"/>
  <c r="AZ315" i="3" s="1"/>
  <c r="G316" i="3"/>
  <c r="BA318" i="3"/>
  <c r="AZ318" i="3" s="1"/>
  <c r="BL319" i="3"/>
  <c r="G320" i="3"/>
  <c r="BA322" i="3"/>
  <c r="AZ322" i="3" s="1"/>
  <c r="BL323" i="3"/>
  <c r="AZ323" i="3" s="1"/>
  <c r="G324" i="3"/>
  <c r="BA326" i="3"/>
  <c r="AZ326" i="3" s="1"/>
  <c r="BL327" i="3"/>
  <c r="AZ327" i="3"/>
  <c r="G328" i="3"/>
  <c r="BA330" i="3"/>
  <c r="AZ330" i="3" s="1"/>
  <c r="BL331" i="3"/>
  <c r="AZ331" i="3" s="1"/>
  <c r="G332" i="3"/>
  <c r="BA334" i="3"/>
  <c r="AZ334" i="3"/>
  <c r="BL335" i="3"/>
  <c r="AZ335" i="3" s="1"/>
  <c r="G336" i="3"/>
  <c r="BA338" i="3"/>
  <c r="AZ338" i="3"/>
  <c r="BL339" i="3"/>
  <c r="AZ339" i="3" s="1"/>
  <c r="G340" i="3"/>
  <c r="BL343" i="3"/>
  <c r="G344" i="3"/>
  <c r="G348" i="3"/>
  <c r="G355" i="3"/>
  <c r="AZ209" i="3"/>
  <c r="AZ214" i="3"/>
  <c r="AZ218" i="3"/>
  <c r="AZ303"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c r="G367" i="3"/>
  <c r="BA369" i="3"/>
  <c r="AZ369" i="3" s="1"/>
  <c r="BL370" i="3"/>
  <c r="AZ370" i="3" s="1"/>
  <c r="G371" i="3"/>
  <c r="BA373" i="3"/>
  <c r="AZ373" i="3" s="1"/>
  <c r="BL374" i="3"/>
  <c r="AZ374" i="3" s="1"/>
  <c r="G375" i="3"/>
  <c r="BA377" i="3"/>
  <c r="AZ377" i="3"/>
  <c r="AZ229" i="3"/>
  <c r="AZ233" i="3"/>
  <c r="AZ245" i="3"/>
  <c r="AZ249" i="3"/>
  <c r="AZ257" i="3"/>
  <c r="AZ261" i="3"/>
  <c r="AZ269" i="3"/>
  <c r="AZ273" i="3"/>
  <c r="BA379" i="3"/>
  <c r="AZ379" i="3" s="1"/>
  <c r="BL380" i="3"/>
  <c r="G381" i="3"/>
  <c r="BA383" i="3"/>
  <c r="AZ383" i="3" s="1"/>
  <c r="BL384" i="3"/>
  <c r="G385" i="3"/>
  <c r="BA387" i="3"/>
  <c r="AZ387" i="3" s="1"/>
  <c r="BL388" i="3"/>
  <c r="AZ388" i="3" s="1"/>
  <c r="G389" i="3"/>
  <c r="BA391" i="3"/>
  <c r="AZ391" i="3" s="1"/>
  <c r="BL392" i="3"/>
  <c r="AZ392" i="3" s="1"/>
  <c r="G393" i="3"/>
  <c r="AZ263" i="3"/>
  <c r="AZ275" i="3"/>
  <c r="AZ279" i="3"/>
  <c r="AZ283" i="3"/>
  <c r="AZ287" i="3"/>
  <c r="AZ291" i="3"/>
  <c r="AZ295" i="3"/>
  <c r="AZ299" i="3"/>
  <c r="BO5" i="3"/>
  <c r="BJ5" i="3"/>
  <c r="BH5" i="3"/>
  <c r="BF5" i="3"/>
  <c r="AZ309" i="3"/>
  <c r="AZ317" i="3"/>
  <c r="AZ333" i="3"/>
  <c r="AZ341" i="3"/>
  <c r="BQ5" i="3"/>
  <c r="AZ506" i="3"/>
  <c r="AZ496" i="3"/>
  <c r="G548" i="3"/>
  <c r="G538" i="3"/>
  <c r="G520" i="3"/>
  <c r="G502" i="3"/>
  <c r="BS5" i="3"/>
  <c r="BP5" i="3"/>
  <c r="BN5" i="3"/>
  <c r="G29" i="6" s="1"/>
  <c r="AZ343" i="3"/>
  <c r="BK5" i="3"/>
  <c r="BI5" i="3"/>
  <c r="BG5" i="3"/>
  <c r="BE5" i="3"/>
  <c r="BC5" i="3"/>
  <c r="G17" i="3"/>
  <c r="BA17" i="3"/>
  <c r="BT5" i="3"/>
  <c r="G28" i="6" s="1"/>
  <c r="AZ350" i="3"/>
  <c r="AZ356" i="3"/>
  <c r="AZ360" i="3"/>
  <c r="AZ368" i="3"/>
  <c r="BA15" i="3"/>
  <c r="AZ15" i="3" s="1"/>
  <c r="BB5" i="3"/>
  <c r="BR5" i="3"/>
  <c r="AZ380" i="3"/>
  <c r="AZ384" i="3"/>
  <c r="AZ396" i="3"/>
  <c r="AZ394" i="3"/>
  <c r="G509" i="3"/>
  <c r="BL493" i="3"/>
  <c r="AZ493" i="3" s="1"/>
  <c r="AZ491" i="3"/>
  <c r="AZ390" i="3"/>
  <c r="AZ382" i="3"/>
  <c r="U36" i="40"/>
  <c r="F83" i="43"/>
  <c r="H85" i="43" s="1"/>
  <c r="F50" i="43"/>
  <c r="H54" i="43" s="1"/>
  <c r="F72" i="43"/>
  <c r="H75" i="43" s="1"/>
  <c r="U17" i="39"/>
  <c r="S14" i="35"/>
  <c r="U43" i="21"/>
  <c r="U35" i="21"/>
  <c r="AC35" i="21"/>
  <c r="G10" i="1"/>
  <c r="W37" i="37"/>
  <c r="W44" i="34"/>
  <c r="AC44" i="34"/>
  <c r="S15" i="37"/>
  <c r="U13" i="37"/>
  <c r="J37" i="33"/>
  <c r="W37" i="33" s="1"/>
  <c r="AC17" i="34"/>
  <c r="F106" i="33"/>
  <c r="G106" i="33"/>
  <c r="H106" i="33" s="1"/>
  <c r="I106" i="33" s="1"/>
  <c r="J106" i="33" s="1"/>
  <c r="K106" i="33" s="1"/>
  <c r="L106" i="33" s="1"/>
  <c r="M106" i="33" s="1"/>
  <c r="J34" i="33"/>
  <c r="W34" i="33"/>
  <c r="F33" i="34"/>
  <c r="S33" i="34" s="1"/>
  <c r="H20" i="36"/>
  <c r="U20" i="36" s="1"/>
  <c r="J20" i="36"/>
  <c r="W20" i="36"/>
  <c r="W24" i="36"/>
  <c r="J27" i="36"/>
  <c r="W27" i="36" s="1"/>
  <c r="AB25" i="37"/>
  <c r="AC33" i="40"/>
  <c r="F111" i="40"/>
  <c r="G111" i="40" s="1"/>
  <c r="H111" i="40" s="1"/>
  <c r="I111" i="40" s="1"/>
  <c r="J111" i="40" s="1"/>
  <c r="K111" i="40" s="1"/>
  <c r="L111" i="40" s="1"/>
  <c r="M111" i="40" s="1"/>
  <c r="H35" i="40"/>
  <c r="U35" i="40" s="1"/>
  <c r="AC29" i="35"/>
  <c r="W29" i="35"/>
  <c r="H35" i="37"/>
  <c r="U35" i="37" s="1"/>
  <c r="AC14" i="35"/>
  <c r="H20" i="35"/>
  <c r="AB20" i="35" s="1"/>
  <c r="U20" i="35"/>
  <c r="F20" i="35"/>
  <c r="AA20" i="35" s="1"/>
  <c r="AB23" i="35"/>
  <c r="AB29" i="36"/>
  <c r="U29" i="36"/>
  <c r="H32" i="37"/>
  <c r="AB32" i="37"/>
  <c r="F96" i="37"/>
  <c r="G96" i="37" s="1"/>
  <c r="H96" i="37" s="1"/>
  <c r="I96" i="37" s="1"/>
  <c r="J96" i="37" s="1"/>
  <c r="K96" i="37" s="1"/>
  <c r="L96" i="37" s="1"/>
  <c r="M96" i="37" s="1"/>
  <c r="H27" i="40"/>
  <c r="U27" i="40" s="1"/>
  <c r="J27" i="40"/>
  <c r="AC27" i="40"/>
  <c r="F27" i="40"/>
  <c r="S27" i="40" s="1"/>
  <c r="J30" i="40"/>
  <c r="W30" i="40" s="1"/>
  <c r="AC30" i="40"/>
  <c r="F30" i="40"/>
  <c r="AA30" i="40" s="1"/>
  <c r="AC21" i="40"/>
  <c r="S31" i="39"/>
  <c r="S11" i="40"/>
  <c r="E98" i="40"/>
  <c r="F98" i="40"/>
  <c r="G98" i="40"/>
  <c r="H98" i="40" s="1"/>
  <c r="I98" i="40" s="1"/>
  <c r="J98" i="40" s="1"/>
  <c r="K98" i="40" s="1"/>
  <c r="L98" i="40" s="1"/>
  <c r="M98" i="40" s="1"/>
  <c r="F10" i="33"/>
  <c r="S10" i="33" s="1"/>
  <c r="F34" i="33"/>
  <c r="AA34" i="33" s="1"/>
  <c r="H34" i="33"/>
  <c r="U34" i="33"/>
  <c r="F35" i="33"/>
  <c r="S35" i="33" s="1"/>
  <c r="F39" i="34"/>
  <c r="S39" i="34"/>
  <c r="J39" i="34"/>
  <c r="W39" i="34" s="1"/>
  <c r="F40" i="34"/>
  <c r="S40" i="34"/>
  <c r="F43" i="34"/>
  <c r="AA43" i="34" s="1"/>
  <c r="H44" i="34"/>
  <c r="AB44" i="34"/>
  <c r="AC38" i="39"/>
  <c r="F39" i="39"/>
  <c r="S39" i="39" s="1"/>
  <c r="J39" i="39"/>
  <c r="AC39" i="39" s="1"/>
  <c r="E96" i="39"/>
  <c r="F96" i="39" s="1"/>
  <c r="G96" i="39" s="1"/>
  <c r="AZ353" i="3"/>
  <c r="AZ354" i="3"/>
  <c r="AZ386" i="3"/>
  <c r="C40" i="11"/>
  <c r="AZ215" i="3"/>
  <c r="AZ227" i="3"/>
  <c r="AZ232" i="3"/>
  <c r="AZ251" i="3"/>
  <c r="AZ256" i="3"/>
  <c r="AZ259" i="3"/>
  <c r="AZ268" i="3"/>
  <c r="AZ271" i="3"/>
  <c r="AZ280" i="3"/>
  <c r="AZ288" i="3"/>
  <c r="AZ296" i="3"/>
  <c r="AZ114" i="3"/>
  <c r="AZ117" i="3"/>
  <c r="AZ130" i="3"/>
  <c r="AZ133" i="3"/>
  <c r="AZ21" i="3"/>
  <c r="AZ29" i="3"/>
  <c r="AZ31" i="3"/>
  <c r="AZ33" i="3"/>
  <c r="AZ37" i="3"/>
  <c r="AZ42" i="3"/>
  <c r="AZ45" i="3"/>
  <c r="AZ50" i="3"/>
  <c r="AZ58" i="3"/>
  <c r="AZ66" i="3"/>
  <c r="AZ69" i="3"/>
  <c r="AZ74" i="3"/>
  <c r="AZ102" i="3"/>
  <c r="AZ110" i="3"/>
  <c r="F23" i="39"/>
  <c r="AA23" i="39" s="1"/>
  <c r="H27" i="36"/>
  <c r="U27" i="36" s="1"/>
  <c r="F27" i="36"/>
  <c r="AA27" i="36" s="1"/>
  <c r="H33" i="34"/>
  <c r="U33" i="34" s="1"/>
  <c r="F32" i="37"/>
  <c r="AA32" i="37"/>
  <c r="F20" i="36"/>
  <c r="S20" i="36" s="1"/>
  <c r="J33" i="34"/>
  <c r="AC33" i="34"/>
  <c r="H23" i="39"/>
  <c r="U23" i="39" s="1"/>
  <c r="D48" i="9"/>
  <c r="M52" i="9" s="1"/>
  <c r="K9" i="1"/>
  <c r="M9" i="1" s="1"/>
  <c r="D93" i="9"/>
  <c r="AC26" i="33"/>
  <c r="W26" i="33"/>
  <c r="W27" i="34"/>
  <c r="AC27" i="34"/>
  <c r="AB34" i="36"/>
  <c r="U34" i="36"/>
  <c r="AC12" i="39"/>
  <c r="W12" i="39"/>
  <c r="AZ401" i="3"/>
  <c r="AZ412" i="3"/>
  <c r="AZ417" i="3"/>
  <c r="AZ428" i="3"/>
  <c r="AZ433" i="3"/>
  <c r="AZ586" i="3"/>
  <c r="AA32" i="36"/>
  <c r="S32" i="36"/>
  <c r="AZ550" i="3"/>
  <c r="AZ408" i="3"/>
  <c r="AZ437" i="3"/>
  <c r="AZ441" i="3"/>
  <c r="AZ457" i="3"/>
  <c r="AZ490" i="3"/>
  <c r="AA39" i="34"/>
  <c r="BL14" i="3"/>
  <c r="AZ266" i="3"/>
  <c r="U30" i="33"/>
  <c r="AA47" i="34"/>
  <c r="W28" i="37"/>
  <c r="S19" i="39"/>
  <c r="F12" i="33"/>
  <c r="H12" i="39"/>
  <c r="U12" i="39" s="1"/>
  <c r="AB12" i="39"/>
  <c r="F39" i="40"/>
  <c r="BA14" i="3"/>
  <c r="AZ14" i="3"/>
  <c r="AZ367" i="3"/>
  <c r="AZ213" i="3"/>
  <c r="AZ254" i="3"/>
  <c r="AZ281" i="3"/>
  <c r="AZ286" i="3"/>
  <c r="AZ297" i="3"/>
  <c r="AZ149" i="3"/>
  <c r="AZ157" i="3"/>
  <c r="AZ165" i="3"/>
  <c r="AZ173" i="3"/>
  <c r="AZ181" i="3"/>
  <c r="AZ189" i="3"/>
  <c r="AZ197" i="3"/>
  <c r="AZ19" i="3"/>
  <c r="AZ26" i="3"/>
  <c r="AZ35" i="3"/>
  <c r="AZ41" i="3"/>
  <c r="B12" i="1"/>
  <c r="E12" i="1" s="1"/>
  <c r="B10" i="1"/>
  <c r="E10" i="1" s="1"/>
  <c r="AZ88" i="3"/>
  <c r="AZ107" i="3"/>
  <c r="AZ111" i="3"/>
  <c r="K12" i="1"/>
  <c r="M12" i="1" s="1"/>
  <c r="S13" i="1"/>
  <c r="AR13" i="1" s="1"/>
  <c r="R13" i="1"/>
  <c r="J51" i="67"/>
  <c r="C42" i="1"/>
  <c r="C24" i="12" s="1"/>
  <c r="AC34" i="33"/>
  <c r="B41" i="1"/>
  <c r="F48" i="9" s="1"/>
  <c r="O52" i="9" s="1"/>
  <c r="AB37" i="40"/>
  <c r="S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AC13" i="39"/>
  <c r="U13" i="36"/>
  <c r="U26" i="36"/>
  <c r="AA26" i="36"/>
  <c r="AA34" i="36"/>
  <c r="AC26"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U32" i="37"/>
  <c r="W38" i="37"/>
  <c r="AC35" i="37"/>
  <c r="W39" i="37"/>
  <c r="S30" i="37"/>
  <c r="S37" i="37"/>
  <c r="J17" i="37"/>
  <c r="AC17" i="37" s="1"/>
  <c r="W17" i="37"/>
  <c r="G73" i="37"/>
  <c r="F17" i="37"/>
  <c r="AA17" i="37"/>
  <c r="AB17" i="37"/>
  <c r="F75" i="37"/>
  <c r="F19" i="37"/>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H10" i="34"/>
  <c r="AB10" i="34" s="1"/>
  <c r="F11" i="34"/>
  <c r="S11" i="34" s="1"/>
  <c r="F70" i="34"/>
  <c r="G70" i="34" s="1"/>
  <c r="W42" i="33"/>
  <c r="AA35" i="33"/>
  <c r="S27" i="33"/>
  <c r="S32" i="33"/>
  <c r="AA29" i="33"/>
  <c r="AB29" i="33"/>
  <c r="W38" i="33"/>
  <c r="H41" i="33"/>
  <c r="U41" i="33" s="1"/>
  <c r="F121" i="33"/>
  <c r="G121" i="33"/>
  <c r="H121" i="33"/>
  <c r="I121" i="33" s="1"/>
  <c r="J121" i="33" s="1"/>
  <c r="K121" i="33" s="1"/>
  <c r="L121" i="33" s="1"/>
  <c r="M121" i="33" s="1"/>
  <c r="S42" i="33"/>
  <c r="F36" i="33"/>
  <c r="G111" i="33"/>
  <c r="G108" i="33"/>
  <c r="H108" i="33"/>
  <c r="I108" i="33"/>
  <c r="J108" i="33" s="1"/>
  <c r="K108" i="33" s="1"/>
  <c r="L108" i="33" s="1"/>
  <c r="M108" i="33" s="1"/>
  <c r="J35" i="33"/>
  <c r="S37" i="33"/>
  <c r="AA37" i="33"/>
  <c r="S39" i="33"/>
  <c r="F101" i="33"/>
  <c r="G101" i="33" s="1"/>
  <c r="H101" i="33" s="1"/>
  <c r="I101" i="33"/>
  <c r="J101" i="33" s="1"/>
  <c r="K101" i="33" s="1"/>
  <c r="L101" i="33" s="1"/>
  <c r="M101" i="33" s="1"/>
  <c r="J32" i="33"/>
  <c r="AC32" i="33" s="1"/>
  <c r="S46" i="33"/>
  <c r="W43" i="33"/>
  <c r="S43" i="33"/>
  <c r="F91" i="33"/>
  <c r="G91" i="33" s="1"/>
  <c r="H91" i="33" s="1"/>
  <c r="H27" i="33"/>
  <c r="F87" i="33"/>
  <c r="G87" i="33" s="1"/>
  <c r="H87" i="33" s="1"/>
  <c r="H25" i="33"/>
  <c r="F25" i="33"/>
  <c r="J23" i="33"/>
  <c r="F85" i="33"/>
  <c r="H23" i="33"/>
  <c r="AB23" i="33" s="1"/>
  <c r="F81" i="33"/>
  <c r="G81" i="33" s="1"/>
  <c r="F19" i="33"/>
  <c r="S19" i="33"/>
  <c r="W19" i="33"/>
  <c r="J17" i="33"/>
  <c r="W17" i="33" s="1"/>
  <c r="F79" i="33"/>
  <c r="S15" i="33"/>
  <c r="W15" i="33"/>
  <c r="U9" i="33"/>
  <c r="J10" i="33"/>
  <c r="W10" i="33" s="1"/>
  <c r="H10" i="33"/>
  <c r="U10" i="33" s="1"/>
  <c r="AC11"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AC17" i="21"/>
  <c r="AC19" i="21"/>
  <c r="W39" i="21"/>
  <c r="W30" i="21"/>
  <c r="S46" i="21"/>
  <c r="H45" i="21"/>
  <c r="U45" i="21"/>
  <c r="F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S17" i="37"/>
  <c r="J19" i="37"/>
  <c r="W19" i="37" s="1"/>
  <c r="G75" i="37"/>
  <c r="S19" i="37"/>
  <c r="AA19" i="37"/>
  <c r="AA23" i="37"/>
  <c r="J23" i="37"/>
  <c r="J10" i="37"/>
  <c r="W10" i="37" s="1"/>
  <c r="G63" i="37"/>
  <c r="H63" i="37" s="1"/>
  <c r="H11" i="37"/>
  <c r="AB11" i="37" s="1"/>
  <c r="H11" i="34"/>
  <c r="U11" i="34" s="1"/>
  <c r="J10" i="34"/>
  <c r="AC10" i="34" s="1"/>
  <c r="AB41" i="33"/>
  <c r="W35" i="33"/>
  <c r="AC35" i="33"/>
  <c r="H111" i="33"/>
  <c r="I111" i="33" s="1"/>
  <c r="J111" i="33" s="1"/>
  <c r="K111" i="33" s="1"/>
  <c r="L111" i="33" s="1"/>
  <c r="M111" i="33" s="1"/>
  <c r="J36" i="33"/>
  <c r="W36" i="33" s="1"/>
  <c r="H36" i="33"/>
  <c r="U36" i="33" s="1"/>
  <c r="W32" i="33"/>
  <c r="U27" i="33"/>
  <c r="AB27" i="33"/>
  <c r="I91" i="33"/>
  <c r="J91" i="33" s="1"/>
  <c r="K91" i="33" s="1"/>
  <c r="L91" i="33" s="1"/>
  <c r="M91" i="33"/>
  <c r="J27" i="33"/>
  <c r="AC27" i="33" s="1"/>
  <c r="S25" i="33"/>
  <c r="AA25" i="33"/>
  <c r="I87" i="33"/>
  <c r="J87" i="33" s="1"/>
  <c r="K87" i="33" s="1"/>
  <c r="L87" i="33" s="1"/>
  <c r="M87" i="33" s="1"/>
  <c r="J25" i="33"/>
  <c r="U23" i="33"/>
  <c r="F23" i="33"/>
  <c r="S23" i="33" s="1"/>
  <c r="G85" i="33"/>
  <c r="AC23" i="33"/>
  <c r="W23" i="33"/>
  <c r="AA19" i="33"/>
  <c r="H19" i="33"/>
  <c r="G79" i="33"/>
  <c r="H17" i="33"/>
  <c r="U17" i="33" s="1"/>
  <c r="F17" i="33"/>
  <c r="S17" i="33" s="1"/>
  <c r="AC17" i="33"/>
  <c r="S37" i="21"/>
  <c r="AA23" i="21"/>
  <c r="J23" i="21"/>
  <c r="AC23" i="21" s="1"/>
  <c r="F85" i="21"/>
  <c r="G85" i="21"/>
  <c r="H23" i="21"/>
  <c r="S13" i="21"/>
  <c r="D6" i="52"/>
  <c r="AP7" i="1"/>
  <c r="AB45" i="21"/>
  <c r="AB9" i="21"/>
  <c r="U9" i="21"/>
  <c r="AA32" i="21"/>
  <c r="S32" i="21"/>
  <c r="AC9" i="21"/>
  <c r="AB32" i="21"/>
  <c r="U32" i="21"/>
  <c r="U32" i="39"/>
  <c r="AC32" i="39"/>
  <c r="W32" i="39"/>
  <c r="AC19" i="37"/>
  <c r="W23" i="37"/>
  <c r="AC23" i="37"/>
  <c r="I63" i="37"/>
  <c r="J63" i="37"/>
  <c r="K63" i="37" s="1"/>
  <c r="L63" i="37" s="1"/>
  <c r="M63" i="37" s="1"/>
  <c r="J11" i="37"/>
  <c r="AC11" i="37" s="1"/>
  <c r="H70" i="34"/>
  <c r="I70" i="34" s="1"/>
  <c r="J70" i="34" s="1"/>
  <c r="K70" i="34" s="1"/>
  <c r="L70" i="34" s="1"/>
  <c r="M70" i="34" s="1"/>
  <c r="J11" i="34"/>
  <c r="W11" i="34" s="1"/>
  <c r="W27" i="33"/>
  <c r="W25" i="33"/>
  <c r="AC25" i="33"/>
  <c r="AB19" i="33"/>
  <c r="U19" i="33"/>
  <c r="U23" i="21"/>
  <c r="AB23" i="21"/>
  <c r="H109" i="9"/>
  <c r="H112" i="9"/>
  <c r="D21" i="53" s="1"/>
  <c r="B39" i="72" s="1"/>
  <c r="H111" i="9"/>
  <c r="AD3" i="71"/>
  <c r="C22" i="71"/>
  <c r="C21" i="71" s="1"/>
  <c r="C20" i="71" s="1"/>
  <c r="C19" i="71" s="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D21" i="71"/>
  <c r="D20" i="71"/>
  <c r="U20" i="71"/>
  <c r="F16" i="15"/>
  <c r="B7" i="76"/>
  <c r="C76" i="15"/>
  <c r="J15" i="15"/>
  <c r="M8" i="67"/>
  <c r="F8" i="67"/>
  <c r="F37" i="67"/>
  <c r="M28" i="15"/>
  <c r="F42" i="67"/>
  <c r="M24" i="67"/>
  <c r="E8" i="76"/>
  <c r="F26" i="15"/>
  <c r="F9" i="67"/>
  <c r="M6" i="15"/>
  <c r="E12" i="76"/>
  <c r="B9" i="76"/>
  <c r="F20" i="31"/>
  <c r="D34" i="9"/>
  <c r="L48" i="15"/>
  <c r="F6" i="73"/>
  <c r="L47" i="15"/>
  <c r="F42" i="15"/>
  <c r="F7" i="67"/>
  <c r="F8" i="15"/>
  <c r="L48" i="67"/>
  <c r="M28" i="67"/>
  <c r="F26" i="67"/>
  <c r="F16" i="67"/>
  <c r="E11" i="76"/>
  <c r="F3" i="73"/>
  <c r="F6" i="67"/>
  <c r="B11" i="76"/>
  <c r="E9" i="76"/>
  <c r="J15" i="67"/>
  <c r="F40" i="67"/>
  <c r="M24" i="15"/>
  <c r="B10" i="76"/>
  <c r="B8" i="76"/>
  <c r="E7" i="76"/>
  <c r="AO13" i="1"/>
  <c r="M9" i="67"/>
  <c r="M23" i="15"/>
  <c r="F7" i="73"/>
  <c r="M26" i="67"/>
  <c r="F37" i="15"/>
  <c r="M23" i="67"/>
  <c r="M6" i="67"/>
  <c r="D35" i="9"/>
  <c r="F38" i="15"/>
  <c r="L47" i="67"/>
  <c r="F9" i="15"/>
  <c r="E13" i="76"/>
  <c r="F5" i="73"/>
  <c r="B12" i="76"/>
  <c r="E2" i="68"/>
  <c r="M29" i="67"/>
  <c r="F7" i="15"/>
  <c r="M22" i="67"/>
  <c r="E2" i="69"/>
  <c r="F40" i="15"/>
  <c r="M8" i="15"/>
  <c r="F36" i="67"/>
  <c r="F4" i="73"/>
  <c r="B13" i="76"/>
  <c r="E10" i="76"/>
  <c r="F38" i="67"/>
  <c r="F28" i="15" l="1"/>
  <c r="F52" i="9"/>
  <c r="F32" i="15"/>
  <c r="F60" i="15" s="1"/>
  <c r="F31" i="12"/>
  <c r="F28" i="67"/>
  <c r="F54" i="9"/>
  <c r="F30" i="69"/>
  <c r="F48" i="69" s="1"/>
  <c r="D68" i="9"/>
  <c r="F32" i="67"/>
  <c r="F60" i="67" s="1"/>
  <c r="F30" i="68"/>
  <c r="F48" i="68" s="1"/>
  <c r="C40" i="69"/>
  <c r="C21" i="68"/>
  <c r="G6" i="1"/>
  <c r="I24" i="43"/>
  <c r="F28" i="6"/>
  <c r="H5" i="3"/>
  <c r="H69" i="43"/>
  <c r="H67" i="43"/>
  <c r="A4" i="52"/>
  <c r="B41" i="72" s="1"/>
  <c r="A2" i="9"/>
  <c r="A118" i="9"/>
  <c r="J1" i="73"/>
  <c r="AZ525" i="3"/>
  <c r="U25" i="33"/>
  <c r="AB25" i="33"/>
  <c r="AA36" i="33"/>
  <c r="S36" i="33"/>
  <c r="AZ563" i="3"/>
  <c r="AZ571" i="3"/>
  <c r="AZ579" i="3"/>
  <c r="AA17" i="33"/>
  <c r="E15" i="71"/>
  <c r="E14" i="71" s="1"/>
  <c r="E13" i="71" s="1"/>
  <c r="E12" i="71" s="1"/>
  <c r="V16" i="71"/>
  <c r="D126" i="9"/>
  <c r="D19" i="53"/>
  <c r="B38" i="72" s="1"/>
  <c r="C18" i="71"/>
  <c r="D19" i="71"/>
  <c r="M49" i="9"/>
  <c r="D16" i="53"/>
  <c r="B34" i="72" s="1"/>
  <c r="T20" i="71"/>
  <c r="W23" i="21"/>
  <c r="AB17" i="33"/>
  <c r="AA23" i="33"/>
  <c r="AB36" i="33"/>
  <c r="AA29" i="21"/>
  <c r="S29" i="21"/>
  <c r="AZ557" i="3"/>
  <c r="AZ513" i="3"/>
  <c r="AA20" i="36"/>
  <c r="S34" i="33"/>
  <c r="AB35" i="40"/>
  <c r="U12" i="40"/>
  <c r="AC11" i="39"/>
  <c r="W15" i="37"/>
  <c r="W40" i="37"/>
  <c r="U11" i="33"/>
  <c r="AA13" i="33"/>
  <c r="S45" i="33"/>
  <c r="AB26" i="33"/>
  <c r="W13" i="34"/>
  <c r="W11" i="35"/>
  <c r="AC11" i="35"/>
  <c r="U46" i="34"/>
  <c r="U45" i="33"/>
  <c r="W31" i="33"/>
  <c r="H14" i="21"/>
  <c r="AA29" i="35"/>
  <c r="J44" i="21"/>
  <c r="F44" i="21"/>
  <c r="AC39" i="33"/>
  <c r="W39" i="33"/>
  <c r="AA27" i="35"/>
  <c r="S27" i="35"/>
  <c r="H12" i="36"/>
  <c r="F12" i="36"/>
  <c r="J12" i="36"/>
  <c r="W16" i="36"/>
  <c r="AC16" i="36"/>
  <c r="AB30" i="37"/>
  <c r="U30" i="37"/>
  <c r="AB9" i="39"/>
  <c r="U9" i="39"/>
  <c r="AA40" i="39"/>
  <c r="S40" i="39"/>
  <c r="J39" i="40"/>
  <c r="H39" i="40"/>
  <c r="U43" i="33"/>
  <c r="AB42" i="33"/>
  <c r="AA41" i="34"/>
  <c r="S22" i="36"/>
  <c r="BL585" i="3"/>
  <c r="AZ585" i="3" s="1"/>
  <c r="H23" i="36"/>
  <c r="F23" i="36"/>
  <c r="J23" i="36"/>
  <c r="H33" i="36"/>
  <c r="J33" i="36"/>
  <c r="AC33" i="36" s="1"/>
  <c r="F33" i="36"/>
  <c r="AC8" i="40"/>
  <c r="W8" i="40"/>
  <c r="AA41" i="21"/>
  <c r="S41" i="21"/>
  <c r="W38" i="34"/>
  <c r="AC38" i="34"/>
  <c r="C28" i="67"/>
  <c r="S34" i="39"/>
  <c r="AC33" i="33"/>
  <c r="W33" i="33"/>
  <c r="AB35" i="33"/>
  <c r="U35" i="33"/>
  <c r="U12" i="35"/>
  <c r="AB12" i="35"/>
  <c r="H14" i="33"/>
  <c r="J14" i="33"/>
  <c r="H13" i="34"/>
  <c r="F13" i="34"/>
  <c r="H50" i="43"/>
  <c r="AB15" i="21"/>
  <c r="M18" i="15"/>
  <c r="M18" i="67"/>
  <c r="F30" i="11"/>
  <c r="C48" i="11" s="1"/>
  <c r="AA39" i="39"/>
  <c r="S20" i="35"/>
  <c r="AA12" i="39"/>
  <c r="AA27" i="40"/>
  <c r="AB27" i="40"/>
  <c r="AA12" i="40"/>
  <c r="BM5" i="3"/>
  <c r="F29" i="6" s="1"/>
  <c r="AA12" i="21"/>
  <c r="AB30" i="21"/>
  <c r="F38" i="37"/>
  <c r="J14" i="21"/>
  <c r="AC34" i="35"/>
  <c r="W34" i="35"/>
  <c r="AC36" i="35"/>
  <c r="W36" i="35"/>
  <c r="AC31" i="40"/>
  <c r="W31" i="40"/>
  <c r="U34" i="35"/>
  <c r="F9" i="33"/>
  <c r="AA9" i="33" s="1"/>
  <c r="F9" i="36"/>
  <c r="J40" i="40"/>
  <c r="G551" i="3"/>
  <c r="B79" i="43"/>
  <c r="B75" i="43"/>
  <c r="J12" i="33"/>
  <c r="H12" i="33"/>
  <c r="BL548" i="3"/>
  <c r="AZ548" i="3" s="1"/>
  <c r="AZ407" i="3"/>
  <c r="AZ410" i="3"/>
  <c r="AZ427" i="3"/>
  <c r="AZ430" i="3"/>
  <c r="AZ440" i="3"/>
  <c r="AZ447" i="3"/>
  <c r="AZ452" i="3"/>
  <c r="AZ456" i="3"/>
  <c r="AZ462" i="3"/>
  <c r="AZ416" i="3"/>
  <c r="AZ423" i="3"/>
  <c r="AZ431" i="3"/>
  <c r="AZ434" i="3"/>
  <c r="AZ438" i="3"/>
  <c r="AZ443" i="3"/>
  <c r="AZ444" i="3"/>
  <c r="AZ445" i="3"/>
  <c r="AZ448" i="3"/>
  <c r="AZ449" i="3"/>
  <c r="AZ463" i="3"/>
  <c r="AZ466" i="3"/>
  <c r="AZ402" i="3"/>
  <c r="AZ404" i="3"/>
  <c r="AZ419" i="3"/>
  <c r="AZ421" i="3"/>
  <c r="AZ425" i="3"/>
  <c r="AZ469" i="3"/>
  <c r="BL468" i="3"/>
  <c r="AZ468" i="3" s="1"/>
  <c r="AZ487" i="3"/>
  <c r="AZ316" i="3"/>
  <c r="A15" i="62"/>
  <c r="B61" i="72" s="1"/>
  <c r="BL461" i="3"/>
  <c r="BA470" i="3"/>
  <c r="AZ470" i="3" s="1"/>
  <c r="BA473" i="3"/>
  <c r="AZ473" i="3" s="1"/>
  <c r="AZ479" i="3"/>
  <c r="AZ208" i="3"/>
  <c r="AZ210" i="3"/>
  <c r="AZ216" i="3"/>
  <c r="AZ225" i="3"/>
  <c r="AZ461" i="3"/>
  <c r="AZ211" i="3"/>
  <c r="AZ212" i="3"/>
  <c r="AZ230" i="3"/>
  <c r="BA465" i="3"/>
  <c r="AZ465" i="3" s="1"/>
  <c r="BL469" i="3"/>
  <c r="AZ483" i="3"/>
  <c r="AZ217" i="3"/>
  <c r="AZ220" i="3"/>
  <c r="AZ262" i="3"/>
  <c r="AZ267" i="3"/>
  <c r="AZ282" i="3"/>
  <c r="AZ285" i="3"/>
  <c r="AZ290" i="3"/>
  <c r="AZ293" i="3"/>
  <c r="AZ302" i="3"/>
  <c r="AZ126" i="3"/>
  <c r="AZ22" i="3"/>
  <c r="AZ25" i="3"/>
  <c r="BL225" i="3"/>
  <c r="BL234" i="3"/>
  <c r="AZ234" i="3" s="1"/>
  <c r="BA236" i="3"/>
  <c r="AZ236" i="3" s="1"/>
  <c r="BA237" i="3"/>
  <c r="AZ237" i="3" s="1"/>
  <c r="BA238" i="3"/>
  <c r="AZ238" i="3" s="1"/>
  <c r="BL240" i="3"/>
  <c r="AZ240" i="3" s="1"/>
  <c r="BA242" i="3"/>
  <c r="AZ242" i="3" s="1"/>
  <c r="BA243" i="3"/>
  <c r="AZ243" i="3" s="1"/>
  <c r="AZ244" i="3"/>
  <c r="BL248" i="3"/>
  <c r="AZ248" i="3" s="1"/>
  <c r="BL250" i="3"/>
  <c r="AZ250" i="3" s="1"/>
  <c r="BA258" i="3"/>
  <c r="AZ258" i="3" s="1"/>
  <c r="AZ274" i="3"/>
  <c r="AZ277" i="3"/>
  <c r="AZ294" i="3"/>
  <c r="AZ134" i="3"/>
  <c r="AZ169" i="3"/>
  <c r="AZ177" i="3"/>
  <c r="AZ207" i="3"/>
  <c r="AZ23" i="3"/>
  <c r="AZ44" i="3"/>
  <c r="BA221" i="3"/>
  <c r="AZ221" i="3" s="1"/>
  <c r="BA222" i="3"/>
  <c r="AZ222" i="3" s="1"/>
  <c r="BA223" i="3"/>
  <c r="AZ223" i="3" s="1"/>
  <c r="BA224" i="3"/>
  <c r="AZ224" i="3" s="1"/>
  <c r="BL231" i="3"/>
  <c r="AZ231" i="3" s="1"/>
  <c r="BL235" i="3"/>
  <c r="AZ235" i="3" s="1"/>
  <c r="BL241" i="3"/>
  <c r="AZ241" i="3" s="1"/>
  <c r="BA246" i="3"/>
  <c r="AZ246" i="3" s="1"/>
  <c r="BA253" i="3"/>
  <c r="AZ253" i="3" s="1"/>
  <c r="AZ255" i="3"/>
  <c r="BL260" i="3"/>
  <c r="AZ260" i="3" s="1"/>
  <c r="BL265" i="3"/>
  <c r="AZ265" i="3" s="1"/>
  <c r="AZ272" i="3"/>
  <c r="AZ278" i="3"/>
  <c r="AZ129" i="3"/>
  <c r="AZ185" i="3"/>
  <c r="AZ205" i="3"/>
  <c r="AZ18" i="3"/>
  <c r="AZ36" i="3"/>
  <c r="AZ40" i="3"/>
  <c r="AZ60" i="3"/>
  <c r="BA43" i="3"/>
  <c r="AZ43" i="3" s="1"/>
  <c r="G47" i="3"/>
  <c r="G50" i="3"/>
  <c r="BA54" i="3"/>
  <c r="AZ54" i="3" s="1"/>
  <c r="BA57" i="3"/>
  <c r="AZ57" i="3" s="1"/>
  <c r="BL61" i="3"/>
  <c r="AZ61" i="3" s="1"/>
  <c r="BL64" i="3"/>
  <c r="G66" i="3"/>
  <c r="BA68" i="3"/>
  <c r="AZ68" i="3" s="1"/>
  <c r="G71" i="3"/>
  <c r="G73" i="3"/>
  <c r="G78" i="3"/>
  <c r="G83" i="3"/>
  <c r="BL94" i="3"/>
  <c r="AZ94" i="3" s="1"/>
  <c r="G98" i="3"/>
  <c r="BL103" i="3"/>
  <c r="BA106" i="3"/>
  <c r="AZ106" i="3" s="1"/>
  <c r="BA109" i="3"/>
  <c r="AZ109" i="3" s="1"/>
  <c r="G42" i="3"/>
  <c r="BA46" i="3"/>
  <c r="AZ46" i="3" s="1"/>
  <c r="BA49" i="3"/>
  <c r="AZ49" i="3" s="1"/>
  <c r="BL53" i="3"/>
  <c r="AZ53" i="3" s="1"/>
  <c r="AZ64" i="3"/>
  <c r="AZ90" i="3"/>
  <c r="AZ92" i="3"/>
  <c r="AZ103" i="3"/>
  <c r="BA59" i="3"/>
  <c r="AZ59" i="3" s="1"/>
  <c r="G63" i="3"/>
  <c r="BA65" i="3"/>
  <c r="AZ65" i="3" s="1"/>
  <c r="BL67" i="3"/>
  <c r="BA70" i="3"/>
  <c r="AZ70" i="3" s="1"/>
  <c r="BA72" i="3"/>
  <c r="AZ72" i="3" s="1"/>
  <c r="BA75" i="3"/>
  <c r="AZ75" i="3" s="1"/>
  <c r="BA77" i="3"/>
  <c r="AZ77" i="3" s="1"/>
  <c r="BA80" i="3"/>
  <c r="AZ80" i="3" s="1"/>
  <c r="BA82" i="3"/>
  <c r="AZ82" i="3" s="1"/>
  <c r="BA84" i="3"/>
  <c r="AZ84" i="3" s="1"/>
  <c r="BA86" i="3"/>
  <c r="AZ86" i="3" s="1"/>
  <c r="BA89" i="3"/>
  <c r="AZ89" i="3" s="1"/>
  <c r="AZ91" i="3"/>
  <c r="BA95" i="3"/>
  <c r="AZ95" i="3" s="1"/>
  <c r="BA97" i="3"/>
  <c r="AZ97" i="3" s="1"/>
  <c r="AZ99" i="3"/>
  <c r="BA104" i="3"/>
  <c r="AZ104" i="3" s="1"/>
  <c r="G107" i="3"/>
  <c r="BL108" i="3"/>
  <c r="AZ108" i="3" s="1"/>
  <c r="AZ112" i="3"/>
  <c r="BL38" i="3"/>
  <c r="AZ38" i="3" s="1"/>
  <c r="BA51" i="3"/>
  <c r="AZ51" i="3" s="1"/>
  <c r="G58" i="3"/>
  <c r="BA62" i="3"/>
  <c r="AZ62" i="3" s="1"/>
  <c r="BA67" i="3"/>
  <c r="BA73" i="3"/>
  <c r="AZ73" i="3" s="1"/>
  <c r="K13" i="1"/>
  <c r="M13" i="1" s="1"/>
  <c r="O13" i="1" s="1"/>
  <c r="P13" i="1" s="1"/>
  <c r="B13" i="1"/>
  <c r="E13" i="1" s="1"/>
  <c r="AB21" i="21"/>
  <c r="S21" i="37"/>
  <c r="F3" i="35"/>
  <c r="AC21" i="33"/>
  <c r="P65" i="71"/>
  <c r="P66" i="71"/>
  <c r="AB18" i="36"/>
  <c r="U18" i="36"/>
  <c r="U18" i="35"/>
  <c r="T52" i="71"/>
  <c r="D52" i="71"/>
  <c r="T32" i="71"/>
  <c r="D32" i="71"/>
  <c r="C55" i="71"/>
  <c r="D54" i="71"/>
  <c r="N67" i="71"/>
  <c r="B66" i="71"/>
  <c r="Y31" i="71"/>
  <c r="Z31" i="71" s="1"/>
  <c r="Y33" i="71"/>
  <c r="Z33" i="71" s="1"/>
  <c r="AB24" i="71"/>
  <c r="Y23" i="71"/>
  <c r="Z23" i="71" s="1"/>
  <c r="Y22" i="71"/>
  <c r="Z22" i="71" s="1"/>
  <c r="AB21" i="71"/>
  <c r="X18" i="71"/>
  <c r="Y18" i="71"/>
  <c r="Z18" i="71" s="1"/>
  <c r="AB18" i="71"/>
  <c r="AA14" i="71"/>
  <c r="Y17" i="71"/>
  <c r="Z17" i="71" s="1"/>
  <c r="AA11" i="71"/>
  <c r="S21" i="21"/>
  <c r="D60" i="71"/>
  <c r="D27" i="71"/>
  <c r="C70" i="71"/>
  <c r="D70" i="71" s="1"/>
  <c r="AA27" i="71"/>
  <c r="AB27" i="71"/>
  <c r="X28" i="71"/>
  <c r="Y37" i="71"/>
  <c r="Z37" i="71" s="1"/>
  <c r="AB33" i="71"/>
  <c r="X31" i="71"/>
  <c r="X29" i="71"/>
  <c r="X30" i="71"/>
  <c r="AB31" i="71"/>
  <c r="Y32" i="71"/>
  <c r="Z32" i="71" s="1"/>
  <c r="AB30" i="71"/>
  <c r="E34" i="71"/>
  <c r="E35" i="71" s="1"/>
  <c r="E36" i="71" s="1"/>
  <c r="U36" i="71" s="1"/>
  <c r="AA33" i="71"/>
  <c r="X34" i="71"/>
  <c r="X36" i="71"/>
  <c r="X32" i="71"/>
  <c r="AB36" i="71"/>
  <c r="AB37" i="71"/>
  <c r="Y38" i="71"/>
  <c r="Z38" i="71" s="1"/>
  <c r="AA9" i="71"/>
  <c r="X17" i="71"/>
  <c r="AA18" i="71"/>
  <c r="AB11" i="71"/>
  <c r="D43" i="71"/>
  <c r="AA26" i="71"/>
  <c r="AB26" i="71"/>
  <c r="E71" i="71"/>
  <c r="E70" i="71" s="1"/>
  <c r="C47" i="71"/>
  <c r="D47" i="71" s="1"/>
  <c r="AA30" i="71"/>
  <c r="AB29" i="71"/>
  <c r="Y30" i="71"/>
  <c r="Z30" i="71" s="1"/>
  <c r="Y36" i="71"/>
  <c r="Z36" i="71" s="1"/>
  <c r="B38" i="71"/>
  <c r="B39" i="71" s="1"/>
  <c r="B40" i="71" s="1"/>
  <c r="S40" i="71" s="1"/>
  <c r="X37" i="71"/>
  <c r="X10" i="71"/>
  <c r="X9" i="71"/>
  <c r="AB9" i="71"/>
  <c r="B47" i="71"/>
  <c r="B48" i="71" s="1"/>
  <c r="S48" i="71" s="1"/>
  <c r="F75" i="71"/>
  <c r="F74" i="71" s="1"/>
  <c r="Y25" i="71"/>
  <c r="Z25" i="71" s="1"/>
  <c r="Y27" i="71"/>
  <c r="Z27" i="71" s="1"/>
  <c r="AA17" i="71"/>
  <c r="X15" i="71"/>
  <c r="X11" i="71"/>
  <c r="X13" i="71"/>
  <c r="X14" i="71"/>
  <c r="AB17" i="71"/>
  <c r="X12" i="71"/>
  <c r="AA25" i="71"/>
  <c r="AB25" i="71"/>
  <c r="D42" i="71"/>
  <c r="Y26" i="71"/>
  <c r="Z26" i="71" s="1"/>
  <c r="C34" i="71"/>
  <c r="X26" i="71"/>
  <c r="AA34" i="71"/>
  <c r="AA36" i="71"/>
  <c r="Y9" i="71"/>
  <c r="Z9" i="71" s="1"/>
  <c r="Y39" i="71"/>
  <c r="Z39" i="71" s="1"/>
  <c r="Y10" i="71"/>
  <c r="Z10" i="71" s="1"/>
  <c r="AA24" i="71"/>
  <c r="X24" i="71"/>
  <c r="AA22" i="71"/>
  <c r="AB23" i="71"/>
  <c r="X21" i="71"/>
  <c r="Y14" i="71"/>
  <c r="Z14" i="71" s="1"/>
  <c r="AB13" i="71"/>
  <c r="Y11" i="71"/>
  <c r="Z11" i="71" s="1"/>
  <c r="Y24" i="71"/>
  <c r="Z24" i="71" s="1"/>
  <c r="AA21" i="71"/>
  <c r="AB12" i="71"/>
  <c r="K56" i="9"/>
  <c r="AA23" i="71"/>
  <c r="X22" i="71"/>
  <c r="AA15" i="71"/>
  <c r="AA12" i="71"/>
  <c r="Y12" i="71"/>
  <c r="Z12" i="71" s="1"/>
  <c r="Y13" i="71"/>
  <c r="Z13" i="71" s="1"/>
  <c r="N56" i="9"/>
  <c r="AB15" i="71"/>
  <c r="AB10" i="71"/>
  <c r="AB14" i="71"/>
  <c r="AA13"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66" i="67"/>
  <c r="L59" i="15"/>
  <c r="N59" i="15"/>
  <c r="L58" i="15"/>
  <c r="M59" i="15"/>
  <c r="F66" i="15"/>
  <c r="C27" i="67"/>
  <c r="C27" i="15"/>
  <c r="F65" i="15"/>
  <c r="N59" i="67"/>
  <c r="L59" i="67"/>
  <c r="L58" i="67"/>
  <c r="M59" i="67"/>
  <c r="B13" i="70"/>
  <c r="M7" i="67"/>
  <c r="J6" i="67" s="1"/>
  <c r="F50" i="67"/>
  <c r="F68" i="67"/>
  <c r="F64" i="67"/>
  <c r="F68" i="15"/>
  <c r="C36" i="68"/>
  <c r="D9" i="68"/>
  <c r="C76" i="67"/>
  <c r="M26" i="15"/>
  <c r="F43" i="15"/>
  <c r="F13" i="15"/>
  <c r="D9" i="69"/>
  <c r="F6" i="15"/>
  <c r="D6" i="73"/>
  <c r="F36" i="15"/>
  <c r="F43" i="67"/>
  <c r="D4" i="73"/>
  <c r="F13" i="67"/>
  <c r="M22" i="15"/>
  <c r="C36" i="69"/>
  <c r="M9" i="15"/>
  <c r="M29" i="15"/>
  <c r="D3" i="73"/>
  <c r="C16" i="15"/>
  <c r="D5" i="73"/>
  <c r="D7" i="73"/>
  <c r="C30" i="69" l="1"/>
  <c r="C31" i="12"/>
  <c r="H16" i="1"/>
  <c r="G16" i="1"/>
  <c r="F10" i="39" s="1"/>
  <c r="S10" i="39" s="1"/>
  <c r="K16" i="1"/>
  <c r="H26" i="43"/>
  <c r="J26" i="43"/>
  <c r="F26" i="43"/>
  <c r="D26" i="43" s="1"/>
  <c r="C25" i="43" s="1"/>
  <c r="P6" i="1"/>
  <c r="C13" i="12" s="1"/>
  <c r="Q16" i="1"/>
  <c r="E26" i="43"/>
  <c r="J7" i="36"/>
  <c r="H7" i="36"/>
  <c r="F71" i="67"/>
  <c r="F71" i="15"/>
  <c r="Q71" i="67"/>
  <c r="F31" i="15"/>
  <c r="C6" i="15"/>
  <c r="F64" i="15"/>
  <c r="K1" i="73"/>
  <c r="N65" i="71"/>
  <c r="N66" i="71"/>
  <c r="AZ67" i="3"/>
  <c r="AA9" i="36"/>
  <c r="S9" i="36"/>
  <c r="BA5" i="3"/>
  <c r="E27" i="6" s="1"/>
  <c r="K26" i="6" s="1"/>
  <c r="M26" i="6" s="1"/>
  <c r="I26" i="6" s="1"/>
  <c r="S26" i="6" s="1"/>
  <c r="W14" i="33"/>
  <c r="AC14" i="33"/>
  <c r="S33" i="36"/>
  <c r="AA33" i="36"/>
  <c r="AA23" i="36"/>
  <c r="S23" i="36"/>
  <c r="W39" i="40"/>
  <c r="AC39" i="40"/>
  <c r="AA44" i="21"/>
  <c r="S44" i="21"/>
  <c r="J7" i="37"/>
  <c r="AC7" i="37" s="1"/>
  <c r="V42" i="37" s="1"/>
  <c r="I42" i="37" s="1"/>
  <c r="AZ5" i="3"/>
  <c r="AY6" i="3" s="1"/>
  <c r="AC14" i="21"/>
  <c r="W14" i="21"/>
  <c r="U14" i="33"/>
  <c r="AB14" i="33"/>
  <c r="AB23" i="36"/>
  <c r="U23" i="36"/>
  <c r="W12" i="36"/>
  <c r="AC12" i="36"/>
  <c r="AC44" i="21"/>
  <c r="W44" i="21"/>
  <c r="G5" i="3"/>
  <c r="B3" i="3" s="1"/>
  <c r="E66" i="3" s="1"/>
  <c r="E11" i="71"/>
  <c r="E10" i="71" s="1"/>
  <c r="E9" i="71" s="1"/>
  <c r="E8" i="71" s="1"/>
  <c r="E7" i="71" s="1"/>
  <c r="E6" i="71" s="1"/>
  <c r="E5" i="71" s="1"/>
  <c r="V12" i="71"/>
  <c r="B15" i="71"/>
  <c r="B14" i="71" s="1"/>
  <c r="B13" i="71" s="1"/>
  <c r="B12" i="71" s="1"/>
  <c r="S16" i="71"/>
  <c r="E58" i="3"/>
  <c r="U12" i="33"/>
  <c r="AB12" i="33"/>
  <c r="S38" i="37"/>
  <c r="AA38" i="37"/>
  <c r="AA13" i="34"/>
  <c r="S13" i="34"/>
  <c r="AB33" i="36"/>
  <c r="U33" i="36"/>
  <c r="S12" i="36"/>
  <c r="AA12" i="36"/>
  <c r="BL5" i="3"/>
  <c r="C17" i="71"/>
  <c r="D18" i="71"/>
  <c r="J6" i="15"/>
  <c r="J18" i="15" s="1"/>
  <c r="C35" i="71"/>
  <c r="D34" i="71"/>
  <c r="C56" i="71"/>
  <c r="D55" i="71"/>
  <c r="E47" i="3"/>
  <c r="AC12" i="33"/>
  <c r="W12" i="33"/>
  <c r="W40" i="40"/>
  <c r="AC40" i="40"/>
  <c r="U13" i="34"/>
  <c r="AB13" i="34"/>
  <c r="AC23" i="36"/>
  <c r="W23" i="36"/>
  <c r="U39" i="40"/>
  <c r="AB39" i="40"/>
  <c r="AB12" i="36"/>
  <c r="U12" i="36"/>
  <c r="U14" i="21"/>
  <c r="AB14" i="2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H10" i="39"/>
  <c r="U10" i="39" s="1"/>
  <c r="F10" i="40"/>
  <c r="S10" i="40" s="1"/>
  <c r="H10" i="40"/>
  <c r="AB10" i="40" s="1"/>
  <c r="C7" i="43"/>
  <c r="C5" i="43" s="1"/>
  <c r="D10" i="52"/>
  <c r="D125" i="9"/>
  <c r="D11" i="52" s="1"/>
  <c r="B7" i="74"/>
  <c r="C7" i="74" s="1"/>
  <c r="F59" i="67"/>
  <c r="H7" i="37"/>
  <c r="AB7" i="37" s="1"/>
  <c r="T42" i="37" s="1"/>
  <c r="G42" i="37" s="1"/>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F27" i="69"/>
  <c r="AE6" i="1"/>
  <c r="G1" i="73"/>
  <c r="C16" i="67"/>
  <c r="F45" i="69" l="1"/>
  <c r="J10" i="39"/>
  <c r="W10" i="39" s="1"/>
  <c r="C29" i="69"/>
  <c r="D27" i="69" s="1"/>
  <c r="C47" i="69"/>
  <c r="D45" i="69" s="1"/>
  <c r="F28" i="12"/>
  <c r="C29" i="12" s="1"/>
  <c r="D28" i="12" s="1"/>
  <c r="E3" i="6"/>
  <c r="F27" i="11"/>
  <c r="C29" i="11" s="1"/>
  <c r="D27" i="11" s="1"/>
  <c r="E98" i="3"/>
  <c r="E69" i="39"/>
  <c r="J5" i="15"/>
  <c r="J24" i="15" s="1"/>
  <c r="B40" i="1"/>
  <c r="L36" i="43" s="1"/>
  <c r="L37" i="43" s="1"/>
  <c r="E65" i="39"/>
  <c r="C36" i="71"/>
  <c r="D35" i="71"/>
  <c r="E63" i="3"/>
  <c r="D56" i="71"/>
  <c r="T56" i="71"/>
  <c r="E510" i="3"/>
  <c r="E539" i="3"/>
  <c r="E536" i="3"/>
  <c r="E148" i="3"/>
  <c r="E212" i="3"/>
  <c r="E199" i="3"/>
  <c r="E286" i="3"/>
  <c r="E575" i="3"/>
  <c r="E499" i="3"/>
  <c r="R6" i="3"/>
  <c r="E442" i="3"/>
  <c r="E466" i="3"/>
  <c r="E541" i="3"/>
  <c r="E430" i="3"/>
  <c r="E449" i="3"/>
  <c r="E255" i="3"/>
  <c r="I3" i="6"/>
  <c r="AP6" i="3"/>
  <c r="E554" i="3"/>
  <c r="E517" i="3"/>
  <c r="E435" i="3"/>
  <c r="E491" i="3"/>
  <c r="E417" i="3"/>
  <c r="E479" i="3"/>
  <c r="E56" i="3"/>
  <c r="E37" i="3"/>
  <c r="E95" i="3"/>
  <c r="E152" i="3"/>
  <c r="E132" i="3"/>
  <c r="E192" i="3"/>
  <c r="E258" i="3"/>
  <c r="E241" i="3"/>
  <c r="E292" i="3"/>
  <c r="E349" i="3"/>
  <c r="E544" i="3"/>
  <c r="E76" i="3"/>
  <c r="E59" i="3"/>
  <c r="E409" i="3"/>
  <c r="E484" i="3"/>
  <c r="E425" i="3"/>
  <c r="E467" i="3"/>
  <c r="E64" i="3"/>
  <c r="E46" i="3"/>
  <c r="E103" i="3"/>
  <c r="E160" i="3"/>
  <c r="E142" i="3"/>
  <c r="E200" i="3"/>
  <c r="E267" i="3"/>
  <c r="E249" i="3"/>
  <c r="E300" i="3"/>
  <c r="E492" i="3"/>
  <c r="E23" i="3"/>
  <c r="E84" i="3"/>
  <c r="E67" i="3"/>
  <c r="E33" i="3"/>
  <c r="E144" i="3"/>
  <c r="E184" i="3"/>
  <c r="E233" i="3"/>
  <c r="E355" i="3"/>
  <c r="E68" i="3"/>
  <c r="E81" i="3"/>
  <c r="E118" i="3"/>
  <c r="E264" i="3"/>
  <c r="E283" i="3"/>
  <c r="E513" i="3"/>
  <c r="E21" i="3"/>
  <c r="E16" i="3"/>
  <c r="E140" i="3"/>
  <c r="E167" i="3"/>
  <c r="E105" i="3"/>
  <c r="E525" i="3"/>
  <c r="E542" i="3"/>
  <c r="E543" i="3"/>
  <c r="E456" i="3"/>
  <c r="E487" i="3"/>
  <c r="E422" i="3"/>
  <c r="E451" i="3"/>
  <c r="E374" i="3"/>
  <c r="AH6" i="3"/>
  <c r="E13" i="3"/>
  <c r="E413" i="3"/>
  <c r="E483" i="3"/>
  <c r="E420" i="3"/>
  <c r="E39" i="3"/>
  <c r="E25" i="3"/>
  <c r="E115" i="3"/>
  <c r="E187" i="3"/>
  <c r="E202" i="3"/>
  <c r="E281" i="3"/>
  <c r="E259" i="3"/>
  <c r="E346" i="3"/>
  <c r="E356" i="3"/>
  <c r="E504" i="3"/>
  <c r="E60" i="3"/>
  <c r="E75" i="3"/>
  <c r="E462" i="3"/>
  <c r="E15" i="3"/>
  <c r="E18" i="3"/>
  <c r="E100" i="3"/>
  <c r="E190" i="3"/>
  <c r="E163" i="3"/>
  <c r="E234" i="3"/>
  <c r="E235" i="3"/>
  <c r="E307" i="3"/>
  <c r="E325" i="3"/>
  <c r="E522" i="3"/>
  <c r="E36" i="3"/>
  <c r="E49" i="3"/>
  <c r="E127" i="3"/>
  <c r="E289" i="3"/>
  <c r="E370" i="3"/>
  <c r="Y6" i="3"/>
  <c r="E20" i="3"/>
  <c r="E113" i="3"/>
  <c r="E179" i="3"/>
  <c r="E265" i="3"/>
  <c r="E326" i="3"/>
  <c r="E82" i="3"/>
  <c r="E329" i="3"/>
  <c r="E149" i="3"/>
  <c r="E116" i="3"/>
  <c r="E369" i="3"/>
  <c r="E564" i="3"/>
  <c r="E405" i="3"/>
  <c r="E507" i="3"/>
  <c r="E408" i="3"/>
  <c r="E376" i="3"/>
  <c r="E497" i="3"/>
  <c r="E419" i="3"/>
  <c r="E470" i="3"/>
  <c r="E40" i="3"/>
  <c r="E41" i="3"/>
  <c r="E119" i="3"/>
  <c r="E297" i="3"/>
  <c r="E276" i="3"/>
  <c r="E375" i="3"/>
  <c r="E94" i="3"/>
  <c r="E488" i="3"/>
  <c r="E412" i="3"/>
  <c r="E38" i="3"/>
  <c r="E129" i="3"/>
  <c r="E194" i="3"/>
  <c r="E275" i="3"/>
  <c r="E339" i="3"/>
  <c r="E342" i="3"/>
  <c r="E52" i="3"/>
  <c r="E87" i="3"/>
  <c r="E147" i="3"/>
  <c r="E341" i="3"/>
  <c r="E80" i="3"/>
  <c r="E154" i="3"/>
  <c r="E308" i="3"/>
  <c r="E101" i="3"/>
  <c r="E205" i="3"/>
  <c r="E244" i="3"/>
  <c r="E223" i="3"/>
  <c r="E173" i="3"/>
  <c r="E312" i="3"/>
  <c r="E493" i="3"/>
  <c r="T6" i="3"/>
  <c r="E421" i="3"/>
  <c r="E486" i="3"/>
  <c r="E512" i="3"/>
  <c r="E416" i="3"/>
  <c r="E490" i="3"/>
  <c r="E556" i="3"/>
  <c r="E500" i="3"/>
  <c r="E498" i="3"/>
  <c r="E452" i="3"/>
  <c r="E520" i="3"/>
  <c r="E463" i="3"/>
  <c r="E104" i="3"/>
  <c r="E57" i="3"/>
  <c r="E139" i="3"/>
  <c r="E240" i="3"/>
  <c r="E226" i="3"/>
  <c r="E332" i="3"/>
  <c r="E378" i="3"/>
  <c r="E372" i="3"/>
  <c r="E540" i="3"/>
  <c r="E482" i="3"/>
  <c r="E446" i="3"/>
  <c r="E138" i="3"/>
  <c r="E220" i="3"/>
  <c r="E209" i="3"/>
  <c r="E383" i="3"/>
  <c r="AQ6" i="3"/>
  <c r="E86" i="3"/>
  <c r="E123" i="3"/>
  <c r="E232" i="3"/>
  <c r="E364" i="3"/>
  <c r="E102" i="3"/>
  <c r="E176" i="3"/>
  <c r="E323" i="3"/>
  <c r="E296" i="3"/>
  <c r="AD6" i="3"/>
  <c r="E464" i="3"/>
  <c r="E459" i="3"/>
  <c r="E582" i="3"/>
  <c r="E436" i="3"/>
  <c r="E131" i="3"/>
  <c r="E225" i="3"/>
  <c r="E391" i="3"/>
  <c r="L6" i="3"/>
  <c r="E473" i="3"/>
  <c r="E195" i="3"/>
  <c r="E266" i="3"/>
  <c r="E584" i="3"/>
  <c r="E34" i="3"/>
  <c r="E251" i="3"/>
  <c r="E218" i="3"/>
  <c r="E373" i="3"/>
  <c r="E165" i="3"/>
  <c r="E188" i="3"/>
  <c r="E197" i="3"/>
  <c r="E141" i="3"/>
  <c r="E393" i="3"/>
  <c r="E534" i="3"/>
  <c r="E552" i="3"/>
  <c r="E427" i="3"/>
  <c r="E469" i="3"/>
  <c r="E398" i="3"/>
  <c r="E440" i="3"/>
  <c r="E360" i="3"/>
  <c r="E566" i="3"/>
  <c r="J6" i="3"/>
  <c r="E494" i="3"/>
  <c r="E460" i="3"/>
  <c r="E401" i="3"/>
  <c r="E26" i="3"/>
  <c r="E90" i="3"/>
  <c r="E108" i="3"/>
  <c r="E198" i="3"/>
  <c r="E155" i="3"/>
  <c r="E242" i="3"/>
  <c r="E243" i="3"/>
  <c r="E348" i="3"/>
  <c r="E333" i="3"/>
  <c r="AL6" i="3"/>
  <c r="E43" i="3"/>
  <c r="E428" i="3"/>
  <c r="E521" i="3"/>
  <c r="E455" i="3"/>
  <c r="E96" i="3"/>
  <c r="E65" i="3"/>
  <c r="E170" i="3"/>
  <c r="E174" i="3"/>
  <c r="E248" i="3"/>
  <c r="E219" i="3"/>
  <c r="E324" i="3"/>
  <c r="E386" i="3"/>
  <c r="E392" i="3"/>
  <c r="E35" i="3"/>
  <c r="E24" i="3"/>
  <c r="E112" i="3"/>
  <c r="E206" i="3"/>
  <c r="E250" i="3"/>
  <c r="E340" i="3"/>
  <c r="AF6" i="3"/>
  <c r="E51" i="3"/>
  <c r="E62" i="3"/>
  <c r="E158" i="3"/>
  <c r="E222" i="3"/>
  <c r="E365" i="3"/>
  <c r="E22" i="3"/>
  <c r="E178" i="3"/>
  <c r="E110" i="3"/>
  <c r="E79" i="3"/>
  <c r="E137" i="3"/>
  <c r="E299" i="3"/>
  <c r="E354" i="3"/>
  <c r="E48" i="3"/>
  <c r="E284" i="3"/>
  <c r="E19" i="3"/>
  <c r="E287" i="3"/>
  <c r="E524" i="3"/>
  <c r="E502" i="3"/>
  <c r="E31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8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1" i="3"/>
  <c r="E389" i="3"/>
  <c r="E36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0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78" i="3"/>
  <c r="C16" i="71"/>
  <c r="D17" i="71"/>
  <c r="E50" i="3"/>
  <c r="B11" i="71"/>
  <c r="B10" i="71" s="1"/>
  <c r="B9" i="71" s="1"/>
  <c r="B8" i="71" s="1"/>
  <c r="B7" i="71" s="1"/>
  <c r="B6" i="71" s="1"/>
  <c r="B5" i="71" s="1"/>
  <c r="S12" i="71"/>
  <c r="E42" i="3"/>
  <c r="E83" i="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67"/>
  <c r="F41" i="15"/>
  <c r="F69" i="67" l="1"/>
  <c r="H6" i="3"/>
  <c r="AC6" i="3"/>
  <c r="F25" i="12"/>
  <c r="F22" i="68"/>
  <c r="C44" i="68" s="1"/>
  <c r="D41" i="68" s="1"/>
  <c r="Q36" i="43"/>
  <c r="F22" i="11"/>
  <c r="C24" i="11" s="1"/>
  <c r="N36" i="43"/>
  <c r="M36" i="43"/>
  <c r="P36" i="43"/>
  <c r="F24" i="67"/>
  <c r="C24" i="67" s="1"/>
  <c r="F24" i="15"/>
  <c r="C24" i="15" s="1"/>
  <c r="F22" i="69"/>
  <c r="F41" i="69" s="1"/>
  <c r="O36" i="43"/>
  <c r="C15" i="71"/>
  <c r="T16" i="71"/>
  <c r="D16" i="71"/>
  <c r="U16" i="71" s="1"/>
  <c r="D36" i="71"/>
  <c r="T36"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C17" i="15"/>
  <c r="C34" i="69"/>
  <c r="C14" i="67"/>
  <c r="C17" i="67"/>
  <c r="D10" i="69"/>
  <c r="C26" i="69" l="1"/>
  <c r="D22" i="69" s="1"/>
  <c r="C44" i="11"/>
  <c r="D41" i="11" s="1"/>
  <c r="C26" i="68"/>
  <c r="D22" i="68" s="1"/>
  <c r="C23" i="68"/>
  <c r="F41" i="68"/>
  <c r="C44" i="69"/>
  <c r="D41" i="69" s="1"/>
  <c r="E6" i="3"/>
  <c r="C23" i="11"/>
  <c r="C26" i="11"/>
  <c r="D22" i="11" s="1"/>
  <c r="C25" i="11"/>
  <c r="C14" i="71"/>
  <c r="D15"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D14" i="71"/>
  <c r="C13"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3" i="71" l="1"/>
  <c r="C12"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C11" i="71"/>
  <c r="T12" i="71"/>
  <c r="D12" i="71"/>
  <c r="U12" i="7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M21" i="67"/>
  <c r="F35" i="15"/>
  <c r="F35" i="67"/>
  <c r="C10" i="71" l="1"/>
  <c r="D11"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102" i="9" l="1"/>
  <c r="C21" i="9"/>
  <c r="D10" i="71"/>
  <c r="C9"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 i="71"/>
  <c r="D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8" i="71" l="1"/>
  <c r="C7"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19" i="9"/>
  <c r="D2" i="34"/>
  <c r="L51" i="15"/>
  <c r="D2" i="36"/>
  <c r="D102" i="9" l="1"/>
  <c r="D21" i="9"/>
  <c r="D22" i="9"/>
  <c r="G19" i="9"/>
  <c r="D7" i="71"/>
  <c r="C6"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9" i="1"/>
  <c r="AO7" i="1"/>
  <c r="D20" i="9"/>
  <c r="AO8" i="1"/>
  <c r="AO11" i="1"/>
  <c r="AO6" i="1"/>
  <c r="G21" i="9" l="1"/>
  <c r="D14" i="74"/>
  <c r="D15" i="74" s="1"/>
  <c r="F15" i="74" s="1"/>
  <c r="D103" i="9"/>
  <c r="G20" i="9"/>
  <c r="C32" i="9" s="1"/>
  <c r="D6" i="71"/>
  <c r="C5" i="71"/>
  <c r="D5" i="71" s="1"/>
  <c r="M24" i="43"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E15" i="74" s="1"/>
  <c r="F14" i="74"/>
  <c r="B5" i="74"/>
  <c r="D5" i="74" s="1"/>
  <c r="B6" i="74" l="1"/>
  <c r="D6" i="74" s="1"/>
  <c r="C5" i="74"/>
  <c r="N58" i="9"/>
  <c r="P57" i="9"/>
  <c r="B30" i="72"/>
  <c r="D8" i="52"/>
  <c r="M54" i="9"/>
  <c r="N61" i="9"/>
  <c r="N59" i="9"/>
  <c r="N60" i="9"/>
  <c r="C6" i="74"/>
  <c r="D53" i="9"/>
  <c r="D52" i="9"/>
  <c r="D15" i="53"/>
  <c r="B31" i="72"/>
  <c r="M48" i="9"/>
  <c r="C105" i="9"/>
  <c r="I4" i="52"/>
  <c r="C81" i="9"/>
  <c r="B20" i="72"/>
  <c r="H4" i="52"/>
  <c r="C104" i="9"/>
  <c r="D56" i="9"/>
  <c r="G4" i="52"/>
  <c r="B52" i="72"/>
  <c r="D5" i="53"/>
  <c r="D6" i="53"/>
  <c r="B22" i="72"/>
  <c r="B48" i="72"/>
  <c r="B53" i="72"/>
  <c r="H108" i="9"/>
  <c r="B21" i="72"/>
  <c r="C80" i="9"/>
  <c r="E80" i="9"/>
  <c r="E81" i="9"/>
  <c r="H119" i="9"/>
  <c r="H5" i="52"/>
  <c r="C68" i="9"/>
  <c r="D54" i="9"/>
  <c r="D59" i="9"/>
  <c r="M55" i="9"/>
  <c r="E4" i="52"/>
  <c r="F119" i="9"/>
  <c r="F5" i="52"/>
  <c r="C72" i="9"/>
  <c r="C79" i="9"/>
  <c r="E97" i="9"/>
  <c r="C64" i="9"/>
  <c r="C63" i="9"/>
  <c r="C67" i="9"/>
  <c r="D13" i="53"/>
  <c r="D14" i="53"/>
  <c r="B32" i="72"/>
  <c r="C78" i="9"/>
  <c r="C73" i="9"/>
  <c r="C93" i="9"/>
  <c r="C86" i="9"/>
  <c r="D4" i="52"/>
  <c r="B47" i="72"/>
  <c r="H102" i="9"/>
  <c r="D7" i="53"/>
  <c r="D55" i="9"/>
  <c r="M53" i="9"/>
  <c r="N57" i="9"/>
  <c r="E118" i="9"/>
  <c r="D118" i="9"/>
  <c r="D119" i="9"/>
  <c r="D5" i="52"/>
  <c r="B49" i="72"/>
  <c r="G118" i="9"/>
  <c r="F118" i="9"/>
  <c r="F4" i="52"/>
  <c r="B51" i="72"/>
  <c r="H107" i="9"/>
  <c r="D122" i="9"/>
  <c r="D123" i="9"/>
  <c r="D9" i="52"/>
  <c r="C96" i="9"/>
  <c r="E96"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<sst xmlns="http://schemas.openxmlformats.org/spreadsheetml/2006/main" count="7852" uniqueCount="3422">
  <si>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</si>
  <si>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</si>
  <si>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</si>
  <si>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</si>
  <si>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</si>
  <si>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</si>
  <si>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</si>
  <si>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</si>
  <si>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</si>
  <si>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</si>
  <si>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</si>
  <si>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</si>
  <si>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</si>
  <si>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</si>
  <si>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</si>
  <si>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</si>
  <si>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</si>
  <si>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</si>
  <si>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</si>
  <si>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</si>
  <si>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</si>
  <si>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</si>
  <si>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</si>
  <si>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</si>
  <si>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</si>
  <si>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</si>
  <si>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</si>
  <si>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</si>
  <si>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</si>
  <si>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</si>
  <si>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</si>
  <si>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</si>
  <si>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</si>
  <si>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</si>
  <si>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</si>
  <si>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</si>
  <si>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</si>
  <si>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</si>
  <si>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</si>
  <si>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</si>
  <si>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</si>
  <si>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</si>
  <si>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</si>
  <si>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</si>
  <si>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</si>
  <si>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</si>
  <si>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</si>
  <si>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</si>
  <si>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</si>
  <si>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</si>
  <si>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</si>
  <si>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</si>
  <si>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</si>
  <si>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</si>
  <si>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</si>
  <si>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</si>
  <si>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</si>
  <si>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</si>
  <si>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</si>
  <si>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</si>
  <si>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</si>
  <si>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</si>
  <si>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</si>
  <si>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</si>
  <si>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</si>
  <si>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</si>
  <si>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</si>
  <si>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</si>
  <si>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</si>
  <si>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</si>
  <si>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</si>
  <si>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</si>
  <si>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</si>
  <si>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</si>
  <si>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</si>
  <si>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</si>
  <si>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</si>
  <si>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</si>
  <si>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</si>
  <si>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</si>
  <si>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</si>
  <si>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</si>
  <si>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</si>
  <si>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</si>
  <si>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</si>
  <si>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</si>
  <si>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</si>
  <si>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</si>
  <si>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</si>
  <si>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</si>
  <si>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</si>
  <si>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</si>
  <si>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</si>
  <si>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</si>
  <si>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</si>
  <si>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</si>
  <si>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</si>
  <si>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</si>
  <si>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</si>
  <si>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</si>
  <si>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</si>
  <si>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</si>
  <si>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</si>
  <si>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</si>
  <si>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</si>
  <si>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</si>
  <si>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</si>
  <si>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</si>
  <si>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</si>
  <si>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</si>
  <si>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</si>
  <si>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</si>
  <si>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</si>
  <si>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</si>
  <si>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</si>
  <si>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</si>
  <si>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</si>
  <si>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</si>
  <si>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</si>
  <si>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</si>
  <si>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</si>
  <si>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</si>
  <si>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</si>
  <si>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</si>
  <si>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</si>
  <si>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</si>
  <si>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</si>
  <si>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</si>
  <si>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</si>
  <si>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</si>
  <si>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</si>
  <si>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</si>
  <si>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</si>
  <si>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</si>
  <si>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</si>
  <si>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</si>
  <si>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</si>
  <si>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</si>
  <si>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</si>
  <si>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</si>
  <si>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</si>
  <si>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</si>
  <si>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</si>
  <si>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</si>
  <si>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</si>
  <si>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</si>
  <si>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</si>
  <si>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</si>
  <si>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</si>
  <si>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</si>
  <si>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</si>
  <si>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</si>
  <si>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</si>
  <si>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</si>
  <si>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</si>
  <si>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</si>
  <si>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</si>
  <si>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</si>
  <si>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</si>
  <si>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</si>
  <si>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</si>
  <si>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</si>
  <si>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</si>
  <si>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</si>
  <si>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</si>
  <si>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</si>
  <si>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</si>
  <si>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</si>
  <si>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</si>
  <si>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</si>
  <si>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</si>
  <si>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</si>
  <si>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</si>
  <si>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</si>
  <si>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</si>
  <si>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</si>
  <si>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</si>
  <si>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</si>
  <si>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</si>
  <si>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</si>
  <si>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</si>
  <si>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</si>
  <si>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</si>
  <si>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</si>
  <si>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</si>
  <si>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</si>
  <si>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</si>
  <si>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</si>
  <si>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</si>
  <si>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</si>
  <si>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</si>
  <si>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</si>
  <si>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</si>
  <si>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</si>
  <si>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</si>
  <si>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</si>
  <si>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</si>
  <si>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</si>
  <si>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</si>
  <si>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</si>
  <si>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</si>
  <si>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</si>
  <si>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</si>
  <si>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</si>
  <si>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</si>
  <si>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</si>
  <si>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</si>
  <si>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</si>
  <si>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</si>
  <si>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</si>
  <si>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</si>
  <si>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</si>
  <si>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</si>
  <si>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</si>
  <si>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</si>
  <si>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</si>
  <si>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</si>
  <si>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</si>
  <si>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</si>
  <si>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</si>
  <si>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</si>
  <si>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</si>
  <si>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</si>
  <si>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</si>
  <si>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</si>
  <si>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</si>
  <si>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</si>
  <si>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</si>
  <si>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</si>
  <si>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</si>
  <si>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</si>
  <si>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</si>
  <si>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</si>
  <si>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</si>
  <si>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</si>
  <si>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</si>
  <si>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</si>
  <si>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</si>
  <si>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</si>
  <si>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</si>
  <si>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</si>
  <si>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</si>
  <si>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</si>
  <si>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</si>
  <si>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</si>
  <si>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</si>
  <si>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</si>
  <si>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</si>
  <si>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</si>
  <si>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</si>
  <si>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</si>
  <si>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</si>
  <si>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</si>
  <si>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</si>
  <si>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</si>
  <si>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</si>
  <si>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</si>
  <si>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</si>
  <si>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</si>
  <si>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</si>
  <si>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</si>
  <si>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</si>
  <si>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</si>
  <si>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</si>
  <si>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</si>
  <si>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</si>
  <si>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</si>
  <si>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</si>
  <si>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</si>
  <si>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</si>
  <si>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</si>
  <si>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</si>
  <si>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</si>
  <si>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</si>
  <si>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</si>
  <si>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</si>
  <si>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</si>
  <si>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</si>
  <si>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</si>
  <si>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</si>
  <si>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</si>
  <si>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</si>
  <si>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</si>
  <si>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</si>
  <si>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</si>
  <si>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</si>
  <si>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</si>
  <si>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</si>
  <si>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</si>
  <si>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</si>
  <si>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</si>
  <si>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</si>
  <si>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</si>
  <si>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</si>
  <si>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</si>
  <si>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</si>
  <si>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</si>
  <si>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</si>
  <si>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</si>
  <si>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</si>
  <si>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</si>
  <si>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</si>
  <si>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</si>
  <si>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</si>
  <si>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</si>
  <si>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</si>
  <si>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</si>
  <si>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</si>
  <si>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</si>
  <si>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</si>
  <si>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</si>
  <si>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</si>
  <si>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</si>
  <si>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</si>
  <si>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</si>
  <si>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</si>
  <si>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</si>
  <si>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</si>
  <si>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</si>
  <si>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</si>
  <si>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</si>
  <si>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</si>
  <si>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</si>
  <si>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</si>
  <si>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</si>
  <si>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</si>
  <si>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</si>
  <si>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</si>
  <si>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</si>
  <si>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</si>
  <si>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</si>
  <si>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</si>
  <si>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</si>
  <si>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</si>
  <si>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</si>
  <si>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</si>
  <si>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</si>
  <si>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</si>
  <si>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</si>
  <si>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</si>
  <si>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</si>
  <si>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</si>
  <si>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</si>
  <si>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</si>
  <si>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</si>
  <si>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</si>
  <si>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</si>
  <si>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</si>
  <si>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</si>
  <si>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</si>
  <si>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</si>
  <si>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</si>
  <si>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</si>
  <si>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</si>
  <si>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</si>
  <si>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</si>
  <si>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</si>
  <si>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</si>
  <si>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</si>
  <si>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</si>
  <si>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</si>
  <si>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</si>
  <si>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</si>
  <si>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</si>
  <si>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</si>
  <si>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</si>
  <si>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</si>
  <si>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</si>
  <si>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</si>
  <si>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</si>
  <si>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</si>
  <si>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</si>
  <si>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</si>
  <si>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</si>
  <si>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</si>
  <si>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</si>
  <si>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</si>
  <si>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</si>
  <si>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</si>
  <si>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</si>
  <si>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</si>
  <si>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</si>
  <si>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</si>
  <si>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</si>
  <si>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</si>
  <si>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</si>
  <si>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</si>
  <si>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</si>
  <si>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</si>
  <si>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</si>
  <si>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</si>
  <si>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</si>
  <si>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</si>
  <si>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</si>
  <si>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</si>
  <si>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</si>
  <si>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</si>
  <si>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</si>
  <si>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</si>
  <si>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</si>
  <si>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</si>
  <si>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</si>
  <si>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</si>
  <si>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</si>
  <si>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</si>
  <si>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</si>
  <si>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</si>
  <si>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</si>
  <si>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</si>
  <si>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</si>
  <si>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</si>
  <si>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</si>
  <si>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</si>
  <si>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</si>
  <si>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</si>
  <si>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</si>
  <si>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</si>
  <si>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</si>
  <si>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</si>
  <si>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</si>
  <si>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</si>
  <si>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</si>
  <si>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</si>
  <si>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</si>
  <si>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</si>
  <si>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</si>
  <si>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</si>
  <si>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</si>
  <si>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</si>
  <si>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</si>
  <si>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</si>
  <si>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</si>
  <si>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</si>
  <si>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</si>
  <si>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</si>
  <si>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</si>
  <si>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</si>
  <si>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</si>
  <si>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</si>
  <si>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</si>
  <si>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</si>
  <si>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</si>
  <si>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</si>
  <si>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</si>
  <si>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</si>
  <si>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</si>
  <si>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</si>
  <si>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</si>
  <si>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</si>
  <si>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</si>
  <si>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</si>
  <si>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</si>
  <si>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</si>
  <si>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</si>
  <si>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</si>
  <si>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</si>
  <si>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</si>
  <si>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</si>
  <si>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</si>
  <si>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</si>
  <si>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</si>
  <si>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</si>
  <si>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</si>
  <si>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</si>
  <si>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</si>
  <si>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</si>
  <si>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</si>
  <si>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</si>
  <si>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</si>
  <si>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</si>
  <si>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</si>
  <si>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</si>
  <si>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</si>
  <si>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</si>
  <si>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</si>
  <si>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</si>
  <si>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</si>
  <si>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</si>
  <si>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</si>
  <si>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</si>
  <si>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</si>
  <si>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</si>
  <si>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</si>
  <si>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</si>
  <si>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</si>
  <si>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</si>
  <si>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</si>
  <si>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</si>
  <si>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</si>
  <si>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</si>
  <si>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</si>
  <si>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</si>
  <si>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</si>
  <si>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</si>
  <si>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</si>
  <si>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</si>
  <si>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</si>
  <si>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</si>
  <si>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</si>
  <si>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</si>
  <si>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</si>
  <si>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</si>
  <si>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</si>
  <si>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</si>
  <si>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</si>
  <si>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</si>
  <si>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</si>
  <si>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</si>
  <si>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</si>
  <si>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</si>
  <si>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</si>
  <si>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</si>
  <si>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</si>
  <si>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</si>
  <si>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</si>
  <si>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</si>
  <si>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</si>
  <si>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</si>
  <si>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</si>
  <si>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</si>
  <si>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</si>
  <si>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</si>
  <si>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</si>
  <si>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</si>
  <si>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</si>
  <si>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</si>
  <si>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</si>
  <si>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</si>
  <si>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</si>
  <si>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</si>
  <si>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</si>
  <si>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</si>
  <si>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</si>
  <si>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</si>
  <si>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</si>
  <si>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</si>
  <si>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</si>
  <si>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</si>
  <si>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</si>
  <si>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</si>
  <si>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</si>
  <si>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</si>
  <si>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</si>
  <si>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</si>
  <si>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</si>
  <si>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</si>
  <si>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</si>
  <si>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</si>
  <si>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</si>
  <si>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</si>
  <si>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</si>
  <si>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</si>
  <si>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</si>
  <si>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</si>
  <si>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</si>
  <si>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</si>
  <si>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</si>
  <si>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</si>
  <si>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</si>
  <si>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</si>
  <si>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</si>
  <si>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</si>
  <si>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</si>
  <si>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</si>
  <si>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</si>
  <si>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</si>
  <si>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</si>
  <si>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</si>
  <si>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</si>
  <si>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</si>
  <si>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</si>
  <si>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</si>
  <si>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</si>
  <si>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</si>
  <si>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</si>
  <si>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</si>
  <si>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</si>
  <si>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</si>
  <si>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</si>
  <si>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</si>
  <si>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</si>
  <si>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</si>
  <si>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</si>
  <si>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</si>
  <si>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</si>
  <si>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</si>
  <si>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</si>
  <si>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</si>
  <si>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</si>
  <si>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</si>
  <si>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</si>
  <si>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</si>
  <si>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</si>
  <si>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</si>
  <si>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</si>
  <si>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</si>
  <si>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</si>
  <si>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</si>
  <si>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</si>
  <si>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</si>
  <si>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</si>
  <si>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</si>
  <si>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</si>
  <si>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</si>
  <si>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</si>
  <si>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</si>
  <si>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</si>
  <si>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</si>
  <si>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</si>
  <si>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</si>
  <si>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</si>
  <si>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</si>
  <si>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</si>
  <si>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</si>
  <si>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</si>
  <si>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</si>
  <si>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</si>
  <si>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</si>
  <si>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</si>
  <si>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</si>
  <si>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</si>
  <si>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</si>
  <si>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</si>
  <si>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</si>
  <si>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</si>
  <si>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</si>
  <si>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</si>
  <si>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</si>
  <si>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</si>
  <si>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</si>
  <si>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</si>
  <si>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</si>
  <si>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</si>
  <si>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</si>
  <si>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</si>
  <si>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</si>
  <si>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</si>
  <si>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</si>
  <si>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</si>
  <si>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</si>
  <si>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</si>
  <si>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</si>
  <si>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</si>
  <si>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</si>
  <si>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</si>
  <si>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</si>
  <si>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</si>
  <si>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</si>
  <si>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</si>
  <si>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</si>
  <si>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</si>
  <si>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</si>
  <si>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</si>
  <si>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</si>
  <si>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</si>
  <si>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</si>
  <si>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</si>
  <si>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</si>
  <si>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</si>
  <si>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</si>
  <si>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</si>
  <si>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</si>
  <si>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</si>
  <si>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</si>
  <si>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</si>
  <si>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</si>
  <si>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</si>
  <si>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</si>
  <si>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</si>
  <si>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</si>
  <si>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</si>
  <si>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</si>
  <si>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</si>
  <si>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</si>
  <si>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</si>
  <si>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</si>
  <si>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</si>
  <si>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</si>
  <si>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</si>
  <si>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</si>
  <si>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</si>
  <si>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</si>
  <si>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</si>
  <si>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</si>
  <si>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</si>
  <si>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</si>
  <si>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</si>
  <si>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</si>
  <si>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</si>
  <si>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</si>
  <si>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</si>
  <si>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</si>
  <si>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</si>
  <si>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</si>
  <si>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</si>
  <si>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</si>
  <si>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</si>
  <si>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</si>
  <si>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</si>
  <si>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</si>
  <si>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</si>
  <si>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</si>
  <si>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</si>
  <si>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</si>
  <si>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</si>
  <si>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</si>
  <si>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</si>
  <si>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</si>
  <si>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</si>
  <si>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</si>
  <si>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</si>
  <si>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</si>
  <si>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</si>
  <si>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</si>
  <si>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</si>
  <si>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</si>
  <si>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</si>
  <si>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</si>
  <si>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</si>
  <si>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</si>
  <si>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</si>
  <si>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</si>
  <si>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</si>
  <si>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</si>
  <si>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</si>
  <si>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</si>
  <si>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</si>
  <si>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</si>
  <si>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</si>
  <si>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</si>
  <si>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</si>
  <si>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</si>
  <si>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</si>
  <si>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</si>
  <si>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</si>
  <si>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</si>
  <si>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</si>
  <si>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</si>
  <si>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</si>
  <si>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</si>
  <si>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</si>
  <si>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</si>
  <si>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</si>
  <si>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</si>
  <si>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</si>
  <si>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</si>
  <si>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</si>
  <si>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</si>
  <si>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</si>
  <si>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</si>
  <si>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</si>
  <si>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</si>
  <si>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</si>
  <si>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</si>
  <si>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</si>
  <si>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</si>
  <si>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</si>
  <si>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</si>
  <si>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</si>
  <si>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</si>
  <si>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</si>
  <si>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</si>
  <si>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</si>
  <si>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</si>
  <si>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</si>
  <si>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</si>
  <si>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</si>
  <si>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</si>
  <si>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</si>
  <si>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</si>
  <si>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</si>
  <si>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</si>
  <si>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</si>
  <si>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</si>
  <si>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</si>
  <si>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</si>
  <si>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</si>
  <si>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</si>
  <si>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</si>
  <si>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</si>
  <si>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</si>
  <si>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</si>
  <si>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</si>
  <si>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</si>
  <si>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</si>
  <si>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</si>
  <si>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</si>
  <si>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</si>
  <si>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</si>
  <si>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</si>
  <si>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</si>
  <si>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</si>
  <si>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</si>
  <si>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</si>
  <si>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</si>
  <si>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</si>
  <si>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</si>
  <si>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</si>
  <si>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</si>
  <si>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</si>
  <si>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</si>
  <si>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</si>
  <si>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</si>
  <si>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</si>
  <si>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</si>
  <si>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</si>
  <si>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</si>
  <si>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</si>
  <si>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</si>
  <si>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</si>
  <si>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</si>
  <si>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</si>
  <si>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</si>
  <si>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</si>
  <si>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</si>
  <si>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</si>
  <si>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</si>
  <si>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</si>
  <si>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</si>
  <si>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</si>
  <si>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</si>
  <si>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</si>
  <si>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</si>
  <si>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</si>
  <si>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</si>
  <si>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</si>
  <si>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</si>
  <si>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</si>
  <si>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</si>
  <si>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</si>
  <si>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</si>
  <si>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</si>
  <si>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</si>
  <si>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</si>
  <si>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</si>
  <si>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</si>
  <si>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</si>
  <si>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</si>
  <si>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</si>
  <si>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</si>
  <si>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</si>
  <si>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</si>
  <si>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</si>
  <si>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</si>
  <si>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</si>
  <si>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</si>
  <si>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</si>
  <si>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</si>
  <si>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</si>
  <si>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</si>
  <si>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</si>
  <si>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</si>
  <si>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</si>
  <si>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</si>
  <si>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</si>
  <si>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</si>
  <si>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</si>
  <si>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</si>
  <si>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</si>
  <si>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</si>
  <si>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</si>
  <si>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</si>
  <si>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</si>
  <si>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</si>
  <si>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</si>
  <si>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</si>
  <si>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</si>
  <si>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</si>
  <si>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</si>
  <si>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</si>
  <si>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</si>
  <si>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</si>
  <si>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</si>
  <si>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</si>
  <si>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</si>
  <si>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</si>
  <si>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</si>
  <si>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</si>
  <si>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</si>
  <si>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</si>
  <si>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</si>
  <si>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</si>
  <si>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</si>
  <si>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</si>
  <si>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</si>
  <si>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</si>
  <si>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</si>
  <si>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</si>
  <si>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</si>
  <si>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</si>
  <si>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</si>
  <si>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</si>
  <si>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</si>
  <si>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</si>
  <si>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</si>
  <si>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</si>
  <si>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</si>
  <si>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</si>
  <si>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</si>
  <si>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</si>
  <si>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</si>
  <si>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</si>
  <si>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</si>
  <si>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</si>
  <si>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</si>
  <si>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</si>
  <si>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</si>
  <si>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</si>
  <si>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</si>
  <si>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</si>
  <si>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</si>
  <si>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</si>
  <si>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</si>
  <si>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</si>
  <si>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</si>
  <si>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</si>
  <si>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</si>
  <si>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</si>
  <si>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</si>
  <si>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</si>
  <si>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</si>
  <si>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</si>
  <si>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</si>
  <si>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</si>
  <si>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</si>
  <si>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</si>
  <si>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</si>
  <si>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</si>
  <si>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</si>
  <si>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</si>
  <si>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</si>
  <si>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</si>
  <si>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</si>
  <si>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</si>
  <si>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</si>
  <si>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</si>
  <si>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</si>
  <si>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</si>
  <si>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</si>
  <si>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</si>
  <si>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</si>
  <si>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</si>
  <si>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</si>
  <si>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</si>
  <si>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</si>
  <si>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</si>
  <si>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</si>
  <si>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</si>
  <si>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</si>
  <si>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</si>
  <si>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</si>
  <si>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</si>
  <si>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</si>
  <si>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</si>
  <si>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</si>
  <si>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</si>
  <si>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</si>
  <si>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</si>
  <si>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</si>
  <si>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</si>
  <si>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</si>
  <si>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</si>
  <si>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</si>
  <si>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</si>
  <si>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</si>
  <si>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</si>
  <si>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</si>
  <si>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</si>
  <si>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</si>
  <si>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</si>
  <si>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</si>
  <si>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</si>
  <si>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</si>
  <si>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</si>
  <si>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</si>
  <si>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</si>
  <si>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</si>
  <si>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</si>
  <si>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</si>
  <si>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</si>
  <si>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</si>
  <si>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</si>
  <si>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</si>
  <si>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</si>
  <si>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</si>
  <si>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</si>
  <si>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</si>
  <si>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</si>
  <si>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</si>
  <si>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</si>
  <si>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</si>
  <si>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</si>
  <si>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</si>
  <si>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</si>
  <si>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</si>
  <si>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</si>
  <si>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</si>
  <si>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</si>
  <si>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</si>
  <si>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</si>
  <si>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</si>
  <si>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</si>
  <si>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</si>
  <si>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</si>
  <si>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</si>
  <si>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</si>
  <si>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</si>
  <si>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</si>
  <si>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</si>
  <si>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</si>
  <si>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</si>
  <si>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</si>
  <si>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</si>
  <si>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</si>
  <si>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</si>
  <si>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</si>
  <si>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</si>
  <si>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</si>
  <si>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</si>
  <si>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</si>
  <si>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</si>
  <si>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</si>
  <si>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</si>
  <si>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</si>
  <si>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</si>
  <si>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</si>
  <si>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</si>
  <si>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</si>
  <si>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</si>
  <si>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</si>
  <si>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</si>
  <si>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</si>
  <si>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</si>
  <si>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</si>
  <si>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</si>
  <si>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</si>
  <si>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</si>
  <si>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</si>
  <si>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</si>
  <si>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</si>
  <si>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</si>
  <si>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</si>
  <si>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</si>
  <si>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</si>
  <si>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</si>
  <si>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</si>
  <si>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</si>
  <si>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</si>
  <si>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</si>
  <si>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</si>
  <si>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</si>
  <si>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</si>
  <si>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</si>
  <si>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</si>
  <si>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</si>
  <si>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</si>
  <si>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</si>
  <si>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</si>
  <si>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</si>
  <si>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</si>
  <si>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</si>
  <si>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</si>
  <si>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</si>
  <si>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</si>
  <si>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</si>
  <si>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</si>
  <si>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</si>
  <si>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</si>
  <si>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</si>
  <si>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</si>
  <si>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</si>
  <si>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</si>
  <si>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</si>
  <si>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</si>
  <si>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</si>
  <si>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</si>
  <si>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</si>
  <si>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</si>
  <si>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</si>
  <si>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</si>
  <si>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</si>
  <si>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</si>
  <si>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</si>
  <si>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</si>
  <si>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</si>
  <si>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</si>
  <si>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</si>
  <si>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</si>
  <si>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</si>
  <si>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</si>
  <si>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</si>
  <si>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</si>
  <si>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</si>
  <si>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</si>
  <si>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</si>
  <si>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</si>
  <si>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</si>
  <si>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</si>
  <si>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</si>
  <si>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</si>
  <si>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</si>
  <si>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</si>
  <si>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</si>
  <si>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</si>
  <si>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</si>
  <si>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</si>
  <si>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</si>
  <si>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</si>
  <si>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</si>
  <si>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</si>
  <si>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</si>
  <si>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</si>
  <si>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</si>
  <si>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</si>
  <si>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</si>
  <si>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</si>
  <si>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</si>
  <si>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</si>
  <si>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</si>
  <si>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</si>
  <si>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</si>
  <si>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</si>
  <si>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</si>
  <si>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</si>
  <si>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</si>
  <si>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</si>
  <si>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</si>
  <si>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</si>
  <si>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</si>
  <si>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</si>
  <si>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</si>
  <si>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</si>
  <si>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</si>
  <si>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</si>
  <si>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</si>
  <si>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</si>
  <si>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</si>
  <si>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</si>
  <si>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</si>
  <si>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</si>
  <si>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</si>
  <si>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</si>
  <si>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</si>
  <si>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</si>
  <si>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</si>
  <si>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</si>
  <si>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</si>
  <si>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</si>
  <si>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</si>
  <si>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</si>
  <si>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</si>
  <si>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</si>
  <si>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</si>
  <si>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</si>
  <si>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</si>
  <si>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</si>
  <si>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</si>
  <si>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</si>
  <si>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</si>
  <si>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</si>
  <si>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</si>
  <si>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</si>
  <si>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</si>
  <si>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</si>
  <si>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</si>
  <si>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</si>
  <si>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</si>
  <si>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</si>
  <si>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</si>
  <si>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</si>
  <si>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</si>
  <si>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</si>
  <si>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</si>
  <si>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</si>
  <si>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</si>
  <si>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</si>
  <si>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</si>
  <si>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</si>
  <si>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</si>
  <si>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</si>
  <si>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</si>
  <si>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</si>
  <si>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</si>
  <si>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</si>
  <si>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</si>
  <si>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</si>
  <si>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</si>
  <si>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</si>
  <si>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</si>
  <si>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</si>
  <si>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</si>
  <si>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</si>
  <si>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</si>
  <si>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</si>
  <si>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</si>
  <si>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</si>
  <si>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</si>
  <si>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</si>
  <si>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</si>
  <si>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</si>
  <si>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</si>
  <si>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</si>
  <si>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</si>
  <si>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</si>
  <si>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</si>
  <si>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</si>
  <si>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</si>
  <si>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</si>
  <si>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</si>
  <si>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</si>
  <si>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</si>
  <si>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</si>
  <si>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</si>
  <si>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</si>
  <si>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</si>
  <si>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</si>
  <si>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</si>
  <si>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</si>
  <si>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</si>
  <si>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</si>
  <si>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</si>
  <si>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</si>
  <si>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</si>
  <si>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</si>
  <si>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</si>
  <si>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</si>
  <si>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</si>
  <si>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</si>
  <si>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</si>
  <si>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</si>
  <si>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</si>
  <si>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</si>
  <si>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</si>
  <si>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</si>
  <si>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</si>
  <si>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</si>
  <si>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</si>
  <si>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</si>
  <si>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</si>
  <si>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</si>
  <si>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</si>
  <si>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</si>
  <si>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</si>
  <si>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</si>
  <si>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</si>
  <si>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</si>
  <si>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</si>
  <si>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</si>
  <si>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</si>
  <si>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</si>
  <si>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</si>
  <si>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</si>
  <si>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</si>
  <si>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</si>
  <si>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</si>
  <si>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</si>
  <si>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</si>
  <si>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</si>
  <si>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</si>
  <si>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</si>
  <si>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</si>
  <si>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</si>
  <si>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</si>
  <si>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</si>
  <si>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</si>
  <si>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</si>
  <si>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</si>
  <si>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</si>
  <si>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</si>
  <si>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</si>
  <si>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</si>
  <si>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</si>
  <si>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</si>
  <si>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</si>
  <si>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</si>
  <si>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</si>
  <si>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</si>
  <si>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</si>
  <si>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</si>
  <si>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</si>
  <si>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</si>
  <si>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</si>
  <si>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</si>
  <si>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</si>
  <si>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</si>
  <si>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</si>
  <si>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</si>
  <si>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</si>
  <si>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</si>
  <si>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</si>
  <si>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</si>
  <si>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</si>
  <si>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</si>
  <si>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</si>
  <si>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</si>
  <si>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</si>
  <si>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</si>
  <si>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</si>
  <si>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</si>
  <si>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</si>
  <si>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</si>
  <si>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</si>
  <si>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</si>
  <si>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</si>
  <si>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</si>
  <si>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</si>
  <si>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</si>
  <si>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</si>
  <si>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</si>
  <si>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</si>
  <si>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</si>
  <si>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</si>
  <si>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</si>
  <si>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</si>
  <si>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</si>
  <si>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</si>
  <si>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</si>
  <si>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</si>
  <si>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</si>
  <si>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</si>
  <si>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</si>
  <si>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</si>
  <si>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</si>
  <si>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</si>
  <si>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</si>
  <si>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</si>
  <si>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</si>
  <si>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</si>
  <si>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</si>
  <si>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</si>
  <si>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</si>
  <si>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</si>
  <si>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</si>
  <si>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</si>
  <si>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</si>
  <si>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</si>
  <si>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</si>
  <si>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</si>
  <si>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</si>
  <si>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</si>
  <si>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</si>
  <si>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</si>
  <si>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</si>
  <si>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</si>
  <si>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</si>
  <si>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</si>
  <si>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</si>
  <si>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</si>
  <si>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</si>
  <si>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</si>
  <si>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</si>
  <si>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</si>
  <si>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</si>
  <si>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</si>
  <si>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</si>
  <si>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</si>
  <si>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</si>
  <si>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</si>
  <si>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</si>
  <si>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</si>
  <si>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</si>
  <si>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</si>
  <si>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</si>
  <si>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</si>
  <si>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</si>
  <si>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</si>
  <si>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</si>
  <si>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</si>
  <si>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</si>
  <si>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</si>
  <si>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</si>
  <si>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</si>
  <si>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</si>
  <si>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</si>
  <si>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</si>
  <si>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</si>
  <si>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</si>
  <si>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</si>
  <si>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</si>
  <si>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</si>
  <si>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</si>
  <si>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</si>
  <si>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</si>
  <si>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</si>
  <si>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</si>
  <si>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</si>
  <si>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</si>
  <si>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</si>
  <si>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</si>
  <si>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</si>
  <si>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</si>
  <si>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</si>
  <si>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</si>
  <si>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</si>
  <si>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</si>
  <si>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</si>
  <si>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</si>
  <si>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</si>
  <si>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</si>
  <si>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</si>
  <si>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</si>
  <si>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</si>
  <si>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</si>
  <si>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</si>
  <si>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</si>
  <si>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</si>
  <si>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</si>
  <si>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</si>
  <si>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</si>
  <si>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</si>
  <si>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</si>
  <si>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</si>
  <si>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</si>
  <si>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</si>
  <si>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</si>
  <si>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</si>
  <si>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</si>
  <si>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</si>
  <si>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</si>
  <si>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</si>
  <si>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</si>
  <si>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</si>
  <si>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</si>
  <si>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</si>
  <si>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</si>
  <si>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</si>
  <si>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</si>
  <si>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</si>
  <si>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</si>
  <si>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</si>
  <si>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</si>
  <si>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</si>
  <si>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</si>
  <si>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</si>
  <si>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</si>
  <si>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</si>
  <si>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</si>
  <si>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</si>
  <si>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</si>
  <si>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</si>
  <si>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</si>
  <si>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</si>
  <si>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</si>
  <si>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</si>
  <si>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</si>
  <si>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</si>
  <si>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</si>
  <si>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</si>
  <si>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</si>
  <si>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</si>
  <si>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</si>
  <si>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</si>
  <si>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</si>
  <si>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</si>
  <si>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</si>
  <si>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</si>
  <si>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</si>
  <si>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</si>
  <si>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</si>
  <si>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</si>
  <si>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</si>
  <si>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</si>
  <si>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</si>
  <si>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</si>
  <si>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</si>
  <si>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</si>
  <si>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</si>
  <si>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</si>
  <si>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</si>
  <si>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</si>
  <si>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</si>
  <si>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</si>
  <si>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</si>
  <si>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</si>
  <si>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</si>
  <si>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</si>
  <si>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</si>
  <si>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</si>
  <si>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</si>
  <si>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</si>
  <si>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</si>
  <si>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</si>
  <si>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</si>
  <si>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</si>
  <si>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</si>
  <si>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</si>
  <si>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</si>
  <si>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</si>
  <si>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</si>
  <si>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</si>
  <si>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</si>
  <si>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</si>
  <si>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</si>
  <si>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</si>
  <si>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</si>
  <si>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</si>
  <si>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</si>
  <si>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</si>
  <si>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</si>
  <si>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</si>
  <si>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</si>
  <si>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</si>
  <si>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</si>
  <si>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</si>
  <si>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</si>
  <si>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</si>
  <si>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</si>
  <si>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</si>
  <si>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</si>
  <si>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</si>
  <si>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</si>
  <si>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</si>
  <si>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</si>
  <si>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</si>
  <si>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</si>
  <si>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</si>
  <si>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</si>
  <si>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</si>
  <si>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</si>
  <si>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</si>
  <si>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</si>
  <si>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</si>
  <si>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</si>
  <si>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</si>
  <si>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</si>
  <si>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</si>
  <si>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</si>
  <si>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</si>
  <si>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</si>
  <si>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</si>
  <si>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</si>
  <si>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</si>
  <si>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</si>
  <si>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</si>
  <si>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</si>
  <si>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</si>
  <si>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</si>
  <si>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</si>
  <si>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</si>
  <si>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</si>
  <si>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</si>
  <si>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</si>
  <si>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</si>
  <si>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</si>
  <si>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</si>
  <si>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</si>
  <si>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</si>
  <si>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</si>
  <si>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</si>
  <si>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</si>
  <si>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</si>
  <si>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</si>
  <si>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</si>
  <si>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</si>
  <si>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</si>
  <si>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</si>
  <si>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</si>
  <si>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</si>
  <si>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</si>
  <si>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</si>
  <si>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</si>
  <si>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</si>
  <si>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</si>
  <si>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</si>
  <si>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</si>
  <si>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</si>
  <si>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</si>
  <si>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</si>
  <si>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</si>
  <si>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</si>
  <si>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</si>
  <si>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</si>
  <si>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</si>
  <si>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</si>
  <si>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</si>
  <si>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</si>
  <si>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</si>
  <si>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</si>
  <si>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</si>
  <si>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</si>
  <si>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</si>
  <si>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</si>
  <si>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</si>
  <si>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</si>
  <si>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</si>
  <si>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</si>
  <si>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</si>
  <si>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</si>
  <si>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</si>
  <si>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</si>
  <si>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</si>
  <si>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</si>
  <si>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</si>
  <si>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</si>
  <si>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</si>
  <si>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</si>
  <si>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</si>
  <si>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</si>
  <si>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</si>
  <si>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</si>
  <si>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</si>
  <si>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</si>
  <si>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</si>
  <si>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</si>
  <si>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</si>
  <si>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</si>
  <si>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</si>
  <si>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</si>
  <si>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</si>
  <si>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</si>
  <si>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</si>
  <si>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</si>
  <si>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</si>
  <si>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</si>
  <si>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</si>
  <si>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</si>
  <si>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</si>
  <si>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</si>
  <si>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</si>
  <si>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</si>
  <si>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</si>
  <si>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</si>
  <si>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</si>
  <si>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</si>
  <si>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</si>
  <si>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</si>
  <si>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</si>
  <si>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</si>
  <si>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</si>
  <si>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</si>
  <si>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</si>
  <si>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</si>
  <si>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</si>
  <si>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</si>
  <si>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</si>
  <si>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</si>
  <si>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</si>
  <si>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</si>
  <si>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</si>
  <si>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</si>
  <si>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</si>
  <si>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</si>
  <si>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</si>
  <si>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</si>
  <si>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</si>
  <si>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</si>
  <si>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</si>
  <si>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</si>
  <si>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</si>
  <si>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</si>
  <si>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</si>
  <si>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</si>
  <si>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</si>
  <si>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</si>
  <si>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</si>
  <si>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</si>
  <si>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</si>
  <si>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</si>
  <si>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</si>
  <si>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</si>
  <si>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</si>
  <si>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</si>
  <si>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</si>
  <si>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</si>
  <si>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</si>
  <si>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</si>
  <si>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</si>
  <si>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</si>
  <si>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</si>
  <si>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</si>
  <si>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</si>
  <si>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</si>
  <si>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</si>
  <si>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</si>
  <si>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</si>
  <si>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</si>
  <si>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</si>
  <si>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</si>
  <si>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</si>
  <si>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</si>
  <si>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</si>
  <si>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</si>
  <si>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</si>
  <si>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</si>
  <si>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</si>
  <si>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</si>
  <si>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</si>
  <si>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</si>
  <si>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</si>
  <si>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</si>
  <si>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</si>
  <si>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</si>
  <si>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</si>
  <si>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</si>
  <si>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</si>
  <si>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</si>
  <si>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</si>
  <si>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</si>
  <si>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</si>
  <si>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</si>
  <si>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</si>
  <si>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</si>
  <si>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</si>
  <si>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</si>
  <si>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</si>
  <si>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</si>
  <si>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</si>
  <si>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</si>
  <si>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</si>
  <si>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</si>
  <si>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</si>
  <si>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</si>
  <si>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</si>
  <si>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</si>
  <si>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</si>
  <si>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</si>
  <si>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</si>
  <si>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</si>
  <si>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</si>
  <si>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</si>
  <si>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</si>
  <si>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</si>
  <si>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</si>
  <si>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</si>
  <si>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</si>
  <si>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</si>
  <si>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</si>
  <si>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</si>
  <si>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</si>
  <si>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</si>
  <si>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</si>
  <si>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</si>
  <si>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</si>
  <si>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</si>
  <si>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</si>
  <si>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</si>
  <si>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</si>
  <si>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</si>
  <si>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</si>
  <si>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</si>
  <si>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</si>
  <si>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</si>
  <si>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</si>
  <si>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</si>
  <si>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</si>
  <si>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</si>
  <si>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</si>
  <si>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</si>
  <si>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</si>
  <si>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</si>
  <si>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</si>
  <si>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</si>
  <si>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</si>
  <si>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</si>
  <si>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</si>
  <si>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</si>
  <si>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</si>
  <si>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</si>
  <si>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</si>
  <si>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</si>
  <si>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</si>
  <si>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</si>
  <si>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</si>
  <si>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</si>
  <si>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</si>
  <si>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</si>
  <si>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</si>
  <si>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</si>
  <si>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</si>
  <si>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</si>
  <si>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</si>
  <si>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</si>
  <si>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</si>
  <si>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</si>
  <si>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</si>
  <si>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</si>
  <si>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</si>
  <si>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</si>
  <si>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</si>
  <si>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</si>
  <si>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</si>
  <si>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</si>
  <si>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</si>
  <si>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</si>
  <si>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</si>
  <si>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</si>
  <si>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</si>
  <si>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</si>
  <si>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</si>
  <si>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</si>
  <si>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</si>
  <si>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</si>
  <si>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</si>
  <si>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</si>
  <si>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</si>
  <si>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</si>
  <si>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</si>
  <si>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</si>
  <si>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</si>
  <si>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</si>
  <si>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</si>
  <si>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</si>
  <si>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</si>
  <si>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</si>
  <si>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</si>
  <si>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</si>
  <si>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</si>
  <si>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</si>
  <si>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</si>
  <si>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</si>
  <si>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</si>
  <si>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</si>
  <si>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</si>
  <si>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</si>
  <si>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</si>
  <si>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</si>
  <si>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</si>
  <si>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</si>
  <si>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</si>
  <si>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</si>
  <si>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</si>
  <si>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</si>
  <si>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</si>
  <si>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</si>
  <si>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</si>
  <si>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</si>
  <si>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</si>
  <si>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</si>
  <si>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</si>
  <si>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</si>
  <si>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</si>
  <si>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</si>
  <si>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</si>
  <si>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</si>
  <si>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</si>
  <si>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</si>
  <si>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</si>
  <si>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</si>
  <si>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</si>
  <si>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</si>
  <si>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</si>
  <si>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</si>
  <si>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</si>
  <si>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</si>
  <si>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</si>
  <si>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</si>
  <si>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</si>
  <si>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</si>
  <si>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</si>
  <si>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</si>
  <si>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</si>
  <si>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</si>
  <si>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</si>
  <si>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</si>
  <si>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</si>
  <si>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</si>
  <si>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</si>
  <si>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</si>
  <si>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</si>
  <si>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</si>
  <si>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</si>
  <si>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</si>
  <si>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</si>
  <si>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</si>
  <si>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</si>
  <si>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</si>
  <si>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</si>
  <si>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</si>
  <si>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</si>
  <si>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</si>
  <si>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</si>
  <si>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</si>
  <si>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</si>
  <si>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</si>
  <si>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</si>
  <si>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</si>
  <si>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</si>
  <si>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</si>
  <si>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</si>
  <si>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</si>
  <si>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</si>
  <si>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</si>
  <si>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</si>
  <si>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</si>
  <si>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</si>
  <si>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</si>
  <si>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</si>
  <si>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</si>
  <si>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</si>
  <si>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</si>
  <si>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</si>
  <si>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</si>
  <si>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</si>
  <si>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</si>
  <si>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</si>
  <si>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</si>
  <si>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</si>
  <si>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</si>
  <si>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</si>
  <si>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</si>
  <si>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</si>
  <si>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</si>
  <si>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</si>
  <si>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</si>
  <si>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</si>
  <si>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</si>
  <si>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</si>
  <si>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</si>
  <si>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</si>
  <si>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</si>
  <si>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</si>
  <si>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</si>
  <si>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</si>
  <si>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</si>
  <si>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</si>
  <si>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</si>
  <si>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</si>
  <si>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</si>
  <si>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</si>
  <si>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</si>
  <si>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</si>
  <si>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</si>
  <si>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</si>
  <si>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</si>
  <si>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</si>
  <si>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</si>
  <si>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</si>
  <si>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</si>
  <si>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</si>
  <si>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</si>
  <si>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</si>
  <si>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</si>
  <si>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</si>
  <si>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</si>
  <si>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</si>
  <si>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</si>
  <si>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</si>
  <si>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</si>
  <si>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</si>
  <si>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</si>
  <si>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</si>
  <si>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</si>
  <si>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</si>
  <si>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</si>
  <si>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</si>
  <si>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</si>
  <si>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</si>
  <si>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</si>
  <si>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</si>
  <si>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</si>
  <si>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</si>
  <si>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</si>
  <si>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</si>
  <si>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</si>
  <si>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</si>
  <si>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</si>
  <si>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</si>
  <si>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</si>
  <si>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</si>
  <si>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</si>
  <si>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</si>
  <si>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</si>
  <si>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</si>
  <si>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</si>
  <si>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</si>
  <si>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</si>
  <si>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</si>
  <si>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</si>
  <si>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</si>
  <si>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</si>
  <si>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</si>
  <si>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</si>
  <si>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</si>
  <si>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</si>
  <si>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</si>
  <si>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</si>
  <si>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</si>
  <si>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</si>
  <si>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</si>
  <si>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</si>
  <si>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</si>
  <si>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</si>
  <si>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</si>
  <si>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</si>
  <si>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</si>
  <si>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</si>
  <si>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</si>
  <si>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</si>
  <si>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</si>
  <si>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</si>
  <si>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</si>
  <si>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</si>
  <si>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</si>
  <si>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</si>
  <si>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</si>
  <si>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</si>
  <si>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</si>
  <si>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</si>
  <si>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</si>
  <si>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</si>
  <si>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</si>
  <si>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</si>
  <si>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</si>
  <si>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</si>
  <si>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</si>
  <si>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</si>
  <si>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</si>
  <si>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</si>
  <si>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</si>
  <si>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</si>
  <si>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</si>
  <si>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</si>
  <si>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</si>
  <si>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</si>
  <si>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</si>
  <si>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</si>
  <si>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</si>
  <si>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</si>
  <si>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</si>
  <si>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</si>
  <si>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</si>
  <si>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</si>
  <si>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</si>
  <si>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</si>
  <si>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</si>
  <si>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</si>
  <si>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</si>
  <si>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</si>
  <si>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</si>
  <si>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</si>
  <si>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</si>
  <si>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</si>
  <si>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</si>
  <si>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</si>
  <si>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</si>
  <si>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</si>
  <si>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</si>
  <si>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</si>
  <si>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</si>
  <si>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</si>
  <si>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</si>
  <si>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</si>
  <si>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</si>
  <si>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</si>
  <si>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</si>
  <si>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</si>
  <si>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</si>
  <si>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</si>
  <si>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</si>
  <si>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</si>
  <si>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</si>
  <si>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</si>
  <si>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</si>
  <si>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</si>
  <si>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</si>
  <si>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</si>
  <si>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</si>
  <si>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</si>
  <si>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</si>
  <si>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</si>
  <si>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</si>
  <si>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</si>
  <si>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</si>
  <si>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</si>
  <si>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</si>
  <si>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</si>
  <si>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</si>
  <si>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</si>
  <si>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</si>
  <si>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</si>
  <si>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</si>
  <si>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</si>
  <si>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</si>
  <si>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</si>
  <si>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</si>
  <si>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</si>
  <si>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</si>
  <si>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</si>
  <si>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</si>
  <si>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</si>
  <si>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</si>
  <si>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</si>
  <si>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</si>
  <si>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</si>
  <si>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</si>
  <si>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</si>
  <si>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</si>
  <si>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</si>
  <si>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</si>
  <si>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</si>
  <si>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</si>
  <si>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</si>
  <si>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</si>
  <si>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</si>
  <si>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</si>
  <si>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</si>
  <si>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</si>
  <si>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</si>
  <si>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</si>
  <si>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</si>
  <si>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</si>
  <si>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</si>
  <si>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</si>
  <si>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</si>
  <si>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</si>
  <si>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</si>
  <si>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</si>
  <si>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</si>
  <si>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</si>
  <si>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</si>
  <si>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</si>
  <si>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</si>
  <si>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</si>
  <si>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</si>
  <si>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</si>
  <si>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</si>
  <si>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</si>
  <si>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</si>
  <si>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</si>
  <si>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</si>
  <si>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</si>
  <si>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</si>
  <si>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</si>
  <si>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</si>
  <si>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</si>
  <si>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</si>
  <si>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</si>
  <si>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</si>
  <si>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</si>
  <si>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</si>
  <si>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</si>
  <si>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</si>
  <si>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</si>
  <si>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</si>
  <si>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</si>
  <si>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</si>
  <si>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</si>
  <si>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</si>
  <si>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</si>
  <si>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</si>
  <si>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</si>
  <si>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</si>
  <si>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</si>
  <si>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</si>
  <si>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</si>
  <si>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</si>
  <si>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</si>
  <si>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</si>
  <si>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</si>
  <si>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</si>
  <si>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</si>
  <si>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</si>
  <si>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</si>
  <si>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</si>
  <si>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</si>
  <si>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</si>
  <si>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</si>
  <si>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</si>
  <si>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</si>
  <si>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</si>
  <si>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</si>
  <si>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</si>
  <si>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</si>
  <si>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</si>
  <si>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</si>
  <si>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</si>
  <si>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</si>
  <si>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</si>
  <si>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</si>
  <si>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</si>
  <si>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</si>
  <si>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</si>
  <si>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</si>
  <si>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</si>
  <si>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</si>
  <si>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</si>
  <si>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</si>
  <si>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</si>
  <si>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</si>
  <si>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</si>
  <si>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</si>
  <si>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</si>
  <si>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</si>
  <si>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</si>
  <si>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</si>
  <si>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</si>
  <si>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</si>
  <si>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</si>
  <si>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</si>
  <si>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</si>
  <si>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</si>
  <si>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</si>
  <si>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</si>
  <si>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</si>
  <si>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</si>
  <si>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</si>
  <si>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</si>
  <si>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</si>
  <si>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</si>
  <si>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</si>
  <si>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</si>
  <si>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</si>
  <si>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</si>
  <si>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</si>
  <si>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</si>
  <si>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</si>
  <si>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</si>
  <si>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</si>
  <si>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</si>
  <si>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</si>
  <si>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</si>
  <si>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</si>
  <si>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</si>
  <si>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</si>
  <si>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</si>
  <si>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</si>
  <si>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</si>
  <si>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</si>
  <si>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</si>
  <si>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</si>
  <si>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</si>
  <si>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</si>
  <si>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</si>
  <si>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</si>
  <si>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</si>
  <si>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</si>
  <si>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</si>
  <si>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</si>
  <si>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</si>
  <si>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</si>
  <si>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</si>
  <si>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</si>
  <si>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</si>
  <si>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</si>
  <si>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</si>
  <si>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</si>
  <si>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</si>
  <si>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</si>
  <si>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</si>
  <si>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</si>
  <si>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</si>
  <si>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</si>
  <si>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</si>
  <si>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</si>
  <si>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</si>
  <si>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</si>
  <si>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</si>
  <si>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</si>
  <si>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</si>
  <si>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</si>
  <si>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</si>
  <si>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</si>
  <si>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</si>
  <si>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</si>
  <si>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</si>
  <si>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</si>
  <si>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</si>
  <si>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</si>
  <si>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</si>
  <si>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</si>
  <si>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</si>
  <si>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</si>
  <si>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</si>
  <si>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</si>
  <si>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</si>
  <si>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</si>
  <si>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</si>
  <si>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</si>
  <si>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</si>
  <si>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</si>
  <si>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</si>
  <si>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</si>
  <si>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</si>
  <si>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</si>
  <si>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</si>
  <si>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</si>
  <si>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</si>
  <si>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</si>
  <si>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</si>
  <si>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</si>
  <si>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</si>
  <si>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</si>
  <si>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</si>
  <si>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</si>
  <si>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</si>
  <si>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</si>
  <si>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</si>
  <si>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</si>
  <si>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</si>
  <si>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</si>
  <si>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</si>
  <si>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</si>
  <si>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</si>
  <si>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</si>
  <si>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</si>
  <si>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</si>
  <si>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</si>
  <si>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</si>
  <si>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</si>
  <si>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</si>
  <si>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</si>
  <si>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</si>
  <si>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</si>
  <si>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</si>
  <si>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</si>
  <si>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</si>
  <si>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</si>
  <si>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</si>
  <si>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</si>
  <si>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</si>
  <si>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</si>
  <si>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</si>
  <si>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</si>
  <si>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</si>
  <si>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</si>
  <si>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</si>
  <si>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</si>
  <si>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</si>
  <si>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</si>
  <si>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</si>
  <si>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</si>
  <si>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</si>
  <si>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</si>
  <si>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</si>
  <si>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</si>
  <si>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</si>
  <si>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</si>
  <si>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</si>
  <si>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</si>
  <si>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</si>
  <si>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</si>
  <si>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</si>
  <si>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</si>
  <si>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</si>
  <si>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</si>
  <si>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</si>
  <si>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</si>
  <si>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</si>
  <si>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</si>
  <si>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</si>
  <si>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</si>
  <si>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</si>
  <si>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</si>
  <si>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</si>
  <si>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</si>
  <si>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</si>
  <si>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</si>
  <si>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</si>
  <si>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</si>
  <si>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</si>
  <si>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</si>
  <si>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</si>
  <si>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</si>
  <si>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</si>
  <si>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</si>
  <si>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</si>
  <si>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</si>
  <si>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</si>
  <si>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</si>
  <si>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</si>
  <si>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</si>
  <si>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</si>
  <si>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</si>
  <si>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</si>
  <si>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</si>
  <si>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</si>
  <si>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</si>
  <si>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</si>
  <si>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</si>
  <si>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</si>
  <si>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</si>
  <si>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</si>
  <si>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</si>
  <si>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</si>
  <si>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</si>
  <si>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</si>
  <si>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</si>
  <si>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</si>
  <si>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</si>
  <si>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</si>
  <si>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</si>
  <si>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</si>
  <si>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</si>
  <si>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</si>
  <si>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</si>
  <si>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</si>
  <si>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</si>
  <si>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</si>
  <si>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</si>
  <si>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</si>
  <si>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</si>
  <si>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</si>
  <si>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</si>
  <si>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</si>
  <si>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</si>
  <si>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</si>
  <si>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</si>
  <si>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</si>
  <si>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</si>
  <si>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</si>
  <si>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</si>
  <si>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</si>
  <si>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</si>
  <si>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</si>
  <si>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</si>
  <si>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</si>
  <si>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</si>
  <si>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</si>
  <si>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</si>
  <si>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</si>
  <si>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</si>
  <si>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</si>
  <si>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</si>
  <si>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</si>
  <si>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</si>
  <si>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</si>
  <si>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</si>
  <si>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</si>
  <si>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</si>
  <si>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</si>
  <si>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</si>
  <si>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</si>
  <si>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</si>
  <si>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</si>
  <si>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</si>
  <si>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</si>
  <si>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</si>
  <si>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</si>
  <si>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</si>
  <si>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</si>
  <si>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</si>
  <si>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</si>
  <si>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</si>
  <si>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</si>
  <si>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</si>
  <si>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</si>
  <si>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</si>
  <si>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</si>
  <si>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</si>
  <si>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</si>
  <si>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</si>
  <si>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</si>
  <si>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</si>
  <si>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</si>
  <si>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</si>
  <si>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</si>
  <si>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</si>
  <si>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</si>
  <si>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</si>
  <si>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</si>
  <si>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</si>
  <si>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</si>
  <si>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</si>
  <si>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</si>
  <si>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</si>
  <si>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</si>
  <si>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</si>
  <si>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</si>
  <si>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</si>
  <si>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</si>
  <si>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</si>
  <si>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</si>
  <si>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</si>
  <si>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</si>
  <si>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</si>
  <si>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</si>
  <si>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</si>
  <si>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</si>
  <si>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</si>
  <si>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</si>
  <si>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</si>
  <si>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</si>
  <si>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</si>
  <si>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</si>
  <si>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</si>
  <si>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</si>
  <si>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</si>
  <si>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</si>
  <si>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</si>
  <si>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</si>
  <si>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</si>
  <si>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</si>
  <si>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</si>
  <si>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</si>
  <si>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</si>
  <si>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</si>
  <si>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</si>
  <si>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</si>
  <si>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</si>
  <si>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</si>
  <si>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</si>
  <si>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</si>
  <si>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</si>
  <si>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</si>
  <si>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</si>
  <si>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</si>
  <si>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</si>
  <si>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</si>
  <si>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</si>
  <si>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</si>
  <si>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</si>
  <si>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</si>
  <si>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</si>
  <si>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</si>
  <si>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</si>
  <si>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</si>
  <si>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</si>
  <si>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</si>
  <si>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</si>
  <si>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</si>
  <si>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</si>
  <si>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</si>
  <si>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</si>
  <si>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</si>
  <si>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</si>
  <si>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</si>
  <si>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</si>
  <si>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</si>
  <si>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</si>
  <si>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</si>
  <si>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</si>
  <si>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</si>
  <si>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</si>
  <si>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</si>
  <si>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</si>
  <si>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</si>
  <si>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</si>
  <si>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</si>
  <si>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</si>
  <si>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</si>
  <si>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</si>
  <si>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</si>
  <si>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</si>
  <si>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</si>
  <si>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</si>
  <si>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</si>
  <si>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</si>
  <si>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</si>
  <si>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</si>
  <si>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</si>
  <si>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</si>
  <si>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</si>
  <si>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</si>
  <si>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</si>
  <si>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</si>
  <si>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</si>
  <si>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</si>
  <si>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</si>
  <si>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</si>
  <si>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</si>
  <si>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</si>
  <si>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</si>
  <si>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</si>
  <si>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</si>
  <si>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</si>
  <si>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</si>
  <si>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</si>
  <si>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</si>
  <si>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</si>
  <si>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</si>
  <si>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</si>
  <si>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</si>
  <si>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</si>
  <si>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</si>
  <si>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</si>
  <si>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</si>
  <si>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</si>
  <si>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</si>
  <si>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</si>
  <si>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</si>
  <si>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</si>
  <si>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</si>
  <si>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</si>
  <si>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</si>
  <si>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</si>
  <si>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</si>
  <si>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</si>
  <si>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</si>
  <si>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</si>
  <si>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</si>
  <si>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</si>
  <si>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</si>
  <si>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</si>
  <si>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</si>
  <si>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</si>
  <si>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</si>
  <si>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</si>
  <si>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</si>
  <si>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</si>
  <si>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</si>
  <si>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</si>
  <si>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</si>
  <si>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</si>
  <si>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</si>
  <si>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</si>
  <si>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</si>
  <si>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</si>
  <si>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</si>
  <si>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</si>
  <si>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</si>
  <si>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</si>
  <si>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</si>
  <si>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</si>
  <si>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</si>
  <si>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</si>
  <si>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</si>
  <si>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</si>
  <si>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</si>
  <si>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</si>
  <si>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</si>
  <si>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</si>
  <si>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</si>
  <si>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</si>
  <si>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</si>
  <si>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</si>
  <si>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</si>
  <si>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</si>
  <si>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</si>
  <si>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</si>
  <si>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</si>
  <si>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</si>
  <si>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</si>
  <si>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</si>
  <si>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</si>
  <si>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</si>
  <si>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</si>
  <si>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</si>
  <si>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</si>
  <si>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</si>
  <si>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</si>
  <si>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</si>
  <si>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</si>
  <si>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</si>
  <si>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</si>
  <si>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</si>
  <si>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</si>
  <si>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</si>
  <si>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</si>
  <si>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</si>
  <si>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</si>
  <si>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</si>
  <si>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</si>
  <si>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</si>
  <si>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</si>
  <si>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</si>
  <si>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</si>
  <si>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</si>
  <si>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</si>
  <si>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</si>
  <si>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</si>
  <si>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</si>
  <si>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</si>
  <si>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</si>
  <si>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</si>
  <si>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</si>
  <si>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</si>
  <si>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</si>
  <si>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</si>
  <si>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</si>
  <si>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</si>
  <si>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</si>
  <si>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</si>
  <si>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</si>
  <si>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</si>
  <si>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</si>
  <si>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</si>
  <si>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</si>
  <si>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</si>
  <si>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</si>
  <si>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</si>
  <si>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</si>
  <si>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</si>
  <si>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</si>
  <si>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</si>
  <si>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</si>
  <si>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</si>
  <si>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</si>
  <si>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</si>
  <si>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</si>
  <si>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</si>
  <si>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</si>
  <si>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</si>
  <si>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</si>
  <si>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</si>
  <si>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</si>
  <si>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</si>
  <si>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</si>
  <si>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</si>
  <si>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</si>
  <si>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</si>
  <si>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</si>
  <si>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</si>
  <si>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</si>
  <si>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</si>
  <si>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</si>
  <si>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</si>
  <si>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</si>
  <si>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</si>
  <si>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</si>
  <si>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</si>
  <si>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</si>
  <si>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</si>
  <si>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</si>
  <si>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</si>
  <si>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</si>
  <si>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</si>
  <si>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</si>
  <si>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</si>
  <si>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</si>
  <si>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</si>
  <si>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</si>
  <si>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</si>
  <si>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</si>
  <si>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</si>
  <si>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</si>
  <si>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</si>
  <si>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</si>
  <si>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</si>
  <si>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</si>
  <si>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</si>
  <si>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</si>
  <si>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</si>
  <si>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</si>
  <si>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</si>
  <si>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</si>
  <si>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</si>
  <si>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</si>
  <si>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</si>
  <si>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</si>
  <si>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</si>
  <si>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</si>
  <si>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</si>
  <si>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</si>
  <si>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</si>
  <si>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</si>
  <si>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</si>
  <si>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</si>
  <si>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</si>
  <si>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</si>
  <si>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</si>
  <si>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</si>
  <si>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</si>
  <si>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</si>
  <si>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</si>
  <si>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</si>
  <si>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</si>
  <si>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</si>
  <si>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</si>
  <si>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</si>
  <si>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</si>
  <si>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</si>
  <si>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</si>
  <si>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</si>
  <si>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</si>
  <si>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</si>
  <si>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</si>
  <si>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</si>
  <si>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</si>
  <si>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</si>
  <si>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</si>
  <si>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</si>
  <si>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</si>
  <si>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</si>
  <si>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</si>
  <si>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</si>
  <si>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</si>
  <si>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</si>
  <si>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</si>
  <si>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</si>
  <si>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</si>
  <si>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</si>
  <si>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</si>
  <si>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</si>
  <si>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</si>
  <si>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</si>
  <si>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</si>
  <si>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</si>
  <si>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</si>
  <si>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</si>
  <si>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</si>
  <si>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</si>
  <si>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</si>
  <si>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</si>
  <si>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</si>
  <si>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</si>
  <si>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</si>
  <si>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</si>
  <si>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</si>
  <si>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</si>
  <si>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</si>
  <si>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</si>
  <si>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</si>
  <si>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</si>
  <si>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</si>
  <si>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</si>
  <si>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</si>
  <si>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</si>
  <si>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</si>
  <si>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</si>
  <si>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</si>
  <si>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</si>
  <si>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</si>
  <si>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</si>
  <si>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</si>
  <si>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</si>
  <si>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</si>
  <si>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</si>
  <si>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</si>
  <si>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</si>
  <si>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</si>
  <si>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</si>
  <si>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</si>
  <si>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</si>
  <si>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</si>
  <si>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</si>
  <si>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</si>
  <si>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</si>
  <si>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</si>
  <si>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</si>
  <si>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</si>
  <si>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</si>
  <si>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</si>
  <si>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</si>
  <si>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</si>
  <si>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</si>
  <si>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</si>
  <si>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</si>
  <si>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</si>
  <si>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</si>
  <si>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</si>
  <si>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</si>
  <si>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</si>
  <si>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</si>
  <si>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</si>
  <si>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</si>
  <si>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</si>
  <si>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</si>
  <si>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</si>
  <si>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</si>
  <si>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</si>
  <si>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</si>
  <si>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</si>
  <si>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</si>
  <si>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</si>
  <si>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</si>
  <si>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</si>
  <si>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</si>
  <si>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</si>
  <si>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</si>
  <si>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</si>
  <si>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</si>
  <si>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</si>
  <si>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</si>
  <si>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</si>
  <si>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</si>
  <si>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</si>
  <si>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</si>
  <si>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</si>
  <si>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</si>
  <si>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</si>
  <si>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</si>
  <si>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</si>
  <si>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</si>
  <si>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</si>
  <si>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</si>
  <si>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</si>
  <si>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</si>
  <si>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</si>
  <si>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</si>
  <si>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</si>
  <si>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</si>
  <si>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</si>
  <si>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</si>
  <si>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</si>
  <si>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</si>
  <si>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</si>
  <si>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</si>
  <si>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</si>
  <si>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</si>
  <si>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</si>
  <si>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</si>
  <si>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</si>
  <si>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</si>
  <si>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</si>
  <si>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</si>
  <si>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</si>
  <si>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</si>
  <si>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</si>
  <si>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</si>
  <si>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</si>
  <si>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</si>
  <si>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</si>
  <si>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</si>
  <si>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</si>
  <si>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</si>
  <si>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</si>
  <si>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</si>
  <si>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</si>
  <si>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</si>
  <si>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</si>
  <si>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</si>
  <si>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</si>
  <si>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</si>
  <si>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</si>
  <si>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</si>
  <si>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</si>
  <si>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</si>
  <si>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</si>
  <si>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</si>
  <si>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</si>
  <si>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</si>
  <si>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</si>
  <si>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</si>
  <si>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</si>
  <si>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</si>
  <si>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</si>
  <si>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</si>
  <si>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</si>
  <si>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</si>
  <si>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</si>
  <si>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</si>
  <si>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</si>
  <si>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</si>
  <si>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</si>
  <si>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</si>
  <si>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</si>
  <si>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</si>
  <si>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</si>
  <si>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</si>
  <si>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</si>
  <si>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</si>
  <si>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</si>
  <si>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</si>
  <si>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</si>
  <si>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</si>
  <si>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</si>
  <si>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</si>
  <si>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</si>
  <si>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</si>
  <si>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</si>
  <si>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</si>
  <si>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</si>
  <si>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</si>
  <si>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</si>
  <si>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</si>
  <si>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</si>
  <si>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</si>
  <si>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</si>
  <si>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</si>
  <si>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</si>
  <si>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</si>
  <si>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</si>
  <si>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</si>
  <si>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</si>
  <si>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</si>
  <si>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</si>
  <si>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</si>
  <si>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</si>
  <si>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</si>
  <si>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</si>
  <si>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</si>
  <si>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</si>
  <si>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</si>
  <si>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</si>
  <si>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</si>
  <si>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</si>
  <si>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</si>
  <si>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</si>
  <si>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</si>
  <si>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</si>
  <si>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</si>
  <si>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</si>
  <si>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</si>
  <si>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</si>
  <si>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</si>
  <si>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</si>
  <si>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</si>
  <si>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</si>
  <si>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</si>
  <si>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</si>
  <si>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</si>
  <si>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</si>
  <si>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</si>
  <si>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</si>
  <si>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</si>
  <si>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</si>
  <si>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</si>
  <si>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</si>
  <si>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</si>
  <si>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</si>
  <si>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</si>
  <si>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</si>
  <si>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</si>
  <si>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</si>
  <si>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</si>
  <si>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</si>
  <si>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</si>
  <si>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</si>
  <si>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</si>
  <si>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</si>
  <si>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</si>
  <si>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</si>
  <si>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</si>
  <si>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</si>
  <si>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</si>
  <si>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</si>
  <si>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</si>
  <si>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</si>
  <si>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</si>
  <si>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</si>
  <si>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</si>
  <si>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</si>
  <si>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</si>
  <si>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</si>
  <si>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</si>
  <si>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</si>
  <si>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</si>
  <si>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</si>
  <si>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</si>
  <si>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</si>
  <si>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</si>
  <si>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</si>
  <si>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</si>
  <si>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</si>
  <si>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</si>
  <si>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</si>
  <si>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</si>
  <si>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</si>
  <si>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</si>
  <si>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</si>
  <si>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</si>
  <si>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</si>
  <si>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</si>
  <si>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</si>
  <si>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</si>
  <si>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</si>
  <si>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</si>
  <si>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</si>
  <si>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</si>
  <si>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</si>
  <si>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</si>
  <si>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</si>
  <si>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</si>
  <si>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</si>
  <si>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</si>
  <si>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</si>
  <si>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</si>
  <si>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</si>
  <si>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</si>
  <si>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</si>
  <si>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</si>
  <si>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</si>
  <si>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</si>
  <si>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</si>
  <si>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</si>
  <si>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</si>
  <si>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</si>
  <si>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</si>
  <si>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</si>
  <si>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</si>
  <si>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</si>
  <si>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</si>
  <si>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</si>
  <si>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</si>
  <si>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</si>
  <si>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</si>
  <si>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</si>
  <si>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</si>
  <si>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</si>
  <si>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</si>
  <si>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</si>
  <si>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</si>
  <si>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</si>
  <si>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</si>
  <si>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</si>
  <si>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</si>
  <si>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</si>
  <si>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</si>
  <si>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</si>
  <si>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</si>
  <si>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</si>
  <si>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</si>
  <si>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</si>
  <si>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</si>
  <si>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</si>
  <si>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</si>
  <si>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</si>
  <si>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</si>
  <si>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</si>
  <si>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</si>
  <si>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</si>
  <si>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</si>
  <si>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</si>
  <si>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</si>
  <si>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</si>
  <si>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</si>
  <si>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</si>
  <si>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</si>
  <si>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</si>
  <si>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</si>
  <si>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</si>
  <si>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</si>
  <si>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</si>
  <si>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</si>
  <si>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</si>
  <si>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</si>
  <si>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</si>
  <si>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</si>
  <si>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</si>
  <si>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</si>
  <si>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</si>
  <si>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</si>
  <si>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</si>
  <si>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</si>
  <si>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</si>
  <si>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</si>
  <si>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</si>
  <si>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</si>
  <si>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</si>
  <si>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</si>
  <si>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</si>
  <si>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</si>
  <si>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</si>
  <si>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</si>
  <si>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</si>
  <si>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</si>
  <si>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</si>
  <si>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</si>
  <si>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</si>
  <si>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</si>
  <si>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</si>
  <si>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</si>
  <si>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</si>
  <si>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</si>
  <si>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</si>
  <si>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</si>
  <si>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</si>
  <si>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</si>
  <si>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</si>
  <si>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</si>
  <si>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</si>
  <si>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</si>
  <si>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</si>
  <si>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</si>
  <si>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</si>
  <si>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</si>
  <si>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</si>
  <si>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</si>
  <si>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</si>
  <si>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</si>
  <si>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</si>
  <si>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</si>
  <si>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</si>
  <si>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</si>
  <si>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</si>
  <si>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</si>
  <si>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</si>
  <si>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</si>
  <si>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</si>
  <si>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</si>
  <si>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</si>
  <si>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</si>
  <si>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</si>
  <si>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</si>
  <si>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</si>
  <si>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</si>
  <si>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</si>
  <si>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</si>
  <si>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</si>
  <si>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</si>
  <si>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</si>
  <si>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</si>
  <si>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</si>
  <si>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</si>
  <si>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</si>
  <si>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</si>
  <si>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</si>
  <si>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</si>
  <si>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</si>
  <si>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</si>
  <si>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</si>
  <si>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</si>
  <si>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</si>
  <si>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</si>
  <si>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</si>
  <si>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</si>
  <si>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</si>
  <si>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</si>
  <si>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</si>
  <si>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</si>
  <si>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</si>
  <si>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</si>
  <si>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</si>
  <si>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</si>
  <si>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</si>
  <si>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</si>
  <si>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</si>
  <si>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</si>
  <si>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</si>
  <si>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</si>
  <si>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</si>
  <si>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</si>
  <si>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</si>
  <si>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</si>
  <si>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</si>
  <si>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</si>
  <si>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</si>
  <si>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</si>
  <si>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</si>
  <si>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</si>
  <si>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</si>
  <si>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</si>
  <si>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</si>
  <si>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</si>
  <si>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</si>
  <si>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</si>
  <si>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</si>
  <si>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</si>
  <si>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</si>
  <si>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</si>
  <si>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</si>
  <si>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</si>
  <si>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</si>
  <si>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</si>
  <si>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</si>
  <si>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</si>
  <si>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</si>
  <si>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</si>
  <si>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</si>
  <si>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</si>
  <si>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</si>
  <si>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</si>
  <si>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</si>
  <si>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</si>
  <si>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</si>
  <si>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</si>
  <si>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</si>
  <si>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</si>
  <si>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</si>
  <si>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</si>
  <si>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</si>
  <si>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</si>
  <si>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</si>
  <si>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</si>
  <si>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</si>
  <si>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</si>
  <si>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</si>
  <si>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</si>
  <si>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</si>
  <si>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</si>
  <si>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</si>
  <si>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</si>
  <si>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</si>
  <si>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</si>
  <si>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</si>
  <si>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</si>
  <si>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</si>
  <si>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</si>
  <si>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</si>
  <si>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</si>
  <si>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</si>
  <si>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</si>
  <si>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</si>
  <si>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</si>
  <si>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</si>
  <si>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</si>
  <si>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</si>
  <si>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</si>
  <si>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</si>
  <si>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</si>
  <si>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</si>
  <si>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</si>
  <si>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</si>
  <si>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</si>
  <si>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</si>
  <si>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</si>
  <si>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</si>
  <si>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</si>
  <si>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</si>
  <si>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</si>
  <si>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</si>
  <si>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</si>
  <si>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</si>
  <si>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</si>
  <si>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</si>
  <si>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</si>
  <si>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</si>
  <si>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</si>
  <si>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</si>
  <si>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</si>
  <si>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</si>
  <si>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</si>
  <si>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</si>
  <si>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</si>
  <si>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</si>
  <si>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</si>
  <si>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</si>
  <si>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</si>
  <si>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</si>
  <si>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</si>
  <si>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</si>
  <si>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</si>
  <si>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</si>
  <si>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</si>
  <si>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</si>
  <si>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</si>
  <si>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</si>
  <si>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</si>
  <si>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</si>
  <si>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</si>
  <si>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</si>
  <si>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</si>
  <si>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</si>
  <si>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</si>
  <si>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</si>
  <si>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</si>
  <si>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</si>
  <si>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</si>
  <si>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</si>
  <si>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</si>
  <si>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</si>
  <si>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</si>
  <si>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</si>
  <si>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</si>
  <si>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</si>
  <si>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</si>
  <si>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</si>
  <si>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</si>
  <si>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</si>
  <si>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</si>
  <si>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</si>
  <si>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</si>
  <si>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</si>
  <si>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</si>
  <si>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</si>
  <si>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</si>
  <si>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</si>
  <si>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</si>
  <si>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</si>
  <si>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</si>
  <si>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</si>
  <si>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</si>
  <si>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</si>
  <si>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</si>
  <si>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</si>
  <si>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</si>
  <si>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</si>
  <si>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</si>
  <si>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</si>
  <si>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</si>
  <si>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</si>
  <si>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</si>
  <si>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</si>
  <si>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</si>
  <si>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</si>
  <si>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</si>
  <si>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</si>
  <si>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</si>
  <si>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</si>
  <si>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</si>
  <si>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</si>
  <si>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</si>
  <si>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</si>
  <si>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</si>
  <si>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</si>
  <si>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</si>
  <si>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</si>
  <si>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</si>
  <si>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</si>
  <si>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</si>
  <si>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</si>
  <si>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</si>
  <si>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</si>
  <si>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</si>
  <si>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</si>
  <si>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</si>
  <si>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</si>
  <si>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</si>
  <si>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</si>
  <si>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</si>
  <si>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</si>
  <si>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</si>
  <si>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陈颖</t>
  </si>
  <si>
    <t>北京市</t>
  </si>
  <si>
    <t>自然人</t>
  </si>
  <si>
    <t>商务金融用地</t>
  </si>
  <si>
    <t>自定义容积率</t>
  </si>
  <si>
    <t>不临65条商业街</t>
  </si>
  <si>
    <t>与级别开发程度不一致</t>
  </si>
  <si>
    <t>通路</t>
  </si>
  <si>
    <t>通电</t>
  </si>
  <si>
    <t>通讯</t>
  </si>
  <si>
    <t>通上水</t>
  </si>
  <si>
    <t>通下水</t>
  </si>
  <si>
    <t>通热</t>
  </si>
  <si>
    <t>平整</t>
  </si>
  <si>
    <t>中心城区以外</t>
  </si>
  <si>
    <t>小区</t>
  </si>
  <si>
    <t>平米租金(元/㎡·月)</t>
  </si>
  <si>
    <t>乐想汇</t>
  </si>
  <si>
    <t>国际城乐想汇</t>
  </si>
  <si>
    <t>地上</t>
  </si>
  <si>
    <t>办公</t>
    <phoneticPr fontId="7" type="noConversion"/>
  </si>
  <si>
    <t>是</t>
  </si>
  <si>
    <t>成新度</t>
  </si>
  <si>
    <t>收益法 (元)</t>
  </si>
  <si>
    <t>一般</t>
  </si>
  <si>
    <t>较好</t>
  </si>
  <si>
    <t>较差</t>
  </si>
  <si>
    <t>好</t>
  </si>
  <si>
    <t>押一</t>
  </si>
  <si>
    <t>钢混</t>
  </si>
  <si>
    <t>非生产用房</t>
  </si>
  <si>
    <t>成本法 (元)</t>
  </si>
  <si>
    <t>清河营东路2号院2号楼4层420</t>
    <phoneticPr fontId="134" type="noConversion"/>
  </si>
  <si>
    <t xml:space="preserve"> 2021/11/30</t>
    <phoneticPr fontId="134" type="noConversion"/>
  </si>
  <si>
    <r>
      <t>马家堡路2</t>
    </r>
    <r>
      <rPr>
        <sz val="11"/>
        <color theme="1"/>
        <rFont val="宋体"/>
        <family val="3"/>
        <charset val="134"/>
        <scheme val="minor"/>
      </rPr>
      <t>5号</t>
    </r>
    <phoneticPr fontId="134" type="noConversion"/>
  </si>
  <si>
    <t>四路通</t>
    <phoneticPr fontId="134" type="noConversion"/>
  </si>
  <si>
    <t>利息：取LPR加浮动点数</t>
  </si>
  <si>
    <t>否</t>
  </si>
  <si>
    <t>面积</t>
    <phoneticPr fontId="134" type="noConversion"/>
  </si>
  <si>
    <t>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</si>
</sst>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4" fontId="269" fillId="0" borderId="0" xfId="19" applyNumberFormat="1"/>
    <xf numFmtId="0" fontId="269" fillId="0" borderId="0" xfId="19" applyNumberFormat="1"/>
    <xf numFmtId="3" fontId="269" fillId="0" borderId="0" xfId="19" applyNumberFormat="1"/>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69" fillId="0" borderId="0" xfId="19" applyNumberFormat="1"/>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533018</xdr:colOff>
      <xdr:row>29</xdr:row>
      <xdr:rowOff>94944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95600"/>
          <a:ext cx="3057143" cy="2447619"/>
        </a:xfrm>
        <a:prstGeom prst="rect">
          <a:avLst/>
        </a:prstGeom>
      </xdr:spPr>
    </xdr:pic>
    <xdr:clientData/>
  </xdr:twoCellAnchor>
  <xdr:twoCellAnchor editAs="oneCell">
    <xdr:from>
      <xdr:col>0</xdr:col>
      <xdr:colOff>9525</xdr:colOff>
      <xdr:row>29</xdr:row>
      <xdr:rowOff>76200</xdr:rowOff>
    </xdr:from>
    <xdr:to>
      <xdr:col>2</xdr:col>
      <xdr:colOff>313971</xdr:colOff>
      <xdr:row>42</xdr:row>
      <xdr:rowOff>9239</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5324475"/>
          <a:ext cx="2828571" cy="2285714"/>
        </a:xfrm>
        <a:prstGeom prst="rect">
          <a:avLst/>
        </a:prstGeom>
      </xdr:spPr>
    </xdr:pic>
    <xdr:clientData/>
  </xdr:twoCellAnchor>
  <xdr:twoCellAnchor editAs="oneCell">
    <xdr:from>
      <xdr:col>0</xdr:col>
      <xdr:colOff>0</xdr:colOff>
      <xdr:row>39</xdr:row>
      <xdr:rowOff>9525</xdr:rowOff>
    </xdr:from>
    <xdr:to>
      <xdr:col>2</xdr:col>
      <xdr:colOff>590161</xdr:colOff>
      <xdr:row>45</xdr:row>
      <xdr:rowOff>114151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67550"/>
          <a:ext cx="3114286" cy="11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447105</xdr:colOff>
      <xdr:row>18</xdr:row>
      <xdr:rowOff>47233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61905" cy="3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估价对象为北京市房地产，为所有。根据《国有土地使用证》[]，估价对象（分摊）出让国有建设用地使用权面积为0平方米，建筑面积为71.7平方米。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2024年4月18日</v>
      </c>
    </row>
    <row r="13" spans="1:2" s="1203" customFormat="1">
      <c r="A13" s="1201" t="s">
        <v>529</v>
      </c>
      <c r="B13" s="1202"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71.7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11" sqref="K1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K31" sqref="K31"/>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4" t="s">
        <v>2583</v>
      </c>
      <c r="J2" s="3494"/>
      <c r="K2" s="3494"/>
      <c r="L2" s="3494"/>
      <c r="M2" s="3494"/>
      <c r="N2" s="3494"/>
      <c r="O2" s="3494"/>
      <c r="P2" s="3494"/>
      <c r="Q2" s="3494"/>
      <c r="R2" s="3494"/>
    </row>
    <row r="3" spans="1:18">
      <c r="A3" s="3020" t="s">
        <v>2504</v>
      </c>
      <c r="B3" s="3021">
        <f>项目基本情况!D3</f>
        <v>45400</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2.67</v>
      </c>
      <c r="D5" s="3025">
        <f>IF(ISERROR(ROUND(POWER(1+E5,A5-C5)*(POWER(1+E5,C5)-1)/(POWER(1+E5,A5)-1),3)),0,ROUND(POWER(1+E5,A5-C5)*(POWER(1+E5,C5)-1)/(POWER(1+E5,A5)-1),4))</f>
        <v>0.12559999999999999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12.67</v>
      </c>
      <c r="D6" s="3025">
        <f>IF(ISERROR(ROUND(POWER(1+E6,A6-C6)*(POWER(1+E6,C6)-1)/(POWER(1+E6,A6)-1),3)),0,ROUND(POWER(1+E6,A6-C6)*(POWER(1+E6,C6)-1)/(POWER(1+E6,A6)-1),4))</f>
        <v>0.45569999999999999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32.69</v>
      </c>
      <c r="D7" s="3025">
        <f>IF(ISERROR(ROUND(POWER(1+E7,A7-C7)*(POWER(1+E7,C7)-1)/(POWER(1+E7,A7)-1),3)),0,ROUND(POWER(1+E7,A7-C7)*(POWER(1+E7,C7)-1)/(POWER(1+E7,A7)-1),4))</f>
        <v>0.77210000000000001</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5" t="str">
        <f>IF(B10="北京市","北京市",C10)&amp;F10&amp;IF(结果表!G1="在建","出让国有建设用地使用权及在建建筑物",IF(结果表!G1="土地","出让国有建设用地使用权",))&amp;B9&amp;"预评估"</f>
        <v>北京市预评估</v>
      </c>
      <c r="C1" s="3496"/>
      <c r="D1" s="3496"/>
      <c r="E1" s="3496"/>
      <c r="F1" s="3496"/>
      <c r="G1" s="3496"/>
      <c r="H1" s="3496"/>
      <c r="I1" s="349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45400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3382</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8" t="s">
        <v>2177</v>
      </c>
      <c r="E8" s="2391"/>
      <c r="F8" s="2392"/>
      <c r="G8" s="2663"/>
      <c r="H8" s="2663"/>
      <c r="I8" s="2663"/>
      <c r="J8" s="2439"/>
      <c r="K8" s="2614"/>
      <c r="L8" s="2613"/>
      <c r="M8" s="2613"/>
      <c r="N8" s="2439"/>
      <c r="O8" s="2450"/>
      <c r="P8" s="2439"/>
      <c r="Q8" s="2439"/>
      <c r="R8" s="2439"/>
    </row>
    <row r="9" spans="1:30" ht="13.5" thickBot="1">
      <c r="A9" s="2393" t="s">
        <v>2178</v>
      </c>
      <c r="B9" s="2394"/>
      <c r="C9" s="2395"/>
      <c r="D9" s="3499"/>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3334</v>
      </c>
      <c r="B13" s="2407" t="s">
        <v>2190</v>
      </c>
      <c r="C13" s="856"/>
      <c r="D13" s="856"/>
      <c r="E13" s="856">
        <v>57780</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33.909999999999997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5"/>
      <c r="C16" s="3506"/>
      <c r="D16" s="3507"/>
      <c r="E16" s="2413" t="s">
        <v>2194</v>
      </c>
      <c r="F16" s="3508"/>
      <c r="G16" s="3509"/>
      <c r="H16" s="3509"/>
      <c r="I16" s="3510"/>
      <c r="J16" s="2439"/>
      <c r="K16" s="2617"/>
      <c r="L16" s="2451"/>
      <c r="M16" s="2451"/>
      <c r="N16" s="2509"/>
      <c r="O16" s="2451"/>
      <c r="P16" s="2509"/>
      <c r="Q16" s="2439"/>
      <c r="R16" s="2439"/>
    </row>
    <row r="17" spans="1:28">
      <c r="A17" s="313" t="s">
        <v>2195</v>
      </c>
      <c r="B17" s="302" t="s">
        <v>2196</v>
      </c>
      <c r="C17" s="8">
        <f>'数据-汇总表'!E3</f>
        <v>71.7</v>
      </c>
      <c r="D17" s="2322" t="s">
        <v>2197</v>
      </c>
      <c r="E17" s="3511" t="s">
        <v>2198</v>
      </c>
      <c r="F17" s="3512"/>
      <c r="G17" s="3512"/>
      <c r="H17" s="3512"/>
      <c r="I17" s="351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4" t="s">
        <v>2202</v>
      </c>
      <c r="F18" s="3515"/>
      <c r="G18" s="3515"/>
      <c r="H18" s="3515"/>
      <c r="I18" s="351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1" t="s">
        <v>2206</v>
      </c>
      <c r="C20" s="3502"/>
      <c r="D20" s="3503" t="s">
        <v>2207</v>
      </c>
      <c r="E20" s="3504"/>
      <c r="F20" s="2647" t="s">
        <v>1056</v>
      </c>
      <c r="G20" s="2664"/>
      <c r="H20" s="2664"/>
      <c r="I20" s="2664"/>
      <c r="J20" s="2439"/>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2218</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7" t="s">
        <v>2228</v>
      </c>
      <c r="T34" s="2428" t="str">
        <f>NUMBERSTRING(7-K34,1)&amp;"通"</f>
        <v>七通</v>
      </c>
      <c r="U34" s="2439"/>
      <c r="V34" s="2439"/>
    </row>
    <row r="35" spans="1:30">
      <c r="A35" s="2429"/>
      <c r="B35" s="3524" t="s">
        <v>2229</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274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0</v>
      </c>
      <c r="E3" s="43">
        <f>'数据-基础表'!AZ5</f>
        <v>71.7</v>
      </c>
      <c r="F3" s="2659"/>
      <c r="G3" s="1145"/>
      <c r="H3" s="1026" t="s">
        <v>1106</v>
      </c>
      <c r="I3" s="855" t="e">
        <f>ROUND('数据-基础表'!B3/'数据-基础表'!A3,2)</f>
        <v>#DIV/0!</v>
      </c>
      <c r="J3" s="2659"/>
      <c r="K3" s="2659"/>
      <c r="L3" s="2659"/>
      <c r="M3" s="2659"/>
      <c r="N3" s="2661"/>
      <c r="O3" s="2659"/>
      <c r="P3" s="2659"/>
    </row>
    <row r="4" spans="1:16" ht="15">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71.7</v>
      </c>
      <c r="F6" s="2659"/>
      <c r="G6" s="2653" t="s">
        <v>1112</v>
      </c>
      <c r="H6" s="1146" t="s">
        <v>1113</v>
      </c>
      <c r="I6" s="2654" t="e">
        <f>ROUND(F31/D31,2)</f>
        <v>#DIV/0!</v>
      </c>
      <c r="J6" s="2659"/>
      <c r="K6" s="2659"/>
      <c r="L6" s="2659"/>
      <c r="M6" s="2659"/>
      <c r="N6" s="2659"/>
      <c r="O6" s="2659"/>
      <c r="P6" s="2659"/>
    </row>
    <row r="7" spans="1:16" ht="15.75" thickBot="1">
      <c r="A7" s="3531"/>
      <c r="B7" s="3532"/>
      <c r="C7" s="353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71.7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71.7</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3402</v>
      </c>
      <c r="D19" s="45">
        <f>ROUND($D$3*E19/$E$3,2)</f>
        <v>0</v>
      </c>
      <c r="E19" s="53">
        <f t="shared" ref="E19:E26" si="1">SUM(F19:G19)</f>
        <v>71.7</v>
      </c>
      <c r="F19" s="2795">
        <f>'数据-基础表'!I13</f>
        <v>71.7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71.7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71.7</v>
      </c>
      <c r="F27" s="1140">
        <f>IF(SUM(F19:F26)=E8,SUM(F19:F26),"地上面积有误")</f>
        <v>71.7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71.7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71.7</v>
      </c>
      <c r="F31" s="677">
        <f>F27+F30</f>
        <v>71.7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71.7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71.7</v>
      </c>
      <c r="H5" s="13">
        <f t="shared" ref="H5:AT5" si="0">SUM(H13:H656)</f>
        <v>71.7</v>
      </c>
      <c r="I5" s="13">
        <f t="shared" si="0"/>
        <v>71.7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71.7</v>
      </c>
      <c r="BA5" s="15">
        <f t="shared" si="1"/>
        <v>71.7</v>
      </c>
      <c r="BB5" s="15">
        <f t="shared" si="1"/>
        <v>71.7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3403</v>
      </c>
      <c r="E13" s="13">
        <f>IF($C$3="是",ROUND($A$3*G13/$B$3,2),ROUND($A$3*(G13-AT13)/$B$3,2))</f>
        <v>0</v>
      </c>
      <c r="F13" s="29"/>
      <c r="G13" s="30">
        <f>H13+AC13+AT13</f>
        <v>71.7</v>
      </c>
      <c r="H13" s="17">
        <f>SUMIF(I$12:AB$12,"总值",I13:AB13)</f>
        <v>71.7</v>
      </c>
      <c r="I13" s="1626">
        <v>71.7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71.7</v>
      </c>
      <c r="BA13" s="13">
        <f>SUM(BB13:BK13)</f>
        <v>71.7</v>
      </c>
      <c r="BB13" s="13">
        <f>IF($D13="是",I13-J13,0)</f>
        <v>71.7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57780</v>
      </c>
      <c r="F6" s="64">
        <f>SUMIF(项目基本情况!C$12:I$12,C6,项目基本情况!C$15:I$15)</f>
        <v>33.909999999999997</v>
      </c>
      <c r="G6" s="65">
        <f>IF(ISERROR(ROUND(POWER(1+H6,D6-F6)*(POWER(1+H6,F6)-1)/(POWER(1+H6,D6)-1),3)),0,ROUND(POWER(1+H6,D6-F6)*(POWER(1+H6,F6)-1)/(POWER(1+H6,D6)-1),3))</f>
        <v>0.85599999999999998</v>
      </c>
      <c r="H6" s="732">
        <v>0.04</v>
      </c>
      <c r="I6" s="732">
        <v>4.4999999999999998E-2</v>
      </c>
      <c r="J6" s="66">
        <v>0.05</v>
      </c>
      <c r="K6" s="1030">
        <f>SUMIF('数据-汇总表'!C$19:C$33,A6,'数据-汇总表'!E$19:E$33)</f>
        <v>71.7</v>
      </c>
      <c r="L6" s="733">
        <v>3500</v>
      </c>
      <c r="M6" s="67">
        <f t="shared" ref="M6:M14" si="0">ROUND(K6*L6/10000,0)</f>
        <v>25</v>
      </c>
      <c r="N6" s="731">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90</v>
      </c>
      <c r="V6" s="70">
        <v>3.5000000000000003E-2</v>
      </c>
      <c r="W6" s="70">
        <v>0.1</v>
      </c>
      <c r="X6" s="1040"/>
      <c r="Y6" s="71">
        <f>N6</f>
        <v>0.82</v>
      </c>
      <c r="Z6" s="72"/>
      <c r="AA6" s="66"/>
      <c r="AB6" s="66"/>
      <c r="AC6" s="1040"/>
      <c r="AD6" s="73"/>
      <c r="AE6" s="1041">
        <f ca="1">IF(AN6="",0,SUMIF(INDIRECT("'"&amp;AN6&amp;"'"&amp;"!E:E"),$AE$5,INDIRECT("'"&amp;AN6&amp;"'"&amp;"!F:F")))</f>
        <v>33.909999999999997</v>
      </c>
      <c r="AF6" s="1348"/>
      <c r="AG6" s="138">
        <f>IF(AF6="",0,AE6-AF6)</f>
        <v>0</v>
      </c>
      <c r="AH6" s="74">
        <f>'数据-基础表'!I13</f>
        <v>71.7</v>
      </c>
      <c r="AI6" s="76">
        <v>12</v>
      </c>
      <c r="AJ6" s="77"/>
      <c r="AK6" s="78">
        <v>1.4999999999999999E-2</v>
      </c>
      <c r="AL6" s="79">
        <v>1.5E-3</v>
      </c>
      <c r="AM6" s="80">
        <v>0.01</v>
      </c>
      <c r="AN6" s="1715" t="s">
        <v>3405</v>
      </c>
      <c r="AO6" s="52">
        <f ca="1">SUMIF(INDIRECT("'"&amp;AN6&amp;"'"&amp;"!A:A"),"总价",INDIRECT("'"&amp;AN6&amp;"'"&amp;"!B:B"))</f>
        <v>165.23320000000001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0.85599999999999998</v>
      </c>
      <c r="H16" s="90">
        <f>ROUND(SUMPRODUCT(H6:H13,K6:K13)/SUMPRODUCT((H6:H13&gt;0)*(K6:K13)),3)</f>
        <v>0.04</v>
      </c>
      <c r="I16" s="91"/>
      <c r="J16" s="91"/>
      <c r="K16" s="92">
        <f>SUM(K6:K15)</f>
        <v>71.7</v>
      </c>
      <c r="L16" s="93">
        <f>ROUND(M16*10000/SUM(K6:K14),0)</f>
        <v>3487</v>
      </c>
      <c r="M16" s="93">
        <f>SUM(M6:M14)</f>
        <v>25</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ROUND(1-(2024-'收益法 (元)'!J49)/60,2)</f>
        <v>0.82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3418</v>
      </c>
      <c r="B40" s="1078">
        <f ca="1">IF(A40="利息：取LPR",存贷款利率!G1,存贷款利率!G1+C40)</f>
        <v>4.7500000000000001E-2</v>
      </c>
      <c r="C40" s="2814">
        <v>1.2999999999999999E-2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20" sqref="C2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143.4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45400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330</v>
      </c>
      <c r="C5" s="2512">
        <f ca="1">IF(B5=D14,结果表!H102,ROUND(B5*10000/$B$1,0))</f>
        <v>23013</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'数据-取费表'!AH6</f>
        <v>71.7</v>
      </c>
      <c r="C14" s="2518"/>
      <c r="D14" s="2518">
        <f ca="1">结果表!G19</f>
        <v>165</v>
      </c>
      <c r="E14" s="2518">
        <f ca="1">ROUND(D14*10000/B14,0)</f>
        <v>23013</v>
      </c>
      <c r="F14" s="2518" t="e">
        <f ca="1">ROUND(D14*10000/C14,0)</f>
        <v>#DIV/0!</v>
      </c>
      <c r="G14" s="2518"/>
      <c r="H14" s="2518"/>
      <c r="I14" s="2518"/>
      <c r="J14" s="2687"/>
      <c r="K14" s="2688"/>
    </row>
    <row r="15" spans="1:11" ht="16.5">
      <c r="A15" s="2517" t="s">
        <v>649</v>
      </c>
      <c r="B15" s="2519">
        <v>71.7</v>
      </c>
      <c r="C15" s="2519"/>
      <c r="D15" s="2519">
        <f ca="1">D14</f>
        <v>165</v>
      </c>
      <c r="E15" s="2518">
        <f ca="1">E14</f>
        <v>23013</v>
      </c>
      <c r="F15" s="2518" t="e">
        <f t="shared" ref="F15:F23" ca="1" si="0">ROUND(D15*10000/C15,0)</f>
        <v>#DIV/0!</v>
      </c>
      <c r="G15" s="1331"/>
      <c r="H15" s="1331"/>
      <c r="I15" s="2519"/>
      <c r="J15" s="2687"/>
      <c r="K15" s="2688"/>
    </row>
    <row r="16" spans="1:11" ht="16.5">
      <c r="A16" s="2517" t="s">
        <v>648</v>
      </c>
      <c r="B16" s="2519"/>
      <c r="C16" s="2519"/>
      <c r="D16" s="2519"/>
      <c r="E16" s="2518" t="e">
        <f t="shared" ref="E16:E23" si="1">ROUND(D16*10000/B16,0)</f>
        <v>#DIV/0!</v>
      </c>
      <c r="F16" s="2518" t="e">
        <f t="shared" si="0"/>
        <v>#DIV/0!</v>
      </c>
      <c r="G16" s="1331"/>
      <c r="H16" s="1331"/>
      <c r="I16" s="2519"/>
      <c r="J16" s="2688"/>
      <c r="K16" s="2688"/>
    </row>
    <row r="17" spans="1:11" ht="16.5">
      <c r="A17" s="2517" t="s">
        <v>647</v>
      </c>
      <c r="B17" s="2519"/>
      <c r="C17" s="2519"/>
      <c r="D17" s="2519"/>
      <c r="E17" s="2518" t="e">
        <f t="shared" si="1"/>
        <v>#DIV/0!</v>
      </c>
      <c r="F17" s="2518" t="e">
        <f t="shared" si="0"/>
        <v>#DIV/0!</v>
      </c>
      <c r="G17" s="1331"/>
      <c r="H17" s="1331"/>
      <c r="I17" s="2519"/>
      <c r="J17" s="2688"/>
      <c r="K17" s="2688"/>
    </row>
    <row r="18" spans="1:11" ht="16.5">
      <c r="A18" s="2517" t="s">
        <v>646</v>
      </c>
      <c r="B18" s="2519"/>
      <c r="C18" s="2519"/>
      <c r="D18" s="2519"/>
      <c r="E18" s="2518" t="e">
        <f t="shared" si="1"/>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3413</v>
      </c>
      <c r="D4" s="1756" t="s">
        <v>3405</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v>5</v>
      </c>
      <c r="D5" s="3603">
        <f>10-C5</f>
        <v>5</v>
      </c>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c r="D14" s="3603"/>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4" t="s">
        <v>2131</v>
      </c>
      <c r="F18" s="3635"/>
      <c r="G18" s="3635"/>
      <c r="H18" s="3635"/>
      <c r="I18" s="3635"/>
      <c r="K18" s="302" t="s">
        <v>1289</v>
      </c>
      <c r="L18" s="302">
        <f>IF(C1="",'数据-汇总表'!E3,SUMIF(项目类型,C1,'数据-汇总表'!E17:E26)+SUMIF(项目类型,C1,'数据-汇总表'!I17:I26))</f>
        <v>71.7</v>
      </c>
      <c r="M18" s="302">
        <f>IF(C1="",'数据-汇总表'!E3,SUMIF(项目类型,C1,'数据-汇总表'!E17:E26))</f>
        <v>71.7</v>
      </c>
    </row>
    <row r="19" spans="1:36" ht="15">
      <c r="A19" s="1761" t="s">
        <v>1290</v>
      </c>
      <c r="B19" s="1762" t="s">
        <v>1291</v>
      </c>
      <c r="C19" s="134">
        <f ca="1">SUMIF(INDIRECT("'"&amp;C4&amp;"'"&amp;"!A:A"),结果表!B19,INDIRECT("'"&amp;C4&amp;"'"&amp;"!B:B"))</f>
        <v>165.27850000000001</v>
      </c>
      <c r="D19" s="135">
        <f ca="1">SUMIF(INDIRECT("'"&amp;D4&amp;"'"&amp;"!A:A"),结果表!B19,INDIRECT("'"&amp;D4&amp;"'"&amp;"!B:B"))</f>
        <v>165.23320000000001</v>
      </c>
      <c r="E19" s="1761" t="s">
        <v>1292</v>
      </c>
      <c r="F19" s="1762" t="s">
        <v>1291</v>
      </c>
      <c r="G19" s="136">
        <f ca="1">ROUND(C19*$C$18+D19*$D$18,0)</f>
        <v>165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23051</v>
      </c>
      <c r="D20" s="138">
        <f ca="1">SUMIF(INDIRECT("'"&amp;D4&amp;"'"&amp;"!A:A"),结果表!B20,INDIRECT("'"&amp;D4&amp;"'"&amp;"!B:B"))</f>
        <v>23045</v>
      </c>
      <c r="E20" s="1764"/>
      <c r="F20" s="1026" t="s">
        <v>1295</v>
      </c>
      <c r="G20" s="139">
        <f ca="1">ROUND(C20*$C$18+D20*$D$18,0)</f>
        <v>23048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2.7415797793661767E-4</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23048</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t="e">
        <f ca="1">ROUND(H101*F45,0)</f>
        <v>#REF!</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3">
        <v>1</v>
      </c>
      <c r="K46" s="3545" t="s">
        <v>1331</v>
      </c>
      <c r="L46" s="3545"/>
      <c r="M46" s="3546"/>
      <c r="N46" s="3546"/>
      <c r="O46" s="3546"/>
    </row>
    <row r="47" spans="1:15" ht="12" customHeight="1">
      <c r="A47" s="160" t="s">
        <v>1332</v>
      </c>
      <c r="B47" s="161"/>
      <c r="C47" s="162"/>
      <c r="D47" s="1087" t="s">
        <v>1333</v>
      </c>
      <c r="E47" s="302" t="s">
        <v>1334</v>
      </c>
      <c r="F47" s="163" t="s">
        <v>1335</v>
      </c>
      <c r="G47" s="2546" t="s">
        <v>1336</v>
      </c>
      <c r="H47" s="2547"/>
      <c r="I47" s="159"/>
      <c r="J47" s="2523">
        <v>2</v>
      </c>
      <c r="K47" s="3545" t="s">
        <v>1337</v>
      </c>
      <c r="L47" s="3545"/>
      <c r="M47" s="3547">
        <f>'数据-取费表'!B2</f>
        <v>45400</v>
      </c>
      <c r="N47" s="3547"/>
      <c r="O47" s="3547"/>
    </row>
    <row r="48" spans="1:15" ht="25.5">
      <c r="A48" s="3607" t="s">
        <v>1338</v>
      </c>
      <c r="B48" s="3608"/>
      <c r="C48" s="360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5" t="s">
        <v>1340</v>
      </c>
      <c r="L48" s="3545"/>
      <c r="M48" s="3548" t="e">
        <f ca="1">H101</f>
        <v>#REF!</v>
      </c>
      <c r="N48" s="3548"/>
      <c r="O48" s="3548"/>
    </row>
    <row r="49" spans="1:35" ht="25.5" customHeight="1">
      <c r="A49" s="2333" t="s">
        <v>1341</v>
      </c>
      <c r="B49" s="3593" t="s">
        <v>1342</v>
      </c>
      <c r="C49" s="3593"/>
      <c r="D49" s="1590">
        <v>0</v>
      </c>
      <c r="E49" s="324" t="s">
        <v>1343</v>
      </c>
      <c r="F49" s="2424" t="s">
        <v>28</v>
      </c>
      <c r="G49" s="3576"/>
      <c r="H49" s="2310" t="s">
        <v>2134</v>
      </c>
      <c r="I49" s="2311"/>
      <c r="J49" s="2523">
        <v>4</v>
      </c>
      <c r="K49" s="3545" t="str">
        <f>IF(项目基本情况!E8="房地产抵押价值","房地产抵押价值","抵押担保权已注销时的房地产抵押价值")</f>
        <v>抵押担保权已注销时的房地产抵押价值</v>
      </c>
      <c r="L49" s="3545"/>
      <c r="M49" s="3548" t="str">
        <f>IF(项目基本情况!E8="房地产抵押价值",H107,H109)</f>
        <v>——</v>
      </c>
      <c r="N49" s="3548"/>
      <c r="O49" s="3548"/>
    </row>
    <row r="50" spans="1:35" ht="25.5" customHeight="1">
      <c r="A50" s="2551"/>
      <c r="B50" s="3593" t="s">
        <v>1344</v>
      </c>
      <c r="C50" s="3593"/>
      <c r="D50" s="2552"/>
      <c r="E50" s="332"/>
      <c r="F50" s="2424"/>
      <c r="G50" s="3577"/>
      <c r="H50" s="2312" t="s">
        <v>2135</v>
      </c>
      <c r="I50" s="2311"/>
      <c r="J50" s="3544" t="s">
        <v>1345</v>
      </c>
      <c r="K50" s="3544"/>
      <c r="L50" s="3544"/>
      <c r="M50" s="3544"/>
      <c r="N50" s="3544"/>
      <c r="O50" s="3544"/>
    </row>
    <row r="51" spans="1:35" ht="20.45" customHeight="1">
      <c r="A51" s="2553"/>
      <c r="B51" s="3593" t="s">
        <v>1346</v>
      </c>
      <c r="C51" s="3593"/>
      <c r="D51" s="1087"/>
      <c r="E51" s="327"/>
      <c r="F51" s="2424"/>
      <c r="G51" s="3578"/>
      <c r="H51" s="2312" t="s">
        <v>2136</v>
      </c>
      <c r="I51" s="2311"/>
      <c r="J51" s="2524" t="s">
        <v>1347</v>
      </c>
      <c r="K51" s="3545" t="s">
        <v>1348</v>
      </c>
      <c r="L51" s="3545"/>
      <c r="M51" s="2524" t="s">
        <v>1349</v>
      </c>
      <c r="N51" s="2524" t="s">
        <v>1350</v>
      </c>
      <c r="O51" s="2524" t="s">
        <v>1351</v>
      </c>
    </row>
    <row r="52" spans="1:35" ht="24" customHeight="1">
      <c r="A52" s="2335" t="s">
        <v>1352</v>
      </c>
      <c r="B52" s="3593" t="s">
        <v>1353</v>
      </c>
      <c r="C52" s="3593"/>
      <c r="D52" s="1087" t="e">
        <f ca="1">ROUND(D45*'数据-取费表'!B41/(1+'数据-取费表'!C42),0)</f>
        <v>#REF!</v>
      </c>
      <c r="E52" s="2334" t="s">
        <v>1354</v>
      </c>
      <c r="F52" s="2554">
        <f>'数据-取费表'!B41</f>
        <v>5.6000000000000001E-2</v>
      </c>
      <c r="G52" s="2555"/>
      <c r="H52" s="2544"/>
      <c r="I52" s="1807"/>
      <c r="J52" s="2523">
        <v>1</v>
      </c>
      <c r="K52" s="3570" t="s">
        <v>1355</v>
      </c>
      <c r="L52" s="3570"/>
      <c r="M52" s="2525" t="b">
        <f>D48</f>
        <v>0</v>
      </c>
      <c r="N52" s="2523" t="str">
        <f>E48</f>
        <v>销售额×税（费）率</v>
      </c>
      <c r="O52" s="2526">
        <f>F48</f>
        <v>5.6000000000000001E-2</v>
      </c>
    </row>
    <row r="53" spans="1:35" ht="12" customHeight="1">
      <c r="A53" s="2335" t="s">
        <v>1356</v>
      </c>
      <c r="B53" s="3594" t="s">
        <v>2291</v>
      </c>
      <c r="C53" s="3595"/>
      <c r="D53" s="1087" t="e">
        <f ca="1">ROUND(D45*'数据-取费表'!B41/(1+'数据-取费表'!C42),0)</f>
        <v>#REF!</v>
      </c>
      <c r="E53" s="2334" t="s">
        <v>1354</v>
      </c>
      <c r="F53" s="2554">
        <f>'数据-取费表'!B41</f>
        <v>5.6000000000000001E-2</v>
      </c>
      <c r="G53" s="2555"/>
      <c r="H53" s="2544"/>
      <c r="I53" s="1807"/>
      <c r="J53" s="2523">
        <v>2</v>
      </c>
      <c r="K53" s="3570" t="s">
        <v>1357</v>
      </c>
      <c r="L53" s="3570"/>
      <c r="M53" s="2525" t="e">
        <f t="shared" ref="M53:O54" ca="1" si="0">D55</f>
        <v>#REF!</v>
      </c>
      <c r="N53" s="2523" t="str">
        <f t="shared" si="0"/>
        <v>销售额×税（费）率</v>
      </c>
      <c r="O53" s="2526" t="str">
        <f t="shared" si="0"/>
        <v>免征</v>
      </c>
    </row>
    <row r="54" spans="1:35" ht="12" customHeight="1">
      <c r="A54" s="2335" t="s">
        <v>1358</v>
      </c>
      <c r="B54" s="3594" t="s">
        <v>2292</v>
      </c>
      <c r="C54" s="3595"/>
      <c r="D54" s="1087" t="e">
        <f ca="1">C68</f>
        <v>#REF!</v>
      </c>
      <c r="E54" s="327" t="s">
        <v>1359</v>
      </c>
      <c r="F54" s="2554">
        <f>'数据-取费表'!B41</f>
        <v>5.6000000000000001E-2</v>
      </c>
      <c r="G54" s="2555"/>
      <c r="H54" s="2556"/>
      <c r="I54" s="1807"/>
      <c r="J54" s="2523">
        <v>3</v>
      </c>
      <c r="K54" s="3570" t="s">
        <v>1360</v>
      </c>
      <c r="L54" s="3570"/>
      <c r="M54" s="2525" t="e">
        <f t="shared" ca="1" si="0"/>
        <v>#REF!</v>
      </c>
      <c r="N54" s="2523" t="str">
        <f t="shared" si="0"/>
        <v>增值额×税（费）率</v>
      </c>
      <c r="O54" s="2527" t="str">
        <f t="shared" si="0"/>
        <v>免征</v>
      </c>
    </row>
    <row r="55" spans="1:35" ht="24" customHeight="1">
      <c r="A55" s="3630" t="s">
        <v>1361</v>
      </c>
      <c r="B55" s="3608"/>
      <c r="C55" s="3608"/>
      <c r="D55" s="2324" t="e">
        <f ca="1">IF(H55="个人住宅",0,ROUND(D45*I55,0))</f>
        <v>#REF!</v>
      </c>
      <c r="E55" s="2334" t="s">
        <v>1362</v>
      </c>
      <c r="F55" s="2554" t="str">
        <f>IF(H55="正常",I55,"免征")</f>
        <v>免征</v>
      </c>
      <c r="G55" s="2555"/>
      <c r="H55" s="2550"/>
      <c r="I55" s="165">
        <f>'数据-取费表'!B49</f>
        <v>5.0000000000000001E-4</v>
      </c>
      <c r="J55" s="2523">
        <f>IF(H59="非个人房产","",4)</f>
        <v>4</v>
      </c>
      <c r="K55" s="3570" t="str">
        <f>IF(H59="非个人房产","——","个人所得税")</f>
        <v>个人所得税</v>
      </c>
      <c r="L55" s="3570"/>
      <c r="M55" s="2528" t="e">
        <f ca="1">D59</f>
        <v>#REF!</v>
      </c>
      <c r="N55" s="2040" t="str">
        <f>E59</f>
        <v>差额计税</v>
      </c>
      <c r="O55" s="2529">
        <f>F59</f>
        <v>0.01</v>
      </c>
    </row>
    <row r="56" spans="1:35" ht="24.75">
      <c r="A56" s="3630" t="s">
        <v>1363</v>
      </c>
      <c r="B56" s="3608"/>
      <c r="C56" s="3608"/>
      <c r="D56" s="2324" t="e">
        <f ca="1">IF(H56="个人住宅",D57,D58)</f>
        <v>#REF!</v>
      </c>
      <c r="E56" s="2334" t="s">
        <v>1364</v>
      </c>
      <c r="F56" s="2554" t="str">
        <f>IF(H56="正常",F58,"免征")</f>
        <v>免征</v>
      </c>
      <c r="G56" s="2557" t="s">
        <v>1365</v>
      </c>
      <c r="H56" s="2558"/>
      <c r="I56" s="1808"/>
      <c r="J56" s="2523" t="str">
        <f>IF(项目基本情况!K6="上海银行",IF(J55="",4,J55+1),"")</f>
        <v/>
      </c>
      <c r="K56" s="3551" t="str">
        <f>IF(项目基本情况!K6="上海银行","其他处置费用","")</f>
        <v/>
      </c>
      <c r="L56" s="3552"/>
      <c r="M56" s="2525"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5"/>
      <c r="H57" s="2559"/>
      <c r="I57" s="1808"/>
      <c r="J57" s="3570">
        <f>IF(AND(J55="",J56=""),4,IF(项目基本情况!K6="上海银行",结果表!J56+1,结果表!J55+1))</f>
        <v>5</v>
      </c>
      <c r="K57" s="3570" t="s">
        <v>1367</v>
      </c>
      <c r="L57" s="2530" t="s">
        <v>1368</v>
      </c>
      <c r="M57" s="2531"/>
      <c r="N57" s="2532">
        <f ca="1">SUMIF(M52:M56,"&lt;9e307")</f>
        <v>0</v>
      </c>
      <c r="O57" s="2533"/>
      <c r="P57" s="2690" t="e">
        <f ca="1">N57/M49</f>
        <v>#VALUE!</v>
      </c>
    </row>
    <row r="58" spans="1:35" ht="24.75">
      <c r="A58" s="2335" t="s">
        <v>1352</v>
      </c>
      <c r="B58" s="3594" t="s">
        <v>1369</v>
      </c>
      <c r="C58" s="3593"/>
      <c r="D58" s="2324" t="e">
        <f ca="1">IF(H58="转让取得",C81,C97)</f>
        <v>#REF!</v>
      </c>
      <c r="E58" s="2334" t="s">
        <v>1364</v>
      </c>
      <c r="F58" s="302" t="s">
        <v>28</v>
      </c>
      <c r="G58" s="2555"/>
      <c r="H58" s="2558"/>
      <c r="I58" s="1808"/>
      <c r="J58" s="3570"/>
      <c r="K58" s="3570"/>
      <c r="L58" s="2530" t="s">
        <v>1370</v>
      </c>
      <c r="M58" s="2534"/>
      <c r="N58" s="2535" t="str">
        <f ca="1">NUMBERSTRING(INT(N57*10000),2)&amp;"元整"</f>
        <v>零元整</v>
      </c>
      <c r="O58" s="2536"/>
    </row>
    <row r="59" spans="1:35" ht="24.75" thickBot="1">
      <c r="A59" s="3574" t="s">
        <v>1371</v>
      </c>
      <c r="B59" s="3575"/>
      <c r="C59" s="357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2">
        <f>J57+1</f>
        <v>6</v>
      </c>
      <c r="K59" s="3570" t="s">
        <v>1372</v>
      </c>
      <c r="L59" s="2523" t="s">
        <v>1368</v>
      </c>
      <c r="M59" s="2537"/>
      <c r="N59" s="2538" t="e">
        <f ca="1">M49-N57</f>
        <v>#VALUE!</v>
      </c>
      <c r="O59" s="2539"/>
    </row>
    <row r="60" spans="1:35" ht="12" customHeight="1">
      <c r="A60" s="1809"/>
      <c r="B60" s="1747"/>
      <c r="C60" s="1747"/>
      <c r="D60" s="1747"/>
      <c r="E60" s="1578"/>
      <c r="F60" s="1808"/>
      <c r="G60" s="1808"/>
      <c r="H60" s="1810"/>
      <c r="I60" s="129"/>
      <c r="J60" s="3573"/>
      <c r="K60" s="3570"/>
      <c r="L60" s="2530" t="s">
        <v>1370</v>
      </c>
      <c r="M60" s="2534"/>
      <c r="N60" s="2535" t="e">
        <f ca="1">NUMBERSTRING(INT(N59*10000),2)&amp;"元整"</f>
        <v>#VALUE!</v>
      </c>
      <c r="O60" s="2536"/>
    </row>
    <row r="61" spans="1:35" ht="13.5" thickBot="1">
      <c r="A61" s="3629" t="s">
        <v>1373</v>
      </c>
      <c r="B61" s="3629"/>
      <c r="C61" s="3629"/>
      <c r="D61" s="3629"/>
      <c r="E61" s="3629"/>
      <c r="F61" s="1808"/>
      <c r="G61" s="1808"/>
      <c r="H61" s="1810"/>
      <c r="I61" s="129"/>
      <c r="J61" s="2523">
        <f>J59+1</f>
        <v>7</v>
      </c>
      <c r="K61" s="3570" t="s">
        <v>1374</v>
      </c>
      <c r="L61" s="3570"/>
      <c r="M61" s="2540"/>
      <c r="N61" s="2541" t="e">
        <f ca="1">ROUND(N59*10000/'数据-汇总表'!E3,0)</f>
        <v>#VALUE!</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5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5" t="s">
        <v>2129</v>
      </c>
      <c r="H90" s="355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6" t="s">
        <v>1422</v>
      </c>
      <c r="F92" s="3587"/>
      <c r="G92" s="3587"/>
      <c r="H92" s="358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5" t="str">
        <f>C4</f>
        <v>成本法 (元)</v>
      </c>
      <c r="D101" s="2586" t="str">
        <f>D4</f>
        <v>收益法 (元)</v>
      </c>
      <c r="E101" s="3549" t="s">
        <v>1431</v>
      </c>
      <c r="F101" s="3550"/>
      <c r="G101" s="1827" t="s">
        <v>1432</v>
      </c>
      <c r="H101" s="2595" t="e">
        <f ca="1">H118</f>
        <v>#REF!</v>
      </c>
      <c r="I101" s="129"/>
    </row>
    <row r="102" spans="1:35" ht="18.75" customHeight="1">
      <c r="A102" s="3581" t="s">
        <v>1433</v>
      </c>
      <c r="B102" s="2584" t="s">
        <v>1432</v>
      </c>
      <c r="C102" s="2585">
        <f ca="1">IF(D32="楼面单价",ROUND(C19,0),C19)</f>
        <v>165.27850000000001</v>
      </c>
      <c r="D102" s="2586">
        <f ca="1">IF(D32="楼面单价",ROUND(D19,0),D19)</f>
        <v>165.23320000000001</v>
      </c>
      <c r="E102" s="3549"/>
      <c r="F102" s="3550"/>
      <c r="G102" s="1827" t="s">
        <v>1434</v>
      </c>
      <c r="H102" s="2555" t="e">
        <f ca="1">I118</f>
        <v>#REF!</v>
      </c>
      <c r="I102" s="129"/>
    </row>
    <row r="103" spans="1:35" ht="42.75" customHeight="1">
      <c r="A103" s="3581"/>
      <c r="B103" s="2584" t="s">
        <v>1434</v>
      </c>
      <c r="C103" s="2587">
        <f ca="1">C20</f>
        <v>23051</v>
      </c>
      <c r="D103" s="2588">
        <f ca="1">D20</f>
        <v>23045</v>
      </c>
      <c r="E103" s="3542" t="s">
        <v>1435</v>
      </c>
      <c r="F103" s="3543"/>
      <c r="G103" s="1828" t="s">
        <v>1436</v>
      </c>
      <c r="H103" s="2595">
        <f>IF(D36="正常操作",H104+H105+H106,H105+H106)</f>
        <v>0</v>
      </c>
      <c r="I103" s="129"/>
    </row>
    <row r="104" spans="1:35" ht="18.75" customHeight="1">
      <c r="A104" s="358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50"/>
      <c r="G107" s="1827" t="s">
        <v>1432</v>
      </c>
      <c r="H107" s="2595" t="e">
        <f ca="1">IF(E107="——","——",H101-H103)</f>
        <v>#REF!</v>
      </c>
      <c r="I107" s="129"/>
    </row>
    <row r="108" spans="1:35" ht="18.75" customHeight="1">
      <c r="A108" s="129"/>
      <c r="B108" s="129"/>
      <c r="C108" s="129"/>
      <c r="D108" s="129"/>
      <c r="E108" s="3582"/>
      <c r="F108" s="3550"/>
      <c r="G108" s="1827" t="s">
        <v>1434</v>
      </c>
      <c r="H108" s="2555">
        <f ca="1">IF(H107=H101,H102,ROUND(H107*10000/'数据-汇总表'!E3,0))</f>
        <v>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8" t="str">
        <f>IF(E109="——","——",H101-H105-H106)</f>
        <v>——</v>
      </c>
      <c r="I109" s="129"/>
    </row>
    <row r="110" spans="1:35" ht="18.75" customHeight="1">
      <c r="A110" s="129"/>
      <c r="B110" s="129"/>
      <c r="C110" s="129"/>
      <c r="D110" s="129"/>
      <c r="E110" s="3582"/>
      <c r="F110" s="3550"/>
      <c r="G110" s="1827" t="s">
        <v>1434</v>
      </c>
      <c r="H110" s="2555"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1432</v>
      </c>
      <c r="H111" s="2595" t="str">
        <f>IF(E111="——","——",N59)</f>
        <v>——</v>
      </c>
      <c r="I111" s="129"/>
    </row>
    <row r="112" spans="1:35" ht="18.75" customHeight="1" thickBot="1">
      <c r="A112" s="129"/>
      <c r="B112" s="129"/>
      <c r="C112" s="129"/>
      <c r="D112" s="129"/>
      <c r="E112" s="3584"/>
      <c r="F112" s="3585"/>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71.7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7" t="s">
        <v>1452</v>
      </c>
      <c r="B119" s="3557"/>
      <c r="C119" s="3557"/>
      <c r="D119" s="3563" t="e">
        <f ca="1">NUMBERSTRING(INT(D118*10000),2)&amp;"元整"</f>
        <v>#REF!</v>
      </c>
      <c r="E119" s="3564"/>
      <c r="F119" s="3563" t="e">
        <f ca="1">NUMBERSTRING(INT(F118*10000),2)&amp;"元整"</f>
        <v>#REF!</v>
      </c>
      <c r="G119" s="3564"/>
      <c r="H119" s="3563" t="e">
        <f ca="1">NUMBERSTRING(INT(H118*10000),2)&amp;"元整"</f>
        <v>#REF!</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t="e">
        <f ca="1">H107</f>
        <v>#REF!</v>
      </c>
      <c r="E122" s="3559"/>
      <c r="F122" s="3559"/>
      <c r="G122" s="3559"/>
      <c r="H122" s="3559"/>
      <c r="I122" s="3560"/>
      <c r="AA122" s="725"/>
    </row>
    <row r="123" spans="1:27" ht="18.75" customHeight="1">
      <c r="A123" s="3557" t="s">
        <v>1452</v>
      </c>
      <c r="B123" s="3557"/>
      <c r="C123" s="3557"/>
      <c r="D123" s="3563" t="e">
        <f ca="1">NUMBERSTRING(INT(D122*10000),2)&amp;"元整"</f>
        <v>#REF!</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4324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71.7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71.7</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4.75">
      <c r="A27" s="255" t="s">
        <v>1512</v>
      </c>
      <c r="B27" s="244" t="s">
        <v>1513</v>
      </c>
      <c r="C27" s="245">
        <f ca="1">C28</f>
        <v>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71.7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1.4E-3</v>
      </c>
      <c r="D44" s="238"/>
      <c r="E44" s="238"/>
      <c r="F44" s="239"/>
      <c r="G44" s="3638"/>
    </row>
    <row r="45" spans="1:7" s="214" customFormat="1" ht="13.5" customHeight="1">
      <c r="A45" s="255" t="s">
        <v>1547</v>
      </c>
      <c r="B45" s="244" t="s">
        <v>1513</v>
      </c>
      <c r="C45" s="245">
        <f ca="1">C46</f>
        <v>4</v>
      </c>
      <c r="D45" s="235">
        <f ca="1">C47</f>
        <v>4.4999999999999997E-3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36</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30</v>
      </c>
      <c r="D51" s="232"/>
      <c r="E51" s="232"/>
      <c r="F51" s="264"/>
      <c r="G51" s="234" t="s">
        <v>1560</v>
      </c>
    </row>
    <row r="52" spans="1:7" s="208" customFormat="1" ht="16.5" thickBot="1">
      <c r="A52" s="265" t="s">
        <v>1561</v>
      </c>
      <c r="B52" s="266"/>
      <c r="C52" s="267">
        <f ca="1">C31+C51</f>
        <v>31</v>
      </c>
      <c r="D52" s="266"/>
      <c r="E52" s="266"/>
      <c r="F52" s="266"/>
      <c r="G52" s="268"/>
    </row>
    <row r="55" spans="1:7" ht="15">
      <c r="B55" s="270" t="s">
        <v>1562</v>
      </c>
      <c r="C55" s="271"/>
    </row>
    <row r="56" spans="1:7">
      <c r="B56" s="273" t="s">
        <v>802</v>
      </c>
      <c r="C56" s="275">
        <f ca="1">1-C57</f>
        <v>3.2000000000000028E-2</v>
      </c>
    </row>
    <row r="57" spans="1:7">
      <c r="B57" s="273" t="s">
        <v>803</v>
      </c>
      <c r="C57" s="274">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zoomScaleSheetLayoutView="80" workbookViewId="0">
      <selection activeCell="C24" sqref="C2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165.27850000000001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23051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940801.10000000009</v>
      </c>
      <c r="D5" s="211" t="s">
        <v>1469</v>
      </c>
      <c r="E5" s="212" t="s">
        <v>1470</v>
      </c>
      <c r="F5" s="212" t="s">
        <v>1471</v>
      </c>
      <c r="G5" s="213"/>
    </row>
    <row r="6" spans="1:8" s="214" customFormat="1" ht="13.5" customHeight="1">
      <c r="A6" s="778" t="s">
        <v>1472</v>
      </c>
      <c r="B6" s="215" t="s">
        <v>1473</v>
      </c>
      <c r="C6" s="216">
        <f>基准地价修正!C33*基准地价修正!D33</f>
        <v>912956.10000000009</v>
      </c>
      <c r="D6" s="217"/>
      <c r="E6" s="218"/>
      <c r="F6" s="218"/>
      <c r="G6" s="219"/>
    </row>
    <row r="7" spans="1:8" s="214" customFormat="1" ht="13.5" customHeight="1">
      <c r="A7" s="778" t="s">
        <v>1474</v>
      </c>
      <c r="B7" s="215" t="s">
        <v>1475</v>
      </c>
      <c r="C7" s="220">
        <f>ROUND(C6*F7,0)</f>
        <v>27845</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14340</v>
      </c>
      <c r="D10" s="845">
        <f ca="1">IF(B1="",'数据-汇总表'!E6,IF(INDIRECT("'数据-取费表'!c"&amp;$G$1)="住宅",INDIRECT("'数据-取费表'!s"&amp;$G$1),INDIRECT("'数据-取费表'!k"&amp;$G$1)+INDIRECT("'数据-取费表'!s"&amp;$G$1)))</f>
        <v>71.7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14340</v>
      </c>
      <c r="D19" s="849">
        <f ca="1">D9+D10</f>
        <v>71.7</v>
      </c>
      <c r="E19" s="211">
        <f>'数据-取费表'!B31</f>
        <v>200</v>
      </c>
      <c r="F19" s="231"/>
      <c r="G19" s="1856" t="s">
        <v>436</v>
      </c>
    </row>
    <row r="20" spans="1:7" s="214" customFormat="1" ht="13.5" customHeight="1">
      <c r="A20" s="255" t="s">
        <v>1574</v>
      </c>
      <c r="B20" s="210" t="s">
        <v>1575</v>
      </c>
      <c r="C20" s="232">
        <f ca="1">ROUND((C5+C19)*F20,0)</f>
        <v>28654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94255</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91499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1395</v>
      </c>
      <c r="D24" s="238"/>
      <c r="E24" s="238"/>
      <c r="F24" s="239"/>
      <c r="G24" s="240" t="s">
        <v>1586</v>
      </c>
    </row>
    <row r="25" spans="1:7" s="214" customFormat="1" ht="24">
      <c r="A25" s="780" t="s">
        <v>1476</v>
      </c>
      <c r="B25" s="215" t="s">
        <v>1587</v>
      </c>
      <c r="C25" s="1128">
        <f ca="1">ROUND(IF('数据-取费表'!B22&lt;=1,C20*F22*'数据-取费表'!B22/2,C20*(POWER((1+F22),'数据-取费表'!B22/2)-1)),0)</f>
        <v>1361</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147569</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147569</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1345651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276583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250950</v>
      </c>
      <c r="D34" s="217"/>
      <c r="E34" s="220"/>
      <c r="F34" s="257"/>
      <c r="G34" s="219"/>
    </row>
    <row r="35" spans="1:7" ht="13.5" customHeight="1">
      <c r="A35" s="780" t="s">
        <v>351</v>
      </c>
      <c r="B35" s="215" t="s">
        <v>1527</v>
      </c>
      <c r="C35" s="220">
        <f ca="1">ROUND(C34*F35,0)</f>
        <v>7529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14340</v>
      </c>
      <c r="D37" s="217">
        <f ca="1">D19</f>
        <v>71.7</v>
      </c>
      <c r="E37" s="249">
        <f>'数据-取费表'!B35</f>
        <v>200</v>
      </c>
      <c r="F37" s="259"/>
      <c r="G37" s="261"/>
    </row>
    <row r="38" spans="1:7" ht="13.5" customHeight="1">
      <c r="A38" s="780" t="s">
        <v>354</v>
      </c>
      <c r="B38" s="215" t="s">
        <v>1533</v>
      </c>
      <c r="C38" s="220">
        <f ca="1">ROUND(C34*F38,0)</f>
        <v>3764</v>
      </c>
      <c r="D38" s="220"/>
      <c r="E38" s="220"/>
      <c r="F38" s="259">
        <f>'数据-取费表'!B36</f>
        <v>1.4999999999999999E-2</v>
      </c>
      <c r="G38" s="219" t="s">
        <v>1528</v>
      </c>
    </row>
    <row r="39" spans="1:7" s="214" customFormat="1" ht="13.5" customHeight="1">
      <c r="A39" s="255" t="s">
        <v>1534</v>
      </c>
      <c r="B39" s="210" t="s">
        <v>1535</v>
      </c>
      <c r="C39" s="232">
        <f ca="1">ROUND(C33*F20,0)</f>
        <v>8297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13532</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13138</v>
      </c>
      <c r="D42" s="238"/>
      <c r="E42" s="238"/>
      <c r="F42" s="239"/>
      <c r="G42" s="3636" t="s">
        <v>1591</v>
      </c>
    </row>
    <row r="43" spans="1:7" ht="13.5" customHeight="1">
      <c r="A43" s="780" t="s">
        <v>347</v>
      </c>
      <c r="B43" s="215" t="s">
        <v>1545</v>
      </c>
      <c r="C43" s="238">
        <f ca="1">ROUND(IF('数据-取费表'!B22&lt;=1,C39*F22*'数据-取费表'!B20/2,C39*(POWER((1+F22),'数据-取费表'!B20/2)-1)),0)</f>
        <v>394</v>
      </c>
      <c r="D43" s="238"/>
      <c r="E43" s="238"/>
      <c r="F43" s="239"/>
      <c r="G43" s="3637"/>
    </row>
    <row r="44" spans="1:7" ht="13.5" customHeight="1">
      <c r="A44" s="780" t="s">
        <v>348</v>
      </c>
      <c r="B44" s="215" t="s">
        <v>1546</v>
      </c>
      <c r="C44" s="238">
        <f ca="1">ROUND(IF('数据-取费表'!B22&lt;=1,C40*F22*'数据-取费表'!B20/2,C40*(POWER((1+F22),'数据-取费表'!B20/2)-1)),4)</f>
        <v>1.4E-3</v>
      </c>
      <c r="D44" s="238"/>
      <c r="E44" s="238"/>
      <c r="F44" s="239"/>
      <c r="G44" s="3638"/>
    </row>
    <row r="45" spans="1:7" s="214" customFormat="1" ht="13.5" customHeight="1">
      <c r="A45" s="255" t="s">
        <v>1547</v>
      </c>
      <c r="B45" s="244" t="s">
        <v>1513</v>
      </c>
      <c r="C45" s="245">
        <f ca="1">C46</f>
        <v>42732</v>
      </c>
      <c r="D45" s="235">
        <f ca="1">C47</f>
        <v>4.4999999999999997E-3</v>
      </c>
      <c r="E45" s="236" t="s">
        <v>1539</v>
      </c>
      <c r="F45" s="246">
        <f ca="1">F27</f>
        <v>0.15</v>
      </c>
      <c r="G45" s="247" t="s">
        <v>1548</v>
      </c>
    </row>
    <row r="46" spans="1:7" s="214" customFormat="1" ht="13.5" customHeight="1">
      <c r="A46" s="780" t="s">
        <v>346</v>
      </c>
      <c r="B46" s="248" t="s">
        <v>1549</v>
      </c>
      <c r="C46" s="249">
        <f ca="1">ROUND((C33+C39)*F27,0)</f>
        <v>42732</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374554</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307134</v>
      </c>
      <c r="D51" s="232"/>
      <c r="E51" s="232"/>
      <c r="F51" s="264"/>
      <c r="G51" s="234" t="s">
        <v>1560</v>
      </c>
    </row>
    <row r="52" spans="1:7" s="208" customFormat="1" ht="16.5" thickBot="1">
      <c r="A52" s="265" t="s">
        <v>1561</v>
      </c>
      <c r="B52" s="266"/>
      <c r="C52" s="267">
        <f ca="1">C31+C51</f>
        <v>1652785</v>
      </c>
      <c r="D52" s="266"/>
      <c r="E52" s="266"/>
      <c r="F52" s="266"/>
      <c r="G52" s="268"/>
    </row>
    <row r="55" spans="1:7" ht="15">
      <c r="B55" s="270" t="s">
        <v>1562</v>
      </c>
      <c r="C55" s="271"/>
    </row>
    <row r="56" spans="1:7">
      <c r="B56" s="273" t="s">
        <v>802</v>
      </c>
      <c r="C56" s="275">
        <f ca="1">1-C57</f>
        <v>0.81400000000000006</v>
      </c>
    </row>
    <row r="57" spans="1:7">
      <c r="B57" s="273" t="s">
        <v>803</v>
      </c>
      <c r="C57" s="274">
        <f ca="1">ROUND(C51/C52,3)</f>
        <v>0.186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B3" sqref="B3"/>
    </sheetView>
  </sheetViews>
  <sheetFormatPr defaultRowHeight="13.5"/>
  <cols>
    <col min="1" max="1" width="13.625" customWidth="1"/>
  </cols>
  <sheetData>
    <row r="1" spans="1:2">
      <c r="A1" s="3452" t="s">
        <v>3416</v>
      </c>
      <c r="B1">
        <v>91</v>
      </c>
    </row>
    <row r="2" spans="1:2">
      <c r="A2" s="3452" t="s">
        <v>3417</v>
      </c>
      <c r="B2">
        <v>95</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-139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71.7</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0</v>
      </c>
      <c r="D6" s="155" t="s">
        <v>2109</v>
      </c>
      <c r="E6" s="302" t="s">
        <v>696</v>
      </c>
      <c r="F6" s="303">
        <f ca="1">INDIRECT("'数据-取费表'!u"&amp;$G$1)</f>
        <v>0</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85" zoomScaleNormal="70" zoomScaleSheetLayoutView="85"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33.909999999999997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165.23320000000001</v>
      </c>
      <c r="C2" s="1387" t="s">
        <v>879</v>
      </c>
      <c r="D2" s="1471">
        <f ca="1">C40+J29+L46</f>
        <v>1652332</v>
      </c>
      <c r="E2" s="1388" t="s">
        <v>880</v>
      </c>
      <c r="F2" s="1389"/>
      <c r="G2" s="2706"/>
      <c r="H2" s="2695"/>
      <c r="I2" s="2695"/>
      <c r="J2" s="2695"/>
      <c r="K2" s="2696"/>
      <c r="L2" s="2695"/>
      <c r="M2" s="2695"/>
    </row>
    <row r="3" spans="1:37" ht="18" customHeight="1" thickBot="1">
      <c r="A3" s="1390" t="s">
        <v>881</v>
      </c>
      <c r="B3" s="1391">
        <f ca="1">IF(ISERROR(D2/F43),0,ROUND(D2/F43,0))</f>
        <v>23045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69779</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69692</v>
      </c>
      <c r="D6" s="155" t="s">
        <v>2106</v>
      </c>
      <c r="E6" s="302" t="s">
        <v>696</v>
      </c>
      <c r="F6" s="303">
        <f ca="1">INDIRECT("'数据-取费表'!u"&amp;$G$1)</f>
        <v>90</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71.7</v>
      </c>
      <c r="G7" s="1384"/>
      <c r="H7" s="304"/>
      <c r="I7" s="3642"/>
      <c r="J7" s="306"/>
      <c r="K7" s="307"/>
      <c r="L7" s="302" t="s">
        <v>697</v>
      </c>
      <c r="M7" s="303">
        <f ca="1">F7</f>
        <v>71.7</v>
      </c>
    </row>
    <row r="8" spans="1:37" ht="18" customHeight="1">
      <c r="A8" s="304"/>
      <c r="B8" s="3642"/>
      <c r="C8" s="306"/>
      <c r="D8" s="307"/>
      <c r="E8" s="302" t="s">
        <v>698</v>
      </c>
      <c r="F8" s="303">
        <f ca="1">INDIRECT("'数据-取费表'!ai"&amp;$G$1)</f>
        <v>12</v>
      </c>
      <c r="G8" s="1384"/>
      <c r="H8" s="304"/>
      <c r="I8" s="3642"/>
      <c r="J8" s="306"/>
      <c r="K8" s="307"/>
      <c r="L8" s="302" t="s">
        <v>698</v>
      </c>
      <c r="M8" s="303">
        <f ca="1">INDIRECT("'数据-取费表'!ai"&amp;$G$1)</f>
        <v>12</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87</v>
      </c>
      <c r="D10" s="1366" t="s">
        <v>2116</v>
      </c>
      <c r="E10" s="313" t="s">
        <v>701</v>
      </c>
      <c r="F10" s="1116" t="s">
        <v>3410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307134</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250950</v>
      </c>
      <c r="D14" s="1345" t="s">
        <v>708</v>
      </c>
      <c r="E14" s="1342"/>
      <c r="F14" s="319"/>
      <c r="G14" s="1384"/>
      <c r="H14" s="982" t="s">
        <v>398</v>
      </c>
      <c r="I14" s="302" t="s">
        <v>709</v>
      </c>
      <c r="J14" s="21">
        <f ca="1">C29</f>
        <v>374554</v>
      </c>
      <c r="K14" s="12"/>
      <c r="L14" s="807"/>
      <c r="M14" s="808"/>
    </row>
    <row r="15" spans="1:37" s="1397" customFormat="1" ht="18" customHeight="1" thickBot="1">
      <c r="A15" s="982" t="s">
        <v>399</v>
      </c>
      <c r="B15" s="302" t="s">
        <v>710</v>
      </c>
      <c r="C15" s="21">
        <f ca="1">ROUND(C14*F15,0)</f>
        <v>7529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5618</v>
      </c>
      <c r="K16" s="1087" t="s">
        <v>715</v>
      </c>
      <c r="L16" s="1088"/>
      <c r="M16" s="1072"/>
    </row>
    <row r="17" spans="1:37" s="1397" customFormat="1" ht="18" customHeight="1">
      <c r="A17" s="982" t="s">
        <v>681</v>
      </c>
      <c r="B17" s="302" t="s">
        <v>716</v>
      </c>
      <c r="C17" s="21">
        <f ca="1">ROUND(F17*(F43+INDIRECT("'数据-取费表'!S"&amp;$G$1)),0)</f>
        <v>14340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3764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276583</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8297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5618</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13532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-5618</v>
      </c>
      <c r="K25" s="1095" t="s">
        <v>753</v>
      </c>
      <c r="L25" s="1096"/>
      <c r="M25" s="1097"/>
    </row>
    <row r="26" spans="1:37" ht="18" customHeight="1">
      <c r="A26" s="982" t="s">
        <v>397</v>
      </c>
      <c r="B26" s="302" t="s">
        <v>754</v>
      </c>
      <c r="C26" s="21">
        <f ca="1">ROUND((C19+C20)*F26,0)</f>
        <v>42732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374554</v>
      </c>
      <c r="D29" s="1092"/>
      <c r="E29" s="1090"/>
      <c r="F29" s="1093"/>
      <c r="G29" s="1396"/>
      <c r="H29" s="334" t="s">
        <v>396</v>
      </c>
      <c r="I29" s="335" t="s">
        <v>768</v>
      </c>
      <c r="J29" s="336">
        <f ca="1">ROUND(J26/(1+F40)^F41,0)</f>
        <v>0</v>
      </c>
      <c r="K29" s="337" t="s">
        <v>769</v>
      </c>
      <c r="L29" s="338"/>
      <c r="M29" s="339">
        <f ca="1">INDIRECT("'数据-取费表'!k"&amp;$G$1)</f>
        <v>71.7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11423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4646</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5618</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461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698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58356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1623687</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33.909999999999997</v>
      </c>
      <c r="G41" s="1384"/>
      <c r="H41" s="1191"/>
      <c r="I41" s="1398"/>
      <c r="J41" s="1399"/>
      <c r="K41" s="2544"/>
      <c r="L41" s="1191"/>
      <c r="M41" s="1191"/>
    </row>
    <row r="42" spans="1:18" ht="18" customHeight="1">
      <c r="A42" s="308"/>
      <c r="B42" s="309"/>
      <c r="C42" s="310"/>
      <c r="D42" s="327"/>
      <c r="E42" s="302" t="s">
        <v>766</v>
      </c>
      <c r="F42" s="312">
        <f ca="1">INDIRECT("'数据-取费表'!v"&amp;$G$1)</f>
        <v>3.5000000000000003E-2</v>
      </c>
      <c r="G42" s="1384"/>
      <c r="H42" s="1191"/>
      <c r="I42" s="1398"/>
      <c r="J42" s="1399"/>
      <c r="K42" s="2544"/>
      <c r="L42" s="1191"/>
      <c r="M42" s="1191"/>
    </row>
    <row r="43" spans="1:18" ht="18" customHeight="1" thickBot="1">
      <c r="A43" s="334" t="s">
        <v>396</v>
      </c>
      <c r="B43" s="335" t="s">
        <v>776</v>
      </c>
      <c r="C43" s="336">
        <f ca="1">ROUND(C40/F43,0)</f>
        <v>22646</v>
      </c>
      <c r="D43" s="337" t="s">
        <v>777</v>
      </c>
      <c r="E43" s="338" t="s">
        <v>778</v>
      </c>
      <c r="F43" s="339">
        <f ca="1">INDIRECT("'数据-取费表'!k"&amp;$G$1)</f>
        <v>71.7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-172.84100000000001</v>
      </c>
      <c r="D45" s="3432" t="s">
        <v>3355</v>
      </c>
      <c r="E45" s="1400"/>
      <c r="F45" s="1400"/>
      <c r="O45" s="1403" t="s">
        <v>808</v>
      </c>
      <c r="P45" s="1461"/>
      <c r="Q45" s="1461"/>
      <c r="R45" s="1461"/>
    </row>
    <row r="46" spans="1:18" s="1384" customFormat="1" ht="13.5" thickBot="1">
      <c r="A46" s="1404" t="s">
        <v>809</v>
      </c>
      <c r="C46" s="1405">
        <f ca="1">ROUND(C45,0)</f>
        <v>-173</v>
      </c>
      <c r="D46" s="1406" t="str">
        <f>C2</f>
        <v>万元</v>
      </c>
      <c r="I46" s="1407" t="s">
        <v>810</v>
      </c>
      <c r="J46" s="1408"/>
      <c r="K46" s="1409"/>
      <c r="L46" s="1410">
        <f ca="1">IF(M47="住宅",0,IF(L48&gt;J51,L60,J60))</f>
        <v>28645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3411</v>
      </c>
      <c r="K47" s="1416" t="s">
        <v>816</v>
      </c>
      <c r="L47" s="1417">
        <f ca="1">INDIRECT("'数据-取费表'!d"&amp;$G$1)</f>
        <v>50</v>
      </c>
      <c r="M47" s="1380" t="str">
        <f>IF(ISNUMBER(FIND("住宅",C1)),"住宅","非住宅")</f>
        <v>非住宅</v>
      </c>
      <c r="O47" s="1418" t="s">
        <v>403</v>
      </c>
      <c r="P47" s="1419" t="s">
        <v>817</v>
      </c>
      <c r="Q47" s="1420">
        <f ca="1">C40+J29</f>
        <v>1623687</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33.909999999999997</v>
      </c>
      <c r="O48" s="1418" t="s">
        <v>404</v>
      </c>
      <c r="P48" s="1419" t="s">
        <v>821</v>
      </c>
      <c r="Q48" s="1420">
        <f ca="1">J60</f>
        <v>28645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374554</v>
      </c>
      <c r="R49" s="1420" t="s">
        <v>818</v>
      </c>
    </row>
    <row r="50" spans="1:18" s="1384" customFormat="1" ht="13.5" thickBot="1">
      <c r="A50" s="976"/>
      <c r="B50" s="979"/>
      <c r="C50" s="980"/>
      <c r="D50" s="953"/>
      <c r="E50" s="1056" t="s">
        <v>697</v>
      </c>
      <c r="F50" s="1057">
        <f ca="1">F7</f>
        <v>71.7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917668</v>
      </c>
      <c r="M51" s="1436"/>
      <c r="O51" s="1428" t="s">
        <v>407</v>
      </c>
      <c r="P51" s="1419" t="s">
        <v>831</v>
      </c>
      <c r="Q51" s="1431">
        <f>J52</f>
        <v>0.05</v>
      </c>
      <c r="R51" s="1420"/>
    </row>
    <row r="52" spans="1:18" s="1384" customFormat="1" ht="13.5" thickBot="1">
      <c r="A52" s="977"/>
      <c r="B52" s="979"/>
      <c r="C52" s="980"/>
      <c r="D52" s="953"/>
      <c r="E52" s="981" t="s">
        <v>699</v>
      </c>
      <c r="F52" s="1054"/>
      <c r="I52" s="1437" t="s">
        <v>832</v>
      </c>
      <c r="J52" s="1438">
        <v>0.05</v>
      </c>
      <c r="K52" s="1437" t="s">
        <v>833</v>
      </c>
      <c r="L52" s="1438"/>
      <c r="O52" s="1428" t="s">
        <v>408</v>
      </c>
      <c r="P52" s="1419" t="s">
        <v>834</v>
      </c>
      <c r="Q52" s="1420">
        <f ca="1">J53</f>
        <v>33.909999999999997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33.909999999999997</v>
      </c>
      <c r="K53" s="3639" t="s">
        <v>837</v>
      </c>
      <c r="L53" s="3640"/>
      <c r="O53" s="1418" t="s">
        <v>409</v>
      </c>
      <c r="P53" s="1419" t="s">
        <v>838</v>
      </c>
      <c r="Q53" s="1420">
        <f ca="1">Q47+Q48</f>
        <v>1652332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307134</v>
      </c>
      <c r="D56" s="1447"/>
      <c r="E56" s="1448"/>
      <c r="F56" s="1440"/>
      <c r="I56" s="1449" t="s">
        <v>842</v>
      </c>
      <c r="J56" s="1450" t="s">
        <v>3419</v>
      </c>
      <c r="K56" s="1421" t="s">
        <v>843</v>
      </c>
      <c r="L56" s="1424" t="str">
        <f ca="1">IF(L48&lt;J51,"——",L48-J51)</f>
        <v>——</v>
      </c>
      <c r="O56" s="1418" t="s">
        <v>403</v>
      </c>
      <c r="P56" s="1419" t="s">
        <v>817</v>
      </c>
      <c r="Q56" s="1420">
        <f ca="1">C40+J29</f>
        <v>1623687</v>
      </c>
      <c r="R56" s="1420" t="s">
        <v>818</v>
      </c>
    </row>
    <row r="57" spans="1:18" s="1384" customFormat="1" ht="24.75" thickBot="1">
      <c r="A57" s="1451"/>
      <c r="B57" s="950" t="s">
        <v>767</v>
      </c>
      <c r="C57" s="238">
        <f ca="1">C29</f>
        <v>374554</v>
      </c>
      <c r="D57" s="1452"/>
      <c r="E57" s="1453"/>
      <c r="F57" s="1454"/>
      <c r="I57" s="1455" t="s">
        <v>844</v>
      </c>
      <c r="J57" s="1456">
        <f ca="1">IF(OR(M47="住宅",J51&lt;L48,J56="是"),"——",J51-L48)</f>
        <v>15.090000000000003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6079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149822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28645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1623687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5618</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461</v>
      </c>
      <c r="D65" s="964" t="s">
        <v>743</v>
      </c>
      <c r="E65" s="950" t="s">
        <v>744</v>
      </c>
      <c r="F65" s="330">
        <f t="shared" ca="1" si="0"/>
        <v>1.5E-3</v>
      </c>
      <c r="I65" s="1462" t="s">
        <v>867</v>
      </c>
      <c r="J65" s="1463">
        <v>40</v>
      </c>
      <c r="K65" s="1463">
        <v>30</v>
      </c>
      <c r="L65" s="1463">
        <v>50</v>
      </c>
      <c r="M65" s="1465">
        <v>0.02</v>
      </c>
      <c r="O65" s="1418" t="s">
        <v>403</v>
      </c>
      <c r="P65" s="1419" t="s">
        <v>868</v>
      </c>
      <c r="Q65" s="1420">
        <f ca="1">C40+J29</f>
        <v>1623687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-6079</v>
      </c>
      <c r="D67" s="963" t="s">
        <v>753</v>
      </c>
      <c r="E67" s="968"/>
      <c r="F67" s="969"/>
      <c r="O67" s="1428" t="s">
        <v>405</v>
      </c>
      <c r="P67" s="1419" t="s">
        <v>850</v>
      </c>
      <c r="Q67" s="1466">
        <f ca="1">L51</f>
        <v>917668</v>
      </c>
      <c r="R67" s="1420" t="s">
        <v>870</v>
      </c>
    </row>
    <row r="68" spans="1:18" s="1384" customFormat="1" ht="16.5" thickBot="1">
      <c r="A68" s="947" t="s">
        <v>395</v>
      </c>
      <c r="B68" s="948" t="s">
        <v>774</v>
      </c>
      <c r="C68" s="301">
        <f ca="1">ROUND(C67*(1-((1+F70)/(1+F68))^F69)/(F68-F70),0)</f>
        <v>-104723</v>
      </c>
      <c r="D68" s="965" t="s">
        <v>758</v>
      </c>
      <c r="E68" s="950" t="s">
        <v>759</v>
      </c>
      <c r="F68" s="312">
        <f ca="1">F40</f>
        <v>4.4999999999999998E-2</v>
      </c>
      <c r="O68" s="1428" t="s">
        <v>406</v>
      </c>
      <c r="P68" s="1467" t="s">
        <v>871</v>
      </c>
      <c r="Q68" s="1420">
        <f ca="1">ROUND(Q69-Q70*Q71,0)</f>
        <v>42999</v>
      </c>
      <c r="R68" s="1420" t="s">
        <v>414</v>
      </c>
    </row>
    <row r="69" spans="1:18" s="1384" customFormat="1" ht="13.5" thickBot="1">
      <c r="A69" s="951"/>
      <c r="B69" s="952"/>
      <c r="C69" s="306"/>
      <c r="D69" s="970" t="s">
        <v>762</v>
      </c>
      <c r="E69" s="950" t="s">
        <v>763</v>
      </c>
      <c r="F69" s="333">
        <f ca="1">F41</f>
        <v>33.909999999999997</v>
      </c>
      <c r="O69" s="1428" t="s">
        <v>411</v>
      </c>
      <c r="P69" s="1467" t="s">
        <v>872</v>
      </c>
      <c r="Q69" s="1420">
        <f ca="1">C39</f>
        <v>58356</v>
      </c>
      <c r="R69" s="1420" t="s">
        <v>818</v>
      </c>
    </row>
    <row r="70" spans="1:18" s="1384" customFormat="1" ht="13.5" thickBot="1">
      <c r="A70" s="954"/>
      <c r="B70" s="955"/>
      <c r="C70" s="310"/>
      <c r="D70" s="966"/>
      <c r="E70" s="950" t="s">
        <v>766</v>
      </c>
      <c r="F70" s="1054"/>
      <c r="O70" s="1428" t="s">
        <v>412</v>
      </c>
      <c r="P70" s="1467" t="s">
        <v>873</v>
      </c>
      <c r="Q70" s="1420">
        <f ca="1">C13</f>
        <v>307134</v>
      </c>
      <c r="R70" s="1420" t="s">
        <v>818</v>
      </c>
    </row>
    <row r="71" spans="1:18" s="1384" customFormat="1" ht="13.5" thickBot="1">
      <c r="A71" s="971" t="s">
        <v>396</v>
      </c>
      <c r="B71" s="972" t="s">
        <v>776</v>
      </c>
      <c r="C71" s="336">
        <f ca="1">ROUND(C68/F71,0)</f>
        <v>-1461</v>
      </c>
      <c r="D71" s="973" t="s">
        <v>777</v>
      </c>
      <c r="E71" s="974" t="s">
        <v>778</v>
      </c>
      <c r="F71" s="339">
        <f ca="1">F43</f>
        <v>71.7</v>
      </c>
      <c r="O71" s="1428" t="s">
        <v>413</v>
      </c>
      <c r="P71" s="1467" t="s">
        <v>874</v>
      </c>
      <c r="Q71" s="1431">
        <f ca="1">C76</f>
        <v>0.05</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15357</v>
      </c>
      <c r="D75" s="1384"/>
      <c r="E75" s="1384"/>
      <c r="F75" s="1384"/>
      <c r="K75" s="1402"/>
      <c r="L75" s="1384"/>
      <c r="O75" s="1418" t="s">
        <v>409</v>
      </c>
      <c r="P75" s="1419" t="s">
        <v>838</v>
      </c>
      <c r="Q75" s="1420">
        <f ca="1">Q65+Q66</f>
        <v>1623687</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0.73699999999999999</v>
      </c>
    </row>
    <row r="80" spans="1:18">
      <c r="B80" s="340" t="s">
        <v>800</v>
      </c>
      <c r="C80" s="274">
        <f ca="1">ROUND(C75/C39,3)</f>
        <v>0.26300000000000001</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644" t="s">
        <v>2320</v>
      </c>
      <c r="K2" s="364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6" t="s">
        <v>2330</v>
      </c>
      <c r="K3" s="364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6" t="s">
        <v>2332</v>
      </c>
      <c r="K4" s="364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8" t="s">
        <v>2336</v>
      </c>
      <c r="B6" s="3649"/>
      <c r="C6" s="3650"/>
      <c r="D6" s="2870"/>
      <c r="E6" s="2871"/>
      <c r="F6" s="2872"/>
      <c r="G6" s="2873"/>
      <c r="H6" s="2848"/>
      <c r="I6" s="2849"/>
      <c r="J6" s="3651">
        <v>1</v>
      </c>
      <c r="K6" s="365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1"/>
      <c r="K7" s="365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5" t="s">
        <v>2350</v>
      </c>
      <c r="C8" s="3656"/>
      <c r="D8" s="2889" t="s">
        <v>2351</v>
      </c>
      <c r="E8" s="2890" t="s">
        <v>2352</v>
      </c>
      <c r="F8" s="2891" t="s">
        <v>2353</v>
      </c>
      <c r="G8" s="2892"/>
      <c r="H8" s="2848"/>
      <c r="I8" s="2849"/>
      <c r="J8" s="3651"/>
      <c r="K8" s="365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5" t="s">
        <v>2356</v>
      </c>
      <c r="C9" s="3656"/>
      <c r="D9" s="2889">
        <f>ROUND(D6*E9,0)</f>
        <v>0</v>
      </c>
      <c r="E9" s="2893"/>
      <c r="F9" s="2894" t="s">
        <v>2357</v>
      </c>
      <c r="G9" s="2873"/>
      <c r="H9" s="2848"/>
      <c r="I9" s="2849"/>
      <c r="J9" s="3651"/>
      <c r="K9" s="3653"/>
      <c r="L9" s="2883" t="s">
        <v>2358</v>
      </c>
      <c r="M9" s="2884"/>
      <c r="N9" s="2860"/>
      <c r="O9" s="2885"/>
      <c r="P9" s="2885"/>
      <c r="Q9" s="2886">
        <v>365</v>
      </c>
      <c r="R9" s="2887">
        <f t="shared" si="0"/>
        <v>0</v>
      </c>
      <c r="S9" s="2841"/>
      <c r="T9" s="2841"/>
      <c r="U9" s="2841"/>
      <c r="V9" s="2849"/>
    </row>
    <row r="10" spans="1:22" s="2853" customFormat="1" ht="13.15" customHeight="1">
      <c r="A10" s="2888">
        <v>2</v>
      </c>
      <c r="B10" s="3655" t="s">
        <v>2359</v>
      </c>
      <c r="C10" s="3656"/>
      <c r="D10" s="2889">
        <f>ROUND(D6*E10,0)</f>
        <v>0</v>
      </c>
      <c r="E10" s="2893"/>
      <c r="F10" s="2894" t="s">
        <v>2360</v>
      </c>
      <c r="G10" s="2873"/>
      <c r="H10" s="2848"/>
      <c r="I10" s="2849"/>
      <c r="J10" s="3651"/>
      <c r="K10" s="3653"/>
      <c r="L10" s="2883" t="s">
        <v>2361</v>
      </c>
      <c r="M10" s="2884"/>
      <c r="N10" s="2860"/>
      <c r="O10" s="2885"/>
      <c r="P10" s="2885"/>
      <c r="Q10" s="2886">
        <v>365</v>
      </c>
      <c r="R10" s="2887">
        <f t="shared" si="0"/>
        <v>0</v>
      </c>
      <c r="S10" s="2841"/>
      <c r="T10" s="2841"/>
      <c r="U10" s="2841"/>
      <c r="V10" s="2849"/>
    </row>
    <row r="11" spans="1:22" s="2853" customFormat="1" ht="13.15" customHeight="1">
      <c r="A11" s="2888">
        <v>3</v>
      </c>
      <c r="B11" s="3655" t="s">
        <v>2362</v>
      </c>
      <c r="C11" s="3656"/>
      <c r="D11" s="2889">
        <f>D12+D14+D15+D16</f>
        <v>0</v>
      </c>
      <c r="E11" s="2895" t="e">
        <f>D11/D6</f>
        <v>#DIV/0!</v>
      </c>
      <c r="F11" s="2891"/>
      <c r="G11" s="2892"/>
      <c r="H11" s="2848"/>
      <c r="I11" s="2849"/>
      <c r="J11" s="3651"/>
      <c r="K11" s="365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7" t="s">
        <v>2365</v>
      </c>
      <c r="C12" s="3658"/>
      <c r="D12" s="2897">
        <f>ROUND(D13*1.2%*(1-30%),0)</f>
        <v>0</v>
      </c>
      <c r="E12" s="2898">
        <v>1.2E-2</v>
      </c>
      <c r="F12" s="2891" t="s">
        <v>2366</v>
      </c>
      <c r="G12" s="2892"/>
      <c r="H12" s="2848"/>
      <c r="I12" s="2849"/>
      <c r="J12" s="3651"/>
      <c r="K12" s="365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1"/>
      <c r="K13" s="365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7" t="s">
        <v>2371</v>
      </c>
      <c r="C14" s="3658"/>
      <c r="D14" s="2897">
        <f>ROUND(E14*B5/10000,0)</f>
        <v>0</v>
      </c>
      <c r="E14" s="2886"/>
      <c r="F14" s="2891" t="s">
        <v>2372</v>
      </c>
      <c r="G14" s="2892"/>
      <c r="H14" s="2848"/>
      <c r="I14" s="2849"/>
      <c r="J14" s="3651"/>
      <c r="K14" s="365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7" t="s">
        <v>2375</v>
      </c>
      <c r="C15" s="3658"/>
      <c r="D15" s="2897">
        <f>ROUND(D6*E15,0)</f>
        <v>0</v>
      </c>
      <c r="E15" s="2898">
        <v>5.5E-2</v>
      </c>
      <c r="F15" s="2891" t="s">
        <v>2376</v>
      </c>
      <c r="G15" s="2873"/>
      <c r="H15" s="2848"/>
      <c r="I15" s="2849"/>
      <c r="J15" s="3651">
        <v>2</v>
      </c>
      <c r="K15" s="365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7" t="s">
        <v>2384</v>
      </c>
      <c r="C16" s="3658"/>
      <c r="D16" s="2908">
        <f>D6*E16</f>
        <v>0</v>
      </c>
      <c r="E16" s="2909"/>
      <c r="F16" s="2894" t="s">
        <v>2385</v>
      </c>
      <c r="G16" s="2873"/>
      <c r="H16" s="2848"/>
      <c r="I16" s="2849"/>
      <c r="J16" s="3651"/>
      <c r="K16" s="365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9" t="s">
        <v>2387</v>
      </c>
      <c r="C17" s="3660"/>
      <c r="D17" s="2911">
        <f>ROUND(D6*E17,0)</f>
        <v>0</v>
      </c>
      <c r="E17" s="2912"/>
      <c r="F17" s="2913" t="s">
        <v>2388</v>
      </c>
      <c r="G17" s="2873"/>
      <c r="H17" s="2848"/>
      <c r="I17" s="2849"/>
      <c r="J17" s="3651"/>
      <c r="K17" s="365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1"/>
      <c r="K18" s="365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1"/>
      <c r="K19" s="365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1">
        <v>3</v>
      </c>
      <c r="K20" s="365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1"/>
      <c r="K21" s="365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1"/>
      <c r="K22" s="365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1"/>
      <c r="K23" s="365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1"/>
      <c r="K24" s="365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4" t="s">
        <v>2320</v>
      </c>
      <c r="K32" s="364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6" t="s">
        <v>2330</v>
      </c>
      <c r="K33" s="364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6" t="s">
        <v>2332</v>
      </c>
      <c r="K34" s="364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1">
        <v>1</v>
      </c>
      <c r="K36" s="365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1"/>
      <c r="K37" s="365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1"/>
      <c r="K38" s="365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1"/>
      <c r="K39" s="365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1"/>
      <c r="K40" s="365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165.23320000000001</v>
      </c>
      <c r="C2" s="1872" t="s">
        <v>1651</v>
      </c>
      <c r="D2" s="1873" t="s">
        <v>1652</v>
      </c>
      <c r="E2" s="2607">
        <f>SUM(E6:E13)</f>
        <v>71.7</v>
      </c>
      <c r="F2" s="2707"/>
      <c r="G2" s="1489"/>
      <c r="H2" s="1489"/>
      <c r="I2" s="1489"/>
      <c r="J2" s="1489"/>
      <c r="K2" s="1489"/>
      <c r="L2" s="1489"/>
      <c r="M2" s="1489"/>
      <c r="N2" s="1489"/>
      <c r="O2" s="1489"/>
      <c r="P2" s="1489"/>
      <c r="Q2" s="1489"/>
      <c r="R2" s="1489"/>
      <c r="S2" s="1489"/>
    </row>
    <row r="3" spans="1:22" ht="15.75">
      <c r="A3" s="1870" t="s">
        <v>686</v>
      </c>
      <c r="B3" s="2601">
        <f ca="1">ROUND(B2*10000/E2,0)</f>
        <v>23045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165.23320000000001</v>
      </c>
      <c r="C6" s="1872" t="s">
        <v>1651</v>
      </c>
      <c r="D6" s="2709"/>
      <c r="E6" s="2606">
        <f>IF(OR(A6=0,F6="否"),0,'数据-取费表'!K6+'数据-取费表'!S6)</f>
        <v>71.7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71.7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70" t="s">
        <v>1668</v>
      </c>
      <c r="S4" s="3671"/>
      <c r="T4" s="3670" t="s">
        <v>1669</v>
      </c>
      <c r="U4" s="3671"/>
      <c r="V4" s="3695" t="s">
        <v>1670</v>
      </c>
      <c r="W4" s="3695"/>
      <c r="X4" s="1355"/>
      <c r="Y4" s="3670" t="s">
        <v>1672</v>
      </c>
      <c r="Z4" s="3671"/>
      <c r="AA4" s="3665" t="s">
        <v>1668</v>
      </c>
      <c r="AB4" s="3665" t="s">
        <v>1669</v>
      </c>
      <c r="AC4" s="3665" t="s">
        <v>1670</v>
      </c>
    </row>
    <row r="5" spans="1:29" ht="15">
      <c r="A5" s="358"/>
      <c r="B5" s="359"/>
      <c r="C5" s="3676" t="s">
        <v>1673</v>
      </c>
      <c r="D5" s="3677"/>
      <c r="E5" s="3674" t="s">
        <v>1674</v>
      </c>
      <c r="F5" s="3675"/>
      <c r="G5" s="3676" t="s">
        <v>1675</v>
      </c>
      <c r="H5" s="3677"/>
      <c r="I5" s="3676" t="s">
        <v>1676</v>
      </c>
      <c r="J5" s="3677"/>
      <c r="K5" s="1890"/>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1890"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8" t="s">
        <v>1680</v>
      </c>
      <c r="Q7" s="3696"/>
      <c r="R7" s="701" t="s">
        <v>20</v>
      </c>
      <c r="S7" s="702">
        <f t="shared" ref="S7:S15" si="0">F7</f>
        <v>0</v>
      </c>
      <c r="T7" s="701" t="s">
        <v>20</v>
      </c>
      <c r="U7" s="702">
        <f t="shared" ref="U7:U15" si="1">H7</f>
        <v>0</v>
      </c>
      <c r="V7" s="701" t="s">
        <v>20</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8" t="s">
        <v>1683</v>
      </c>
      <c r="Q8" s="3669"/>
      <c r="R8" s="701" t="s">
        <v>20</v>
      </c>
      <c r="S8" s="702">
        <f t="shared" si="0"/>
        <v>100</v>
      </c>
      <c r="T8" s="701" t="s">
        <v>20</v>
      </c>
      <c r="U8" s="702">
        <f t="shared" si="1"/>
        <v>100</v>
      </c>
      <c r="V8" s="701" t="s">
        <v>20</v>
      </c>
      <c r="W8" s="702">
        <f t="shared" si="2"/>
        <v>100</v>
      </c>
      <c r="X8" s="703"/>
      <c r="Y8" s="3668" t="s">
        <v>1683</v>
      </c>
      <c r="Z8" s="366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9"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0"/>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0"/>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71.7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95"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95"/>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95"/>
      <c r="AC6" s="3667"/>
    </row>
    <row r="7" spans="1:29" s="108" customFormat="1" ht="15.75" thickBot="1">
      <c r="A7" s="362" t="s">
        <v>1679</v>
      </c>
      <c r="B7" s="363"/>
      <c r="C7" s="364">
        <f>'数据-取费表'!B2</f>
        <v>45400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2"/>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9"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0"/>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0" t="str">
        <f>A47</f>
        <v>成交单价（元/平方米）</v>
      </c>
      <c r="Q47" s="3700"/>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71.7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12" t="s">
        <v>1771</v>
      </c>
      <c r="S4" s="3713"/>
      <c r="T4" s="3712" t="s">
        <v>1772</v>
      </c>
      <c r="U4" s="3713"/>
      <c r="V4" s="3721" t="s">
        <v>1773</v>
      </c>
      <c r="W4" s="3721"/>
      <c r="X4" s="1958"/>
      <c r="Y4" s="3712" t="s">
        <v>1775</v>
      </c>
      <c r="Z4" s="3713"/>
      <c r="AA4" s="3711" t="s">
        <v>1771</v>
      </c>
      <c r="AB4" s="3711" t="s">
        <v>1772</v>
      </c>
      <c r="AC4" s="3714" t="s">
        <v>1773</v>
      </c>
    </row>
    <row r="5" spans="1:29" ht="15">
      <c r="A5" s="358"/>
      <c r="B5" s="359"/>
      <c r="C5" s="3676" t="s">
        <v>1673</v>
      </c>
      <c r="D5" s="3677"/>
      <c r="E5" s="3674" t="s">
        <v>1674</v>
      </c>
      <c r="F5" s="3675"/>
      <c r="G5" s="3676" t="s">
        <v>1675</v>
      </c>
      <c r="H5" s="3677"/>
      <c r="I5" s="3676" t="s">
        <v>1676</v>
      </c>
      <c r="J5" s="3677"/>
      <c r="K5" s="559"/>
      <c r="L5" s="2715"/>
      <c r="M5" s="2716"/>
      <c r="N5" s="2716"/>
      <c r="O5" s="2716"/>
      <c r="P5" s="3719"/>
      <c r="Q5" s="3690"/>
      <c r="R5" s="3672"/>
      <c r="S5" s="3673"/>
      <c r="T5" s="3672"/>
      <c r="U5" s="3673"/>
      <c r="V5" s="3695"/>
      <c r="W5" s="3695"/>
      <c r="X5" s="1355"/>
      <c r="Y5" s="3672"/>
      <c r="Z5" s="3673"/>
      <c r="AA5" s="3666"/>
      <c r="AB5" s="3666"/>
      <c r="AC5" s="3715"/>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720"/>
      <c r="Q6" s="3692"/>
      <c r="R6" s="3672"/>
      <c r="S6" s="3673"/>
      <c r="T6" s="3693"/>
      <c r="U6" s="3694"/>
      <c r="V6" s="3695"/>
      <c r="W6" s="3695"/>
      <c r="X6" s="1355"/>
      <c r="Y6" s="3693"/>
      <c r="Z6" s="3694"/>
      <c r="AA6" s="3667"/>
      <c r="AB6" s="3667"/>
      <c r="AC6" s="3716"/>
    </row>
    <row r="7" spans="1:29" s="108" customFormat="1" ht="15.75" thickBot="1">
      <c r="A7" s="362" t="s">
        <v>1679</v>
      </c>
      <c r="B7" s="363"/>
      <c r="C7" s="364">
        <f>'数据-取费表'!B2</f>
        <v>45400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669"/>
      <c r="R8" s="701" t="s">
        <v>14</v>
      </c>
      <c r="S8" s="702">
        <f t="shared" si="0"/>
        <v>100</v>
      </c>
      <c r="T8" s="701" t="s">
        <v>14</v>
      </c>
      <c r="U8" s="702">
        <f t="shared" si="1"/>
        <v>100</v>
      </c>
      <c r="V8" s="701" t="s">
        <v>14</v>
      </c>
      <c r="W8" s="702">
        <f t="shared" si="2"/>
        <v>100</v>
      </c>
      <c r="X8" s="703"/>
      <c r="Y8" s="3668" t="s">
        <v>1683</v>
      </c>
      <c r="Z8" s="366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9"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0"/>
      <c r="Q22" s="1352"/>
      <c r="R22" s="705"/>
      <c r="S22" s="706"/>
      <c r="T22" s="705"/>
      <c r="U22" s="706"/>
      <c r="V22" s="705"/>
      <c r="W22" s="706"/>
      <c r="X22" s="1355"/>
      <c r="Y22" s="370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0"/>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2"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2"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913"/>
      <c r="M5" s="914"/>
      <c r="N5" s="914"/>
      <c r="O5" s="914"/>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913"/>
      <c r="M6" s="914"/>
      <c r="N6" s="914"/>
      <c r="O6" s="914"/>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45400</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1683</v>
      </c>
      <c r="Q8" s="3669"/>
      <c r="R8" s="701" t="s">
        <v>14</v>
      </c>
      <c r="S8" s="702">
        <f t="shared" si="0"/>
        <v>100</v>
      </c>
      <c r="T8" s="701" t="s">
        <v>14</v>
      </c>
      <c r="U8" s="702">
        <f t="shared" si="1"/>
        <v>100</v>
      </c>
      <c r="V8" s="701" t="s">
        <v>14</v>
      </c>
      <c r="W8" s="702">
        <f t="shared" si="2"/>
        <v>100</v>
      </c>
      <c r="X8" s="703"/>
      <c r="Y8" s="3668" t="s">
        <v>1683</v>
      </c>
      <c r="Z8" s="366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30"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30"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30" s="108" customFormat="1" ht="15.75" thickBot="1">
      <c r="A7" s="362" t="s">
        <v>1679</v>
      </c>
      <c r="B7" s="363"/>
      <c r="C7" s="364">
        <f>'数据-取费表'!B2</f>
        <v>45400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700"/>
      <c r="Q10" s="1343" t="str">
        <f t="shared" si="6"/>
        <v>土地使用年限（年）</v>
      </c>
      <c r="R10" s="701" t="s">
        <v>14</v>
      </c>
      <c r="S10" s="702">
        <f t="shared" si="0"/>
        <v>117</v>
      </c>
      <c r="T10" s="701" t="s">
        <v>14</v>
      </c>
      <c r="U10" s="702">
        <f t="shared" si="1"/>
        <v>117</v>
      </c>
      <c r="V10" s="701" t="s">
        <v>14</v>
      </c>
      <c r="W10" s="702">
        <f t="shared" si="2"/>
        <v>117</v>
      </c>
      <c r="X10" s="703"/>
      <c r="Y10" s="3612"/>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0" t="str">
        <f>A46</f>
        <v>成交单价</v>
      </c>
      <c r="Q46" s="3700"/>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0" t="str">
        <f>A47</f>
        <v>比较价值（元/平方米）</v>
      </c>
      <c r="Q47" s="3700"/>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7" t="str">
        <f>A48</f>
        <v>估价对象XX用房的比较价值（楼面单价，元/平方米）</v>
      </c>
      <c r="Q48" s="3698"/>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71.7</v>
      </c>
      <c r="F56" s="886" t="e">
        <f t="shared" ref="F56:F64" si="15">ROUND(B56*E56/10000,0)</f>
        <v>#DIV/0!</v>
      </c>
      <c r="G56" s="3682"/>
      <c r="H56" s="370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71.7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700"/>
      <c r="Q10" s="1343" t="str">
        <f t="shared" si="6"/>
        <v>土地使用年限（年）</v>
      </c>
      <c r="R10" s="701" t="s">
        <v>14</v>
      </c>
      <c r="S10" s="702">
        <f t="shared" si="0"/>
        <v>117</v>
      </c>
      <c r="T10" s="701" t="s">
        <v>14</v>
      </c>
      <c r="U10" s="702">
        <f t="shared" si="1"/>
        <v>117</v>
      </c>
      <c r="V10" s="701" t="s">
        <v>14</v>
      </c>
      <c r="W10" s="702">
        <f t="shared" si="2"/>
        <v>117</v>
      </c>
      <c r="X10" s="703"/>
      <c r="Y10" s="3612"/>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0" t="str">
        <f>A41</f>
        <v>成交单价</v>
      </c>
      <c r="Q41" s="3700"/>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0" t="str">
        <f>A42</f>
        <v>比较价值（元/平方米）</v>
      </c>
      <c r="Q42" s="3700"/>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7" t="str">
        <f>A43</f>
        <v>估价对象XX用房的比较价值（楼面单价，元/平方米）</v>
      </c>
      <c r="Q43" s="3698"/>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71.7</v>
      </c>
      <c r="F51" s="639" t="e">
        <f t="shared" ref="F51:F60" si="15">ROUND(B51*E51/10000,0)</f>
        <v>#DIV/0!</v>
      </c>
      <c r="G51" s="3682"/>
      <c r="H51" s="370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91</v>
      </c>
      <c r="C2" s="2145" t="s">
        <v>2074</v>
      </c>
      <c r="D2" s="2145" t="s">
        <v>2075</v>
      </c>
      <c r="E2" s="2612">
        <f ca="1">SUMIF(E6:E13,"&lt;&gt;#ref!",E6:E13)</f>
        <v>71.7</v>
      </c>
      <c r="F2" s="2793"/>
      <c r="G2" s="2793"/>
      <c r="H2" s="2793"/>
      <c r="I2" s="2793"/>
      <c r="J2" s="2793"/>
      <c r="K2" s="2793"/>
      <c r="L2" s="2793"/>
      <c r="M2" s="2793"/>
      <c r="N2" s="2793"/>
      <c r="O2" s="2793"/>
      <c r="P2" s="2793"/>
    </row>
    <row r="3" spans="1:16" ht="15.75">
      <c r="A3" s="2145" t="s">
        <v>2076</v>
      </c>
      <c r="B3" s="2602">
        <f ca="1">ROUND(B2*10000/E2,0)</f>
        <v>12692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91</v>
      </c>
      <c r="C6" s="2145" t="s">
        <v>2074</v>
      </c>
      <c r="D6" s="2793"/>
      <c r="E6" s="2612">
        <f ca="1">SUMIF(INDIRECT("'"&amp;A6&amp;"'"&amp;"!C:C"),"建筑面积",INDIRECT("'"&amp;A6&amp;"'"&amp;"!D:D"))</f>
        <v>71.7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topLeftCell="A4" workbookViewId="0">
      <selection activeCell="H17" sqref="H17"/>
    </sheetView>
  </sheetViews>
  <sheetFormatPr defaultColWidth="11.5" defaultRowHeight="14.25"/>
  <cols>
    <col min="1" max="1" width="18.75" style="3450" customWidth="1"/>
    <col min="2" max="2" width="14.375" style="3450" customWidth="1"/>
    <col min="3" max="16384" width="11.5" style="3450"/>
  </cols>
  <sheetData>
    <row r="1" spans="1:14">
      <c r="A1" s="3741" t="s">
        <v>3397</v>
      </c>
      <c r="C1" s="3449">
        <v>45352.333831018521</v>
      </c>
      <c r="D1" s="3449">
        <v>45323.333831018521</v>
      </c>
      <c r="E1" s="3449">
        <v>45292.333831018521</v>
      </c>
      <c r="F1" s="3449">
        <v>45261.333831018521</v>
      </c>
      <c r="G1" s="3449">
        <v>45231.333831018521</v>
      </c>
      <c r="H1" s="3449">
        <v>45200.333831018521</v>
      </c>
      <c r="I1" s="3449">
        <v>45170.333831018521</v>
      </c>
      <c r="J1" s="3449">
        <v>45139.333831018521</v>
      </c>
      <c r="K1" s="3449">
        <v>45108.333831018521</v>
      </c>
      <c r="L1" s="3449">
        <v>45078.333831018521</v>
      </c>
      <c r="M1" s="3449">
        <v>45047.333831018521</v>
      </c>
      <c r="N1" s="3449">
        <v>45017.333831018521</v>
      </c>
    </row>
    <row r="2" spans="1:14">
      <c r="A2" s="3741"/>
      <c r="C2" s="3450" t="s">
        <v>3398</v>
      </c>
      <c r="D2" s="3450" t="s">
        <v>3398</v>
      </c>
      <c r="E2" s="3450" t="s">
        <v>3398</v>
      </c>
      <c r="F2" s="3450" t="s">
        <v>3398</v>
      </c>
      <c r="G2" s="3450" t="s">
        <v>3398</v>
      </c>
      <c r="H2" s="3450" t="s">
        <v>3398</v>
      </c>
      <c r="I2" s="3450" t="s">
        <v>3398</v>
      </c>
      <c r="J2" s="3450" t="s">
        <v>3398</v>
      </c>
      <c r="K2" s="3450" t="s">
        <v>3398</v>
      </c>
      <c r="L2" s="3450" t="s">
        <v>3398</v>
      </c>
      <c r="M2" s="3450" t="s">
        <v>3398</v>
      </c>
      <c r="N2" s="3450" t="s">
        <v>3398</v>
      </c>
    </row>
    <row r="3" spans="1:14">
      <c r="A3" s="3450" t="s">
        <v>3399</v>
      </c>
      <c r="B3" s="3450">
        <f>ROUND(AVERAGE(C3:N3),2)</f>
        <v>90.81</v>
      </c>
      <c r="C3" s="3450">
        <v>90.64</v>
      </c>
      <c r="D3" s="3450">
        <v>90.64</v>
      </c>
      <c r="E3" s="3450">
        <v>90.64</v>
      </c>
      <c r="F3" s="3450">
        <v>90.64</v>
      </c>
      <c r="G3" s="3450">
        <v>90.64</v>
      </c>
      <c r="H3" s="3450">
        <v>90.64</v>
      </c>
      <c r="I3" s="3450">
        <v>90.64</v>
      </c>
      <c r="J3" s="3450">
        <v>98.11</v>
      </c>
      <c r="K3" s="3450">
        <v>92.48</v>
      </c>
      <c r="L3" s="3450">
        <v>85.57</v>
      </c>
      <c r="M3" s="3450">
        <v>85.29</v>
      </c>
      <c r="N3" s="3450">
        <v>93.74</v>
      </c>
    </row>
    <row r="4" spans="1:14">
      <c r="A4" s="3450" t="s">
        <v>3399</v>
      </c>
      <c r="B4" s="3450">
        <f t="shared" ref="B4:B6" si="0">ROUND(AVERAGE(C4:N4),2)</f>
        <v>97.49</v>
      </c>
      <c r="C4" s="3450">
        <v>96.24</v>
      </c>
      <c r="D4" s="3450">
        <v>96.24</v>
      </c>
      <c r="E4" s="3450">
        <v>96.24</v>
      </c>
      <c r="F4" s="3450">
        <v>96.24</v>
      </c>
      <c r="G4" s="3450">
        <v>96.24</v>
      </c>
      <c r="H4" s="3450">
        <v>96.24</v>
      </c>
      <c r="I4" s="3450">
        <v>96.24</v>
      </c>
      <c r="J4" s="3450">
        <v>99.92</v>
      </c>
      <c r="K4" s="3450">
        <v>99.63</v>
      </c>
      <c r="L4" s="3450">
        <v>99.2</v>
      </c>
      <c r="M4" s="3450">
        <v>98.89</v>
      </c>
      <c r="N4" s="3450">
        <v>98.6</v>
      </c>
    </row>
    <row r="5" spans="1:14">
      <c r="A5" s="3450" t="s">
        <v>3399</v>
      </c>
      <c r="B5" s="3450">
        <f t="shared" si="0"/>
        <v>94.3</v>
      </c>
      <c r="C5" s="3450">
        <v>91.58</v>
      </c>
      <c r="D5" s="3450">
        <v>91.01</v>
      </c>
      <c r="E5" s="3450">
        <v>92.06</v>
      </c>
      <c r="F5" s="3450">
        <v>95.74</v>
      </c>
      <c r="G5" s="3450">
        <v>97.73</v>
      </c>
      <c r="H5" s="3450">
        <v>98.1</v>
      </c>
      <c r="I5" s="3450">
        <v>98.07</v>
      </c>
      <c r="J5" s="3450">
        <v>94.94</v>
      </c>
      <c r="K5" s="3450">
        <v>92.95</v>
      </c>
      <c r="L5" s="3450">
        <v>92.78</v>
      </c>
      <c r="M5" s="3450">
        <v>94.58</v>
      </c>
      <c r="N5" s="3450">
        <v>92.05</v>
      </c>
    </row>
    <row r="6" spans="1:14">
      <c r="A6" s="3450" t="s">
        <v>3399</v>
      </c>
      <c r="B6" s="3450">
        <f t="shared" si="0"/>
        <v>97.65</v>
      </c>
      <c r="C6" s="3450">
        <v>97.65</v>
      </c>
      <c r="D6" s="3450">
        <v>97.65</v>
      </c>
      <c r="E6" s="3450">
        <v>97.65</v>
      </c>
      <c r="F6" s="3450">
        <v>97.65</v>
      </c>
      <c r="G6" s="3450">
        <v>97.65</v>
      </c>
      <c r="H6" s="3450">
        <v>97.65</v>
      </c>
      <c r="I6" s="3450">
        <v>97.65</v>
      </c>
      <c r="J6" s="3450" t="s">
        <v>633</v>
      </c>
      <c r="K6" s="3450" t="s">
        <v>633</v>
      </c>
      <c r="L6" s="3450" t="s">
        <v>633</v>
      </c>
      <c r="M6" s="3450" t="s">
        <v>633</v>
      </c>
      <c r="N6" s="3450" t="s">
        <v>633</v>
      </c>
    </row>
    <row r="7" spans="1:14">
      <c r="A7" s="3450" t="s">
        <v>3400</v>
      </c>
      <c r="C7" s="3450" t="s">
        <v>633</v>
      </c>
      <c r="D7" s="3450" t="s">
        <v>633</v>
      </c>
      <c r="E7" s="3450" t="s">
        <v>633</v>
      </c>
      <c r="F7" s="3450" t="s">
        <v>633</v>
      </c>
      <c r="G7" s="3450" t="s">
        <v>633</v>
      </c>
      <c r="H7" s="3450" t="s">
        <v>633</v>
      </c>
      <c r="I7" s="3450" t="s">
        <v>633</v>
      </c>
      <c r="J7" s="3450" t="s">
        <v>633</v>
      </c>
      <c r="K7" s="3450" t="s">
        <v>633</v>
      </c>
      <c r="L7" s="3450" t="s">
        <v>633</v>
      </c>
      <c r="M7" s="3450" t="s">
        <v>633</v>
      </c>
      <c r="N7" s="3450" t="s">
        <v>633</v>
      </c>
    </row>
    <row r="13" spans="1:14">
      <c r="A13" s="3450" t="s">
        <v>3414</v>
      </c>
      <c r="B13" s="3450" t="s">
        <v>3415</v>
      </c>
      <c r="C13" s="3450">
        <v>76.61</v>
      </c>
      <c r="D13" s="3451">
        <v>1789890</v>
      </c>
      <c r="E13" s="3450">
        <f>ROUND(D13/C13,0)</f>
        <v>23364</v>
      </c>
    </row>
    <row r="17" spans="4:6">
      <c r="E17" s="3450" t="s">
        <v>3420</v>
      </c>
      <c r="F17" s="3450" t="s">
        <v>3421</v>
      </c>
    </row>
    <row r="19" spans="4:6">
      <c r="D19" s="3450">
        <v>175</v>
      </c>
      <c r="E19" s="3450">
        <v>68.58</v>
      </c>
      <c r="F19" s="3450">
        <f>ROUND(D19*10000/E19,0)</f>
        <v>25518</v>
      </c>
    </row>
    <row r="23" spans="4:6">
      <c r="D23" s="3450">
        <v>176</v>
      </c>
      <c r="E23" s="3450">
        <v>71.7</v>
      </c>
      <c r="F23" s="3450">
        <f>ROUND(D23*10000/E23,0)</f>
        <v>24547</v>
      </c>
    </row>
    <row r="27" spans="4:6">
      <c r="D27" s="3450">
        <v>175</v>
      </c>
      <c r="E27" s="3450">
        <v>71.7</v>
      </c>
      <c r="F27" s="3450">
        <f>ROUND(D27*10000/E27,0)</f>
        <v>24407</v>
      </c>
    </row>
    <row r="32" spans="4:6">
      <c r="D32" s="3450">
        <v>179.9</v>
      </c>
      <c r="E32" s="3450">
        <v>68.069999999999993</v>
      </c>
      <c r="F32" s="3450">
        <f>ROUND(D32*10000/E32,0)</f>
        <v>26429</v>
      </c>
    </row>
    <row r="41" spans="4:6">
      <c r="D41" s="3450">
        <v>126</v>
      </c>
      <c r="E41" s="3450">
        <v>53</v>
      </c>
      <c r="F41" s="3450">
        <f>ROUND(D41*10000/E41,0)</f>
        <v>23774</v>
      </c>
    </row>
  </sheetData>
  <mergeCells count="1">
    <mergeCell ref="A1:A2"/>
  </mergeCells>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5" zoomScaleNormal="80" zoomScaleSheetLayoutView="85" workbookViewId="0">
      <selection activeCell="B3" sqref="B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71.7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91</v>
      </c>
      <c r="C2" s="1999" t="s">
        <v>1935</v>
      </c>
      <c r="D2" s="2000" t="s">
        <v>1936</v>
      </c>
      <c r="E2" s="3422"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Ⅵ-21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19123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12692</v>
      </c>
      <c r="C3" s="1999" t="s">
        <v>1941</v>
      </c>
      <c r="D3" s="2000" t="s">
        <v>1942</v>
      </c>
      <c r="E3" s="3420" t="s">
        <v>3385</v>
      </c>
      <c r="F3" s="2004" t="s">
        <v>3386</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15073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12739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13214</v>
      </c>
      <c r="D5" s="1339">
        <f>ROUND(C6*C17+C20,0)</f>
        <v>12584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11235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12600</v>
      </c>
      <c r="D6" s="2017"/>
      <c r="E6" s="2018"/>
      <c r="F6" s="2018"/>
      <c r="G6" s="2019"/>
      <c r="H6" s="2019"/>
      <c r="I6" s="2019"/>
      <c r="J6" s="2020"/>
      <c r="K6" s="1384"/>
      <c r="L6" s="2003" t="s">
        <v>1951</v>
      </c>
      <c r="M6" s="864">
        <f>SUMPRODUCT((区片价!B127:B189=I2)*(区片价!C3:G3=E2)*(区片价!C127:G189))</f>
        <v>12600</v>
      </c>
      <c r="N6" s="866">
        <f>SUMPRODUCT((因素修正幅度!B127:B189=I2)*(因素修正幅度!C3:G3=E2)*(因素修正幅度!C127:G189))</f>
        <v>0.13</v>
      </c>
      <c r="O6" s="1119"/>
      <c r="P6" s="1119"/>
      <c r="Q6" s="1119"/>
      <c r="R6" s="1212">
        <v>5</v>
      </c>
      <c r="S6" s="3361">
        <f>ROUND(SUMPRODUCT((B106:B110=R6)*(C105:N105=G2)*(C106:N110)),4)</f>
        <v>0.84799999999999998</v>
      </c>
      <c r="T6" s="3361">
        <f t="shared" si="0"/>
        <v>10797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2.5</v>
      </c>
      <c r="AA7" s="1216"/>
      <c r="AB7" s="1216"/>
      <c r="AC7" s="1217"/>
      <c r="AD7" s="1218"/>
      <c r="AE7" s="1218"/>
      <c r="AF7" s="1218"/>
      <c r="AG7" s="1218"/>
      <c r="AH7" s="1218"/>
      <c r="AI7" s="1218"/>
      <c r="AJ7" s="1219"/>
    </row>
    <row r="8" spans="1:36" ht="25.5">
      <c r="A8" s="3299"/>
      <c r="B8" s="170" t="s">
        <v>1957</v>
      </c>
      <c r="C8" s="2026" t="s">
        <v>3387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8"/>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v>1.05</v>
      </c>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3257</v>
      </c>
      <c r="B20" s="167" t="s">
        <v>1994</v>
      </c>
      <c r="C20" s="3325">
        <f>ROUND(IF(F21="与级别开发程度一致",0,(G21-E21)/C21),0)</f>
        <v>-16</v>
      </c>
      <c r="D20" s="3341" t="s">
        <v>1998</v>
      </c>
      <c r="E20" s="3342"/>
      <c r="F20" s="3759" t="s">
        <v>1995</v>
      </c>
      <c r="G20" s="3760"/>
      <c r="H20" s="3326" t="s">
        <v>3389</v>
      </c>
      <c r="I20" s="3326" t="s">
        <v>3390</v>
      </c>
      <c r="J20" s="3327" t="s">
        <v>3391</v>
      </c>
      <c r="K20" s="2047" t="s">
        <v>3392</v>
      </c>
      <c r="L20" s="2047" t="s">
        <v>3393</v>
      </c>
      <c r="M20" s="2047" t="s">
        <v>3394</v>
      </c>
      <c r="N20" s="2047" t="s">
        <v>3395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3388</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45400</v>
      </c>
      <c r="H23" s="3343" t="s">
        <v>3258</v>
      </c>
      <c r="I23" s="3344" t="str">
        <f>IF(H23="季度增幅（自定义）",SUMIF(N25:N28,E2,O25:O28),"")</f>
        <v/>
      </c>
      <c r="J23" s="3446" t="s">
        <v>3396</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0.89910000000000001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33.909999999999997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1.0407999999999999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91</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12733</v>
      </c>
      <c r="D33" s="2098">
        <f>'数据-基础表'!I13</f>
        <v>71.7</v>
      </c>
      <c r="E33" s="773">
        <f>ROUND(C33*D33/10000,0)</f>
        <v>91</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3183</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f>ROUND(D5*C22*C23*C24*C28*F37,0)</f>
        <v>7275</v>
      </c>
      <c r="D37" s="2098"/>
      <c r="E37" s="171">
        <f>ROUND(C37*D37/10000,0)</f>
        <v>0</v>
      </c>
      <c r="F37" s="171">
        <f>SUMIF(修正!A57:A68,G2,修正!B57:B68)</f>
        <v>0.6</v>
      </c>
      <c r="G37" s="171">
        <f>ROUND(IF(E2="工业",C37*$M$42,C37*$M$41),0)</f>
        <v>1819</v>
      </c>
      <c r="H37" s="171">
        <f>D37</f>
        <v>0</v>
      </c>
      <c r="I37" s="171">
        <f>ROUND(G37*H37/10000,0)</f>
        <v>0</v>
      </c>
      <c r="J37" s="3012"/>
      <c r="K37" s="3359" t="s">
        <v>3268</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f>ROUND(D5*C22*C23*C24*C28*F38,0)</f>
        <v>3638</v>
      </c>
      <c r="D38" s="2098"/>
      <c r="E38" s="171">
        <f t="shared" ref="E38:E42" si="4">ROUND(C38*D38/10000,0)</f>
        <v>0</v>
      </c>
      <c r="F38" s="171">
        <f>SUMIF(修正!A57:A68,G2,修正!C57:C68)</f>
        <v>0.3</v>
      </c>
      <c r="G38" s="171">
        <f>ROUND(IF(E2="工业",C38*$M$42,C38*$M$41),0)</f>
        <v>910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3261</v>
      </c>
      <c r="C39" s="175">
        <f>ROUND(D5*C22*C23*C24*C28*F39,0)</f>
        <v>3031</v>
      </c>
      <c r="D39" s="2098"/>
      <c r="E39" s="171">
        <f t="shared" si="4"/>
        <v>0</v>
      </c>
      <c r="F39" s="171">
        <f>SUMIF(修正!A57:A68,G2,修正!D57:D68)</f>
        <v>0.25</v>
      </c>
      <c r="G39" s="171">
        <f>ROUND(IF(E2="工业",C39*$M$42,C39*$M$41),0)</f>
        <v>758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3031</v>
      </c>
      <c r="D40" s="2098"/>
      <c r="E40" s="171">
        <f t="shared" si="4"/>
        <v>0</v>
      </c>
      <c r="F40" s="175">
        <f>SUMIF(修正!A57:A68,G2,修正!E57:E68)</f>
        <v>0.25</v>
      </c>
      <c r="G40" s="171">
        <f>ROUND(IF(E2="工业",C40*$M$42,C40*$M$41),0)</f>
        <v>758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1.0407999999999999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3406</v>
      </c>
      <c r="D61" s="1065">
        <f t="shared" ref="D61:D69" si="12">SUMIF($J$60:$N$60,C61,J61:N61)</f>
        <v>0</v>
      </c>
      <c r="E61" s="744">
        <f>ROUND(SUM(D61:D69),4)</f>
        <v>4.0800000000000003E-2</v>
      </c>
      <c r="F61" s="1814">
        <f>IF(E2="办公",SUMIF(L1:L12,G2,N1:N12),"——")</f>
        <v>0.13</v>
      </c>
      <c r="G61" s="1063">
        <v>1.6199999999999999E-2</v>
      </c>
      <c r="H61" s="1066">
        <f t="shared" ref="H61:H69" si="13">IFERROR(ROUNDDOWN($F$61*I61/2,4),"——")</f>
        <v>1.6199999999999999E-2</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3407</v>
      </c>
      <c r="D62" s="1065">
        <f t="shared" si="12"/>
        <v>1.6899999999999998E-2</v>
      </c>
      <c r="E62" s="745"/>
      <c r="F62" s="1814"/>
      <c r="G62" s="1063">
        <v>1.6899999999999998E-2</v>
      </c>
      <c r="H62" s="1066">
        <f t="shared" si="13"/>
        <v>1.6899999999999998E-2</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t="s">
        <v>3406</v>
      </c>
      <c r="D63" s="1065">
        <f t="shared" si="12"/>
        <v>0</v>
      </c>
      <c r="E63" s="745"/>
      <c r="F63" s="1814"/>
      <c r="G63" s="1063">
        <v>7.1000000000000004E-3</v>
      </c>
      <c r="H63" s="1066">
        <f t="shared" si="13"/>
        <v>7.1000000000000004E-3</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3407</v>
      </c>
      <c r="D64" s="1065">
        <f t="shared" si="12"/>
        <v>3.2000000000000002E-3</v>
      </c>
      <c r="E64" s="745"/>
      <c r="F64" s="1814"/>
      <c r="G64" s="1063">
        <v>3.2000000000000002E-3</v>
      </c>
      <c r="H64" s="1066">
        <f t="shared" si="13"/>
        <v>3.2000000000000002E-3</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3408</v>
      </c>
      <c r="D65" s="1065">
        <f t="shared" si="12"/>
        <v>-3.2000000000000002E-3</v>
      </c>
      <c r="E65" s="745"/>
      <c r="F65" s="1814"/>
      <c r="G65" s="1063">
        <v>3.2000000000000002E-3</v>
      </c>
      <c r="H65" s="1066">
        <f t="shared" si="13"/>
        <v>3.2000000000000002E-3</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3407</v>
      </c>
      <c r="D66" s="1065">
        <f t="shared" si="12"/>
        <v>3.8999999999999998E-3</v>
      </c>
      <c r="E66" s="745"/>
      <c r="F66" s="1814"/>
      <c r="G66" s="1063">
        <v>3.8999999999999998E-3</v>
      </c>
      <c r="H66" s="1066">
        <f t="shared" si="13"/>
        <v>3.8999999999999998E-3</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3407</v>
      </c>
      <c r="D67" s="1065">
        <f t="shared" si="12"/>
        <v>3.8999999999999998E-3</v>
      </c>
      <c r="E67" s="745"/>
      <c r="F67" s="1814"/>
      <c r="G67" s="1063">
        <v>3.8999999999999998E-3</v>
      </c>
      <c r="H67" s="1066">
        <f t="shared" si="13"/>
        <v>3.8999999999999998E-3</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3409</v>
      </c>
      <c r="D68" s="1065">
        <f t="shared" si="12"/>
        <v>1.1599999999999999E-2</v>
      </c>
      <c r="E68" s="745"/>
      <c r="F68" s="1814"/>
      <c r="G68" s="1063">
        <v>5.7999999999999996E-3</v>
      </c>
      <c r="H68" s="1066">
        <f t="shared" si="13"/>
        <v>5.7999999999999996E-3</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3407</v>
      </c>
      <c r="D69" s="1065">
        <f t="shared" si="12"/>
        <v>4.4999999999999997E-3</v>
      </c>
      <c r="E69" s="746"/>
      <c r="F69" s="1814"/>
      <c r="G69" s="1063">
        <v>4.4999999999999997E-3</v>
      </c>
      <c r="H69" s="1066">
        <f t="shared" si="13"/>
        <v>4.4999999999999997E-3</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5" t="s">
        <v>3296</v>
      </c>
      <c r="B103" s="3755"/>
      <c r="C103" s="3755"/>
      <c r="D103" s="3755"/>
      <c r="E103" s="3755"/>
      <c r="F103" s="3755"/>
      <c r="G103" s="3755"/>
      <c r="H103" s="3755"/>
      <c r="I103" s="3755"/>
      <c r="J103" s="3755"/>
      <c r="K103" s="3390"/>
      <c r="L103" s="3390"/>
      <c r="M103" s="3390"/>
      <c r="N103" s="3390"/>
    </row>
    <row r="104" spans="1:14">
      <c r="A104" s="3756" t="s">
        <v>3297</v>
      </c>
      <c r="B104" s="3756" t="s">
        <v>3298</v>
      </c>
      <c r="C104" s="3391" t="s">
        <v>3299</v>
      </c>
      <c r="D104" s="3392"/>
      <c r="E104" s="3392"/>
      <c r="F104" s="3392"/>
      <c r="G104" s="3392"/>
      <c r="H104" s="3392"/>
      <c r="I104" s="3392"/>
      <c r="J104" s="3393"/>
      <c r="K104" s="3394"/>
      <c r="L104" s="3394"/>
      <c r="M104" s="3394"/>
      <c r="N104" s="3394"/>
    </row>
    <row r="105" spans="1:14">
      <c r="A105" s="3756"/>
      <c r="B105" s="3756"/>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42"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5" t="s">
        <v>3313</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0.90600000000000003</v>
      </c>
      <c r="E116" s="2000" t="s">
        <v>3316</v>
      </c>
      <c r="F116" s="3402" t="str">
        <f>E2</f>
        <v>办公</v>
      </c>
      <c r="G116" s="2000" t="s">
        <v>3317</v>
      </c>
      <c r="H116" s="3402" t="str">
        <f>G2</f>
        <v>六级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3332</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8" t="s">
        <v>2610</v>
      </c>
      <c r="B20" s="3761" t="s">
        <v>2631</v>
      </c>
      <c r="C20" s="3103" t="s">
        <v>2442</v>
      </c>
      <c r="D20" s="3104"/>
      <c r="E20" s="3105">
        <v>1</v>
      </c>
      <c r="F20" s="3106" t="s">
        <v>2443</v>
      </c>
      <c r="G20" s="3106"/>
    </row>
    <row r="21" spans="1:13" ht="19.5" customHeight="1">
      <c r="A21" s="3769"/>
      <c r="B21" s="3762"/>
      <c r="C21" s="3107" t="s">
        <v>2444</v>
      </c>
      <c r="D21" s="3108"/>
      <c r="E21" s="3109">
        <v>1</v>
      </c>
      <c r="F21" s="3106" t="s">
        <v>2445</v>
      </c>
      <c r="G21" s="3106"/>
    </row>
    <row r="22" spans="1:13" ht="19.5" customHeight="1">
      <c r="A22" s="3769"/>
      <c r="B22" s="3762"/>
      <c r="C22" s="3107" t="s">
        <v>2446</v>
      </c>
      <c r="D22" s="3108"/>
      <c r="E22" s="3109">
        <v>0.9</v>
      </c>
      <c r="F22" s="3106" t="s">
        <v>2447</v>
      </c>
      <c r="G22" s="3106"/>
    </row>
    <row r="23" spans="1:13" ht="19.5" customHeight="1">
      <c r="A23" s="3769"/>
      <c r="B23" s="3762"/>
      <c r="C23" s="3107" t="s">
        <v>2448</v>
      </c>
      <c r="D23" s="3108"/>
      <c r="E23" s="3109">
        <v>0.9</v>
      </c>
      <c r="F23" s="3106" t="s">
        <v>2449</v>
      </c>
      <c r="G23" s="3106"/>
    </row>
    <row r="24" spans="1:13" ht="19.5" customHeight="1">
      <c r="A24" s="3769"/>
      <c r="B24" s="3762"/>
      <c r="C24" s="3107" t="s">
        <v>2450</v>
      </c>
      <c r="D24" s="3108"/>
      <c r="E24" s="3109">
        <v>0.8</v>
      </c>
      <c r="F24" s="3106" t="s">
        <v>2451</v>
      </c>
      <c r="G24" s="3106"/>
    </row>
    <row r="25" spans="1:13" ht="19.5" customHeight="1" thickBot="1">
      <c r="A25" s="3770"/>
      <c r="B25" s="3763"/>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4" t="s">
        <v>2634</v>
      </c>
      <c r="B27" s="3761" t="s">
        <v>2615</v>
      </c>
      <c r="C27" s="3103" t="s">
        <v>2455</v>
      </c>
      <c r="D27" s="3104"/>
      <c r="E27" s="3105">
        <v>1</v>
      </c>
      <c r="F27" s="3106" t="s">
        <v>2456</v>
      </c>
      <c r="G27" s="3106"/>
    </row>
    <row r="28" spans="1:13" ht="19.5" customHeight="1">
      <c r="A28" s="3765"/>
      <c r="B28" s="3762"/>
      <c r="C28" s="3107" t="s">
        <v>2457</v>
      </c>
      <c r="D28" s="3108"/>
      <c r="E28" s="3109">
        <v>1</v>
      </c>
      <c r="F28" s="3106" t="s">
        <v>2458</v>
      </c>
      <c r="G28" s="3106"/>
    </row>
    <row r="29" spans="1:13" ht="19.5" customHeight="1">
      <c r="A29" s="3765"/>
      <c r="B29" s="3762"/>
      <c r="C29" s="3107" t="s">
        <v>2459</v>
      </c>
      <c r="D29" s="3108"/>
      <c r="E29" s="3109">
        <v>0.8</v>
      </c>
      <c r="F29" s="3106" t="s">
        <v>2460</v>
      </c>
      <c r="G29" s="3106"/>
    </row>
    <row r="30" spans="1:13" ht="19.5" customHeight="1">
      <c r="A30" s="3765"/>
      <c r="B30" s="3762"/>
      <c r="C30" s="3107" t="s">
        <v>2461</v>
      </c>
      <c r="D30" s="3108"/>
      <c r="E30" s="3109">
        <v>0.8</v>
      </c>
      <c r="F30" s="3106" t="s">
        <v>2462</v>
      </c>
      <c r="G30" s="3106"/>
    </row>
    <row r="31" spans="1:13" ht="19.5" customHeight="1">
      <c r="A31" s="3765"/>
      <c r="B31" s="3762"/>
      <c r="C31" s="3107" t="s">
        <v>2463</v>
      </c>
      <c r="D31" s="3108"/>
      <c r="E31" s="3109">
        <v>0.8</v>
      </c>
      <c r="F31" s="3106" t="s">
        <v>2464</v>
      </c>
      <c r="G31" s="3106"/>
    </row>
    <row r="32" spans="1:13" ht="19.5" customHeight="1">
      <c r="A32" s="3765"/>
      <c r="B32" s="3762"/>
      <c r="C32" s="3107" t="s">
        <v>2465</v>
      </c>
      <c r="D32" s="3108"/>
      <c r="E32" s="3109">
        <v>0.7</v>
      </c>
      <c r="F32" s="3106" t="s">
        <v>2466</v>
      </c>
      <c r="G32" s="3106"/>
    </row>
    <row r="33" spans="1:7" ht="19.5" customHeight="1">
      <c r="A33" s="3765"/>
      <c r="B33" s="3762"/>
      <c r="C33" s="3107" t="s">
        <v>2467</v>
      </c>
      <c r="D33" s="3108"/>
      <c r="E33" s="3109">
        <v>0.8</v>
      </c>
      <c r="F33" s="3106" t="s">
        <v>2468</v>
      </c>
      <c r="G33" s="3106"/>
    </row>
    <row r="34" spans="1:7" ht="19.5" customHeight="1">
      <c r="A34" s="3765"/>
      <c r="B34" s="3762"/>
      <c r="C34" s="3107" t="s">
        <v>2469</v>
      </c>
      <c r="D34" s="3108"/>
      <c r="E34" s="3109">
        <v>0.6</v>
      </c>
      <c r="F34" s="3106" t="s">
        <v>2470</v>
      </c>
      <c r="G34" s="3106"/>
    </row>
    <row r="35" spans="1:7" ht="19.5" customHeight="1">
      <c r="A35" s="3765"/>
      <c r="B35" s="3762"/>
      <c r="C35" s="3107" t="s">
        <v>2471</v>
      </c>
      <c r="D35" s="3108"/>
      <c r="E35" s="3109">
        <v>0.2</v>
      </c>
      <c r="F35" s="3106" t="s">
        <v>2472</v>
      </c>
      <c r="G35" s="3106"/>
    </row>
    <row r="36" spans="1:7" ht="19.5" customHeight="1">
      <c r="A36" s="3765"/>
      <c r="B36" s="3762"/>
      <c r="C36" s="3107" t="s">
        <v>2473</v>
      </c>
      <c r="D36" s="3108"/>
      <c r="E36" s="3109">
        <v>0.2</v>
      </c>
      <c r="F36" s="3106" t="s">
        <v>2474</v>
      </c>
      <c r="G36" s="3106"/>
    </row>
    <row r="37" spans="1:7" ht="19.5" customHeight="1">
      <c r="A37" s="3765"/>
      <c r="B37" s="3767" t="s">
        <v>2635</v>
      </c>
      <c r="C37" s="3107" t="s">
        <v>2475</v>
      </c>
      <c r="D37" s="3108"/>
      <c r="E37" s="3109">
        <v>0.6</v>
      </c>
      <c r="F37" s="3106" t="s">
        <v>2476</v>
      </c>
      <c r="G37" s="3106"/>
    </row>
    <row r="38" spans="1:7" ht="19.5" customHeight="1">
      <c r="A38" s="3765"/>
      <c r="B38" s="3762"/>
      <c r="C38" s="3107" t="s">
        <v>2477</v>
      </c>
      <c r="D38" s="3108"/>
      <c r="E38" s="3109">
        <v>0.6</v>
      </c>
      <c r="F38" s="3106" t="s">
        <v>2478</v>
      </c>
      <c r="G38" s="3106"/>
    </row>
    <row r="39" spans="1:7" ht="19.5" customHeight="1" thickBot="1">
      <c r="A39" s="3766"/>
      <c r="B39" s="3763"/>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8" t="s">
        <v>2613</v>
      </c>
      <c r="B41" s="3761" t="s">
        <v>2637</v>
      </c>
      <c r="C41" s="3103" t="s">
        <v>2482</v>
      </c>
      <c r="D41" s="3104"/>
      <c r="E41" s="3105">
        <v>1</v>
      </c>
      <c r="F41" s="3106" t="s">
        <v>2483</v>
      </c>
      <c r="G41" s="3106"/>
    </row>
    <row r="42" spans="1:7" ht="19.5" customHeight="1">
      <c r="A42" s="3769"/>
      <c r="B42" s="3762"/>
      <c r="C42" s="3107" t="s">
        <v>2484</v>
      </c>
      <c r="D42" s="3108"/>
      <c r="E42" s="3109">
        <v>1</v>
      </c>
      <c r="F42" s="3106" t="s">
        <v>2485</v>
      </c>
      <c r="G42" s="3106"/>
    </row>
    <row r="43" spans="1:7" ht="19.5" customHeight="1">
      <c r="A43" s="3769"/>
      <c r="B43" s="3771"/>
      <c r="C43" s="3107" t="s">
        <v>2486</v>
      </c>
      <c r="D43" s="3108"/>
      <c r="E43" s="3109">
        <v>1.5</v>
      </c>
      <c r="F43" s="3106" t="s">
        <v>2487</v>
      </c>
      <c r="G43" s="3106"/>
    </row>
    <row r="44" spans="1:7" ht="19.5" customHeight="1">
      <c r="A44" s="3769"/>
      <c r="B44" s="3118" t="s">
        <v>2638</v>
      </c>
      <c r="C44" s="3107" t="s">
        <v>2639</v>
      </c>
      <c r="D44" s="3108"/>
      <c r="E44" s="3109">
        <v>2</v>
      </c>
      <c r="F44" s="3106" t="s">
        <v>2488</v>
      </c>
      <c r="G44" s="3106"/>
    </row>
    <row r="45" spans="1:7" ht="19.5" customHeight="1">
      <c r="A45" s="3769"/>
      <c r="B45" s="3767" t="s">
        <v>2640</v>
      </c>
      <c r="C45" s="3107" t="s">
        <v>2489</v>
      </c>
      <c r="D45" s="3108"/>
      <c r="E45" s="3109">
        <v>1</v>
      </c>
      <c r="F45" s="3106" t="s">
        <v>2490</v>
      </c>
      <c r="G45" s="3106"/>
    </row>
    <row r="46" spans="1:7" ht="19.5" customHeight="1">
      <c r="A46" s="3769"/>
      <c r="B46" s="3762"/>
      <c r="C46" s="3107" t="s">
        <v>2491</v>
      </c>
      <c r="D46" s="3108"/>
      <c r="E46" s="3109">
        <v>1</v>
      </c>
      <c r="F46" s="3106" t="s">
        <v>2492</v>
      </c>
      <c r="G46" s="3106"/>
    </row>
    <row r="47" spans="1:7" ht="19.5" customHeight="1">
      <c r="A47" s="3769"/>
      <c r="B47" s="3762"/>
      <c r="C47" s="3107" t="s">
        <v>2493</v>
      </c>
      <c r="D47" s="3108"/>
      <c r="E47" s="3109">
        <v>1</v>
      </c>
      <c r="F47" s="3106" t="s">
        <v>2494</v>
      </c>
      <c r="G47" s="3106"/>
    </row>
    <row r="48" spans="1:7" ht="19.5" customHeight="1">
      <c r="A48" s="3769"/>
      <c r="B48" s="3762"/>
      <c r="C48" s="3107" t="s">
        <v>2495</v>
      </c>
      <c r="D48" s="3108"/>
      <c r="E48" s="3109">
        <v>1</v>
      </c>
      <c r="F48" s="3106" t="s">
        <v>2496</v>
      </c>
      <c r="G48" s="3106"/>
    </row>
    <row r="49" spans="1:7" ht="19.5" customHeight="1">
      <c r="A49" s="3769"/>
      <c r="B49" s="3762"/>
      <c r="C49" s="3107" t="s">
        <v>2497</v>
      </c>
      <c r="D49" s="3108"/>
      <c r="E49" s="3109">
        <v>1</v>
      </c>
      <c r="F49" s="3106" t="s">
        <v>2498</v>
      </c>
      <c r="G49" s="3106"/>
    </row>
    <row r="50" spans="1:7" ht="19.5" customHeight="1">
      <c r="A50" s="3769"/>
      <c r="B50" s="3762"/>
      <c r="C50" s="3107" t="s">
        <v>2499</v>
      </c>
      <c r="D50" s="3108"/>
      <c r="E50" s="3109">
        <v>1</v>
      </c>
      <c r="F50" s="3106" t="s">
        <v>2500</v>
      </c>
      <c r="G50" s="3106"/>
    </row>
    <row r="51" spans="1:7" ht="19.5" customHeight="1" thickBot="1">
      <c r="A51" s="3770"/>
      <c r="B51" s="3763"/>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7" t="s">
        <v>2654</v>
      </c>
      <c r="C73" s="3092" t="s">
        <v>2655</v>
      </c>
      <c r="D73" s="3092" t="s">
        <v>2656</v>
      </c>
      <c r="E73" s="3118">
        <v>0.2</v>
      </c>
      <c r="F73" s="3118">
        <v>25</v>
      </c>
    </row>
    <row r="74" spans="1:7" ht="24">
      <c r="A74" s="3118">
        <v>2</v>
      </c>
      <c r="B74" s="3762"/>
      <c r="C74" s="3092" t="s">
        <v>2657</v>
      </c>
      <c r="D74" s="3092" t="s">
        <v>2658</v>
      </c>
      <c r="E74" s="3118">
        <v>0.2</v>
      </c>
      <c r="F74" s="3118">
        <v>25</v>
      </c>
    </row>
    <row r="75" spans="1:7" ht="24">
      <c r="A75" s="3118">
        <v>3</v>
      </c>
      <c r="B75" s="3762"/>
      <c r="C75" s="3092" t="s">
        <v>2659</v>
      </c>
      <c r="D75" s="3092" t="s">
        <v>2660</v>
      </c>
      <c r="E75" s="3118">
        <v>0.2</v>
      </c>
      <c r="F75" s="3118">
        <v>25</v>
      </c>
    </row>
    <row r="76" spans="1:7" ht="13.5">
      <c r="A76" s="3118">
        <v>4</v>
      </c>
      <c r="B76" s="3762"/>
      <c r="C76" s="3092" t="s">
        <v>2661</v>
      </c>
      <c r="D76" s="3092" t="s">
        <v>2662</v>
      </c>
      <c r="E76" s="3118">
        <v>0.15</v>
      </c>
      <c r="F76" s="3118">
        <v>20</v>
      </c>
    </row>
    <row r="77" spans="1:7" ht="24">
      <c r="A77" s="3118">
        <v>5</v>
      </c>
      <c r="B77" s="3762"/>
      <c r="C77" s="3092" t="s">
        <v>2663</v>
      </c>
      <c r="D77" s="3092" t="s">
        <v>2664</v>
      </c>
      <c r="E77" s="3118">
        <v>0.15</v>
      </c>
      <c r="F77" s="3118">
        <v>20</v>
      </c>
    </row>
    <row r="78" spans="1:7" ht="24">
      <c r="A78" s="3118">
        <v>6</v>
      </c>
      <c r="B78" s="3762"/>
      <c r="C78" s="3092" t="s">
        <v>2665</v>
      </c>
      <c r="D78" s="3092" t="s">
        <v>2666</v>
      </c>
      <c r="E78" s="3118">
        <v>0.15</v>
      </c>
      <c r="F78" s="3118">
        <v>20</v>
      </c>
    </row>
    <row r="79" spans="1:7" ht="24">
      <c r="A79" s="3118">
        <v>7</v>
      </c>
      <c r="B79" s="3762"/>
      <c r="C79" s="3092" t="s">
        <v>2667</v>
      </c>
      <c r="D79" s="3092" t="s">
        <v>2668</v>
      </c>
      <c r="E79" s="3118">
        <v>0.15</v>
      </c>
      <c r="F79" s="3118">
        <v>20</v>
      </c>
    </row>
    <row r="80" spans="1:7" ht="24">
      <c r="A80" s="3118">
        <v>8</v>
      </c>
      <c r="B80" s="3762"/>
      <c r="C80" s="3092" t="s">
        <v>2669</v>
      </c>
      <c r="D80" s="3092" t="s">
        <v>2670</v>
      </c>
      <c r="E80" s="3118">
        <v>0.1</v>
      </c>
      <c r="F80" s="3118">
        <v>15</v>
      </c>
    </row>
    <row r="81" spans="1:6" ht="24">
      <c r="A81" s="3118">
        <v>9</v>
      </c>
      <c r="B81" s="3762"/>
      <c r="C81" s="3092" t="s">
        <v>2671</v>
      </c>
      <c r="D81" s="3092" t="s">
        <v>2672</v>
      </c>
      <c r="E81" s="3118">
        <v>0.1</v>
      </c>
      <c r="F81" s="3118">
        <v>15</v>
      </c>
    </row>
    <row r="82" spans="1:6" ht="24">
      <c r="A82" s="3118">
        <v>10</v>
      </c>
      <c r="B82" s="3762"/>
      <c r="C82" s="3092" t="s">
        <v>2673</v>
      </c>
      <c r="D82" s="3092" t="s">
        <v>2674</v>
      </c>
      <c r="E82" s="3118">
        <v>0.1</v>
      </c>
      <c r="F82" s="3118">
        <v>15</v>
      </c>
    </row>
    <row r="83" spans="1:6" ht="24">
      <c r="A83" s="3118">
        <v>11</v>
      </c>
      <c r="B83" s="3762"/>
      <c r="C83" s="3092" t="s">
        <v>2675</v>
      </c>
      <c r="D83" s="3092" t="s">
        <v>2676</v>
      </c>
      <c r="E83" s="3118">
        <v>0.1</v>
      </c>
      <c r="F83" s="3118">
        <v>15</v>
      </c>
    </row>
    <row r="84" spans="1:6" ht="24">
      <c r="A84" s="3118">
        <v>12</v>
      </c>
      <c r="B84" s="3762"/>
      <c r="C84" s="3092" t="s">
        <v>2677</v>
      </c>
      <c r="D84" s="3092" t="s">
        <v>2678</v>
      </c>
      <c r="E84" s="3118">
        <v>0.1</v>
      </c>
      <c r="F84" s="3118">
        <v>15</v>
      </c>
    </row>
    <row r="85" spans="1:6" ht="13.5">
      <c r="A85" s="3118">
        <v>13</v>
      </c>
      <c r="B85" s="3762"/>
      <c r="C85" s="3092" t="s">
        <v>2679</v>
      </c>
      <c r="D85" s="3092" t="s">
        <v>2680</v>
      </c>
      <c r="E85" s="3118">
        <v>0.1</v>
      </c>
      <c r="F85" s="3118">
        <v>15</v>
      </c>
    </row>
    <row r="86" spans="1:6" ht="13.5">
      <c r="A86" s="3118">
        <v>14</v>
      </c>
      <c r="B86" s="3762"/>
      <c r="C86" s="3092" t="s">
        <v>2681</v>
      </c>
      <c r="D86" s="3092" t="s">
        <v>2682</v>
      </c>
      <c r="E86" s="3118">
        <v>0.1</v>
      </c>
      <c r="F86" s="3118">
        <v>15</v>
      </c>
    </row>
    <row r="87" spans="1:6" ht="13.5">
      <c r="A87" s="3118">
        <v>15</v>
      </c>
      <c r="B87" s="3762"/>
      <c r="C87" s="3092" t="s">
        <v>2683</v>
      </c>
      <c r="D87" s="3092" t="s">
        <v>2684</v>
      </c>
      <c r="E87" s="3118">
        <v>0.1</v>
      </c>
      <c r="F87" s="3118">
        <v>15</v>
      </c>
    </row>
    <row r="88" spans="1:6" ht="24">
      <c r="A88" s="3118">
        <v>16</v>
      </c>
      <c r="B88" s="3762"/>
      <c r="C88" s="3092" t="s">
        <v>2685</v>
      </c>
      <c r="D88" s="3092" t="s">
        <v>2686</v>
      </c>
      <c r="E88" s="3118">
        <v>0.1</v>
      </c>
      <c r="F88" s="3118">
        <v>15</v>
      </c>
    </row>
    <row r="89" spans="1:6" ht="24">
      <c r="A89" s="3118">
        <v>17</v>
      </c>
      <c r="B89" s="3771"/>
      <c r="C89" s="3092" t="s">
        <v>2687</v>
      </c>
      <c r="D89" s="3092" t="s">
        <v>2688</v>
      </c>
      <c r="E89" s="3118">
        <v>0.1</v>
      </c>
      <c r="F89" s="3118">
        <v>15</v>
      </c>
    </row>
    <row r="90" spans="1:6" ht="13.5">
      <c r="A90" s="3118">
        <v>18</v>
      </c>
      <c r="B90" s="3767" t="s">
        <v>2689</v>
      </c>
      <c r="C90" s="3092" t="s">
        <v>2690</v>
      </c>
      <c r="D90" s="3092" t="s">
        <v>2691</v>
      </c>
      <c r="E90" s="3118">
        <v>0.2</v>
      </c>
      <c r="F90" s="3118">
        <v>25</v>
      </c>
    </row>
    <row r="91" spans="1:6" ht="24">
      <c r="A91" s="3118">
        <v>19</v>
      </c>
      <c r="B91" s="3762"/>
      <c r="C91" s="3092" t="s">
        <v>2692</v>
      </c>
      <c r="D91" s="3092" t="s">
        <v>2693</v>
      </c>
      <c r="E91" s="3118">
        <v>0.2</v>
      </c>
      <c r="F91" s="3118">
        <v>25</v>
      </c>
    </row>
    <row r="92" spans="1:6" ht="13.5">
      <c r="A92" s="3118">
        <v>20</v>
      </c>
      <c r="B92" s="3762"/>
      <c r="C92" s="3092" t="s">
        <v>2694</v>
      </c>
      <c r="D92" s="3092" t="s">
        <v>2695</v>
      </c>
      <c r="E92" s="3118">
        <v>0.15</v>
      </c>
      <c r="F92" s="3118">
        <v>20</v>
      </c>
    </row>
    <row r="93" spans="1:6" ht="13.5">
      <c r="A93" s="3118">
        <v>21</v>
      </c>
      <c r="B93" s="3762"/>
      <c r="C93" s="3092" t="s">
        <v>2696</v>
      </c>
      <c r="D93" s="3092" t="s">
        <v>2697</v>
      </c>
      <c r="E93" s="3118">
        <v>0.15</v>
      </c>
      <c r="F93" s="3118">
        <v>20</v>
      </c>
    </row>
    <row r="94" spans="1:6" ht="13.5">
      <c r="A94" s="3118">
        <v>22</v>
      </c>
      <c r="B94" s="3762"/>
      <c r="C94" s="3092" t="s">
        <v>2698</v>
      </c>
      <c r="D94" s="3092" t="s">
        <v>2699</v>
      </c>
      <c r="E94" s="3118">
        <v>0.15</v>
      </c>
      <c r="F94" s="3118">
        <v>20</v>
      </c>
    </row>
    <row r="95" spans="1:6" ht="36">
      <c r="A95" s="3118">
        <v>23</v>
      </c>
      <c r="B95" s="3762"/>
      <c r="C95" s="3092" t="s">
        <v>2700</v>
      </c>
      <c r="D95" s="3092" t="s">
        <v>2701</v>
      </c>
      <c r="E95" s="3118">
        <v>0.15</v>
      </c>
      <c r="F95" s="3118">
        <v>20</v>
      </c>
    </row>
    <row r="96" spans="1:6" ht="13.5">
      <c r="A96" s="3118">
        <v>24</v>
      </c>
      <c r="B96" s="3762"/>
      <c r="C96" s="3092" t="s">
        <v>2702</v>
      </c>
      <c r="D96" s="3092" t="s">
        <v>2703</v>
      </c>
      <c r="E96" s="3118">
        <v>0.1</v>
      </c>
      <c r="F96" s="3118">
        <v>15</v>
      </c>
    </row>
    <row r="97" spans="1:6" ht="13.5">
      <c r="A97" s="3118">
        <v>25</v>
      </c>
      <c r="B97" s="3762"/>
      <c r="C97" s="3092" t="s">
        <v>2704</v>
      </c>
      <c r="D97" s="3092" t="s">
        <v>2705</v>
      </c>
      <c r="E97" s="3118">
        <v>0.1</v>
      </c>
      <c r="F97" s="3118">
        <v>15</v>
      </c>
    </row>
    <row r="98" spans="1:6" ht="24">
      <c r="A98" s="3118">
        <v>26</v>
      </c>
      <c r="B98" s="3762"/>
      <c r="C98" s="3092" t="s">
        <v>2706</v>
      </c>
      <c r="D98" s="3092" t="s">
        <v>2707</v>
      </c>
      <c r="E98" s="3118">
        <v>0.1</v>
      </c>
      <c r="F98" s="3118">
        <v>15</v>
      </c>
    </row>
    <row r="99" spans="1:6" ht="24">
      <c r="A99" s="3118">
        <v>27</v>
      </c>
      <c r="B99" s="3762"/>
      <c r="C99" s="3092" t="s">
        <v>2708</v>
      </c>
      <c r="D99" s="3092" t="s">
        <v>2709</v>
      </c>
      <c r="E99" s="3118">
        <v>0.1</v>
      </c>
      <c r="F99" s="3118">
        <v>15</v>
      </c>
    </row>
    <row r="100" spans="1:6" ht="13.5">
      <c r="A100" s="3118">
        <v>28</v>
      </c>
      <c r="B100" s="3762"/>
      <c r="C100" s="3092" t="s">
        <v>2710</v>
      </c>
      <c r="D100" s="3092" t="s">
        <v>2711</v>
      </c>
      <c r="E100" s="3118">
        <v>0.1</v>
      </c>
      <c r="F100" s="3118">
        <v>15</v>
      </c>
    </row>
    <row r="101" spans="1:6" ht="13.5">
      <c r="A101" s="3118">
        <v>29</v>
      </c>
      <c r="B101" s="3762"/>
      <c r="C101" s="3092" t="s">
        <v>2712</v>
      </c>
      <c r="D101" s="3092" t="s">
        <v>2713</v>
      </c>
      <c r="E101" s="3118">
        <v>0.1</v>
      </c>
      <c r="F101" s="3118">
        <v>15</v>
      </c>
    </row>
    <row r="102" spans="1:6" ht="13.5">
      <c r="A102" s="3118">
        <v>30</v>
      </c>
      <c r="B102" s="3762"/>
      <c r="C102" s="3092" t="s">
        <v>2714</v>
      </c>
      <c r="D102" s="3092" t="s">
        <v>2715</v>
      </c>
      <c r="E102" s="3118">
        <v>0.1</v>
      </c>
      <c r="F102" s="3118">
        <v>15</v>
      </c>
    </row>
    <row r="103" spans="1:6" ht="24">
      <c r="A103" s="3118">
        <v>31</v>
      </c>
      <c r="B103" s="3762"/>
      <c r="C103" s="3092" t="s">
        <v>2716</v>
      </c>
      <c r="D103" s="3092" t="s">
        <v>2717</v>
      </c>
      <c r="E103" s="3118">
        <v>0.1</v>
      </c>
      <c r="F103" s="3118">
        <v>15</v>
      </c>
    </row>
    <row r="104" spans="1:6" ht="24">
      <c r="A104" s="3118">
        <v>32</v>
      </c>
      <c r="B104" s="3762"/>
      <c r="C104" s="3092" t="s">
        <v>2718</v>
      </c>
      <c r="D104" s="3092" t="s">
        <v>2719</v>
      </c>
      <c r="E104" s="3118">
        <v>0.1</v>
      </c>
      <c r="F104" s="3118">
        <v>15</v>
      </c>
    </row>
    <row r="105" spans="1:6" ht="24">
      <c r="A105" s="3118">
        <v>33</v>
      </c>
      <c r="B105" s="3762"/>
      <c r="C105" s="3092" t="s">
        <v>2720</v>
      </c>
      <c r="D105" s="3092" t="s">
        <v>2721</v>
      </c>
      <c r="E105" s="3118">
        <v>0.1</v>
      </c>
      <c r="F105" s="3118">
        <v>15</v>
      </c>
    </row>
    <row r="106" spans="1:6" ht="24">
      <c r="A106" s="3118">
        <v>34</v>
      </c>
      <c r="B106" s="3771"/>
      <c r="C106" s="3092" t="s">
        <v>2722</v>
      </c>
      <c r="D106" s="3092" t="s">
        <v>2723</v>
      </c>
      <c r="E106" s="3118">
        <v>0.1</v>
      </c>
      <c r="F106" s="3118">
        <v>15</v>
      </c>
    </row>
    <row r="107" spans="1:6" ht="24">
      <c r="A107" s="3118">
        <v>35</v>
      </c>
      <c r="B107" s="3767" t="s">
        <v>2724</v>
      </c>
      <c r="C107" s="3118" t="s">
        <v>2725</v>
      </c>
      <c r="D107" s="3092" t="s">
        <v>2726</v>
      </c>
      <c r="E107" s="3118">
        <v>0.15</v>
      </c>
      <c r="F107" s="3118">
        <v>20</v>
      </c>
    </row>
    <row r="108" spans="1:6" ht="13.5">
      <c r="A108" s="3118">
        <v>36</v>
      </c>
      <c r="B108" s="3762"/>
      <c r="C108" s="3118" t="s">
        <v>2727</v>
      </c>
      <c r="D108" s="3092" t="s">
        <v>2728</v>
      </c>
      <c r="E108" s="3118">
        <v>0.15</v>
      </c>
      <c r="F108" s="3118">
        <v>20</v>
      </c>
    </row>
    <row r="109" spans="1:6" ht="13.5">
      <c r="A109" s="3118">
        <v>37</v>
      </c>
      <c r="B109" s="3762"/>
      <c r="C109" s="3118" t="s">
        <v>2729</v>
      </c>
      <c r="D109" s="3092" t="s">
        <v>2730</v>
      </c>
      <c r="E109" s="3118">
        <v>0.15</v>
      </c>
      <c r="F109" s="3118">
        <v>20</v>
      </c>
    </row>
    <row r="110" spans="1:6" ht="13.5">
      <c r="A110" s="3118">
        <v>38</v>
      </c>
      <c r="B110" s="3762"/>
      <c r="C110" s="3118" t="s">
        <v>2731</v>
      </c>
      <c r="D110" s="3092" t="s">
        <v>2732</v>
      </c>
      <c r="E110" s="3118">
        <v>0.1</v>
      </c>
      <c r="F110" s="3118">
        <v>15</v>
      </c>
    </row>
    <row r="111" spans="1:6" ht="24">
      <c r="A111" s="3118">
        <v>39</v>
      </c>
      <c r="B111" s="3762"/>
      <c r="C111" s="3118" t="s">
        <v>2733</v>
      </c>
      <c r="D111" s="3092" t="s">
        <v>2734</v>
      </c>
      <c r="E111" s="3118">
        <v>0.1</v>
      </c>
      <c r="F111" s="3118">
        <v>15</v>
      </c>
    </row>
    <row r="112" spans="1:6" ht="24">
      <c r="A112" s="3118">
        <v>40</v>
      </c>
      <c r="B112" s="3771"/>
      <c r="C112" s="3118" t="s">
        <v>2735</v>
      </c>
      <c r="D112" s="3092" t="s">
        <v>2736</v>
      </c>
      <c r="E112" s="3118">
        <v>0.1</v>
      </c>
      <c r="F112" s="3118">
        <v>15</v>
      </c>
    </row>
    <row r="113" spans="1:6" ht="13.5">
      <c r="A113" s="3118">
        <v>41</v>
      </c>
      <c r="B113" s="3772" t="s">
        <v>2737</v>
      </c>
      <c r="C113" s="3118" t="s">
        <v>2738</v>
      </c>
      <c r="D113" s="3092" t="s">
        <v>2739</v>
      </c>
      <c r="E113" s="3118">
        <v>0.1</v>
      </c>
      <c r="F113" s="3118">
        <v>15</v>
      </c>
    </row>
    <row r="114" spans="1:6" ht="13.5">
      <c r="A114" s="3118">
        <v>42</v>
      </c>
      <c r="B114" s="3772"/>
      <c r="C114" s="3118" t="s">
        <v>2740</v>
      </c>
      <c r="D114" s="3092" t="s">
        <v>2741</v>
      </c>
      <c r="E114" s="3118">
        <v>0.1</v>
      </c>
      <c r="F114" s="3118">
        <v>15</v>
      </c>
    </row>
    <row r="115" spans="1:6" ht="24">
      <c r="A115" s="3118">
        <v>43</v>
      </c>
      <c r="B115" s="3772"/>
      <c r="C115" s="3118" t="s">
        <v>2742</v>
      </c>
      <c r="D115" s="3092" t="s">
        <v>2743</v>
      </c>
      <c r="E115" s="3118">
        <v>0.1</v>
      </c>
      <c r="F115" s="3118">
        <v>15</v>
      </c>
    </row>
    <row r="116" spans="1:6" ht="13.5">
      <c r="A116" s="3118">
        <v>44</v>
      </c>
      <c r="B116" s="3767" t="s">
        <v>2744</v>
      </c>
      <c r="C116" s="3118" t="s">
        <v>2745</v>
      </c>
      <c r="D116" s="3092" t="s">
        <v>2746</v>
      </c>
      <c r="E116" s="3118">
        <v>0.1</v>
      </c>
      <c r="F116" s="3118">
        <v>15</v>
      </c>
    </row>
    <row r="117" spans="1:6" ht="24">
      <c r="A117" s="3118">
        <v>45</v>
      </c>
      <c r="B117" s="3771"/>
      <c r="C117" s="3092" t="s">
        <v>2747</v>
      </c>
      <c r="D117" s="3092" t="s">
        <v>2748</v>
      </c>
      <c r="E117" s="3118">
        <v>0.1</v>
      </c>
      <c r="F117" s="3118">
        <v>15</v>
      </c>
    </row>
    <row r="118" spans="1:6" ht="24">
      <c r="A118" s="3118">
        <v>46</v>
      </c>
      <c r="B118" s="3767" t="s">
        <v>2749</v>
      </c>
      <c r="C118" s="3118" t="s">
        <v>2750</v>
      </c>
      <c r="D118" s="3092" t="s">
        <v>2751</v>
      </c>
      <c r="E118" s="3118">
        <v>0.1</v>
      </c>
      <c r="F118" s="3118">
        <v>15</v>
      </c>
    </row>
    <row r="119" spans="1:6" ht="24">
      <c r="A119" s="3118">
        <v>47</v>
      </c>
      <c r="B119" s="3771"/>
      <c r="C119" s="3118" t="s">
        <v>2752</v>
      </c>
      <c r="D119" s="3092" t="s">
        <v>2753</v>
      </c>
      <c r="E119" s="3118">
        <v>0.1</v>
      </c>
      <c r="F119" s="3118">
        <v>15</v>
      </c>
    </row>
    <row r="120" spans="1:6" ht="13.5">
      <c r="A120" s="3118">
        <v>48</v>
      </c>
      <c r="B120" s="3767" t="s">
        <v>2754</v>
      </c>
      <c r="C120" s="3118" t="s">
        <v>2755</v>
      </c>
      <c r="D120" s="3092" t="s">
        <v>2756</v>
      </c>
      <c r="E120" s="3118">
        <v>0.1</v>
      </c>
      <c r="F120" s="3118">
        <v>15</v>
      </c>
    </row>
    <row r="121" spans="1:6" ht="13.5">
      <c r="A121" s="3118">
        <v>49</v>
      </c>
      <c r="B121" s="3771"/>
      <c r="C121" s="3118" t="s">
        <v>2757</v>
      </c>
      <c r="D121" s="3092" t="s">
        <v>2758</v>
      </c>
      <c r="E121" s="3118">
        <v>0.1</v>
      </c>
      <c r="F121" s="3118">
        <v>15</v>
      </c>
    </row>
    <row r="122" spans="1:6" ht="24">
      <c r="A122" s="3118">
        <v>50</v>
      </c>
      <c r="B122" s="3772" t="s">
        <v>2759</v>
      </c>
      <c r="C122" s="3118" t="s">
        <v>2760</v>
      </c>
      <c r="D122" s="3092" t="s">
        <v>2761</v>
      </c>
      <c r="E122" s="3118">
        <v>0.1</v>
      </c>
      <c r="F122" s="3118">
        <v>15</v>
      </c>
    </row>
    <row r="123" spans="1:6" ht="24">
      <c r="A123" s="3118">
        <v>51</v>
      </c>
      <c r="B123" s="3772"/>
      <c r="C123" s="3118" t="s">
        <v>2762</v>
      </c>
      <c r="D123" s="3092" t="s">
        <v>2763</v>
      </c>
      <c r="E123" s="3118">
        <v>0.1</v>
      </c>
      <c r="F123" s="3118">
        <v>15</v>
      </c>
    </row>
    <row r="124" spans="1:6" ht="24">
      <c r="A124" s="3118">
        <v>52</v>
      </c>
      <c r="B124" s="3772" t="s">
        <v>2764</v>
      </c>
      <c r="C124" s="3118" t="s">
        <v>2765</v>
      </c>
      <c r="D124" s="3092" t="s">
        <v>2766</v>
      </c>
      <c r="E124" s="3118">
        <v>0.1</v>
      </c>
      <c r="F124" s="3118">
        <v>15</v>
      </c>
    </row>
    <row r="125" spans="1:6" ht="24">
      <c r="A125" s="3118">
        <v>53</v>
      </c>
      <c r="B125" s="377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2" t="s">
        <v>2772</v>
      </c>
      <c r="C127" s="3118" t="s">
        <v>2773</v>
      </c>
      <c r="D127" s="3092" t="s">
        <v>2774</v>
      </c>
      <c r="E127" s="3118">
        <v>0.1</v>
      </c>
      <c r="F127" s="3118">
        <v>15</v>
      </c>
    </row>
    <row r="128" spans="1:6" ht="13.5">
      <c r="A128" s="3118">
        <v>56</v>
      </c>
      <c r="B128" s="3772"/>
      <c r="C128" s="3118" t="s">
        <v>2775</v>
      </c>
      <c r="D128" s="3092" t="s">
        <v>2776</v>
      </c>
      <c r="E128" s="3118">
        <v>0.1</v>
      </c>
      <c r="F128" s="3118">
        <v>15</v>
      </c>
    </row>
    <row r="129" spans="1:6" ht="24">
      <c r="A129" s="3118">
        <v>57</v>
      </c>
      <c r="B129" s="3772"/>
      <c r="C129" s="3118" t="s">
        <v>2777</v>
      </c>
      <c r="D129" s="3092" t="s">
        <v>2778</v>
      </c>
      <c r="E129" s="3118">
        <v>0.1</v>
      </c>
      <c r="F129" s="3118">
        <v>15</v>
      </c>
    </row>
    <row r="130" spans="1:6" ht="24">
      <c r="A130" s="3118">
        <v>58</v>
      </c>
      <c r="B130" s="3772" t="s">
        <v>2779</v>
      </c>
      <c r="C130" s="3118" t="s">
        <v>2780</v>
      </c>
      <c r="D130" s="3092" t="s">
        <v>2781</v>
      </c>
      <c r="E130" s="3118">
        <v>0.1</v>
      </c>
      <c r="F130" s="3118">
        <v>15</v>
      </c>
    </row>
    <row r="131" spans="1:6" ht="13.5">
      <c r="A131" s="3118">
        <v>59</v>
      </c>
      <c r="B131" s="3772"/>
      <c r="C131" s="3118" t="s">
        <v>2782</v>
      </c>
      <c r="D131" s="3092" t="s">
        <v>2783</v>
      </c>
      <c r="E131" s="3118">
        <v>0.1</v>
      </c>
      <c r="F131" s="3118">
        <v>15</v>
      </c>
    </row>
    <row r="132" spans="1:6" ht="13.5">
      <c r="A132" s="3118">
        <v>60</v>
      </c>
      <c r="B132" s="3767" t="s">
        <v>2784</v>
      </c>
      <c r="C132" s="3118" t="s">
        <v>2785</v>
      </c>
      <c r="D132" s="3092" t="s">
        <v>2786</v>
      </c>
      <c r="E132" s="3118">
        <v>0.1</v>
      </c>
      <c r="F132" s="3118">
        <v>15</v>
      </c>
    </row>
    <row r="133" spans="1:6" ht="13.5">
      <c r="A133" s="3118">
        <v>61</v>
      </c>
      <c r="B133" s="3771"/>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2" t="s">
        <v>2792</v>
      </c>
      <c r="C135" s="3118" t="s">
        <v>2793</v>
      </c>
      <c r="D135" s="3092" t="s">
        <v>2794</v>
      </c>
      <c r="E135" s="3118">
        <v>0.1</v>
      </c>
      <c r="F135" s="3118">
        <v>15</v>
      </c>
    </row>
    <row r="136" spans="1:6" ht="13.5">
      <c r="A136" s="3118">
        <v>64</v>
      </c>
      <c r="B136" s="377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t="e">
        <f ca="1">结果表!H101</f>
        <v>#REF!</v>
      </c>
      <c r="E5" s="1491"/>
    </row>
    <row r="6" spans="1:5" ht="15.75">
      <c r="A6" s="1491"/>
      <c r="B6" s="3455"/>
      <c r="C6" s="1494" t="s">
        <v>911</v>
      </c>
      <c r="D6" s="850" t="e">
        <f ca="1">NUMBERSTRING(INT(D5*10000),2)&amp;"元整"</f>
        <v>#REF!</v>
      </c>
      <c r="E6" s="1491"/>
    </row>
    <row r="7" spans="1:5" ht="15.75">
      <c r="A7" s="1491"/>
      <c r="B7" s="3460"/>
      <c r="C7" s="1495" t="s">
        <v>912</v>
      </c>
      <c r="D7" s="851" t="e">
        <f ca="1">结果表!H102</f>
        <v>#REF!</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t="e">
        <f ca="1">结果表!H107</f>
        <v>#REF!</v>
      </c>
      <c r="E13" s="1491"/>
    </row>
    <row r="14" spans="1:5" ht="15.75">
      <c r="A14" s="1491"/>
      <c r="B14" s="3455"/>
      <c r="C14" s="1494" t="s">
        <v>911</v>
      </c>
      <c r="D14" s="850" t="e">
        <f ca="1">NUMBERSTRING(INT(D13*10000),2)&amp;"元整"</f>
        <v>#REF!</v>
      </c>
      <c r="E14" s="1491"/>
    </row>
    <row r="15" spans="1:5" ht="15">
      <c r="A15" s="1491"/>
      <c r="B15" s="3460"/>
      <c r="C15" s="1495" t="s">
        <v>921</v>
      </c>
      <c r="D15" s="859" t="e">
        <f ca="1">结果表!H108</f>
        <v>#REF!</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29067</v>
      </c>
      <c r="C2" s="2" t="s">
        <v>106</v>
      </c>
      <c r="D2" s="199"/>
      <c r="E2" s="199"/>
      <c r="F2" s="199"/>
      <c r="G2" s="199"/>
    </row>
    <row r="3" spans="1:7" s="200" customFormat="1" ht="18" customHeight="1" thickBot="1">
      <c r="A3" s="203" t="s">
        <v>58</v>
      </c>
      <c r="B3" s="204">
        <f ca="1">ROUND(B2*10000/'数据-汇总表'!E3,0)</f>
        <v>4053975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71.7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71.7</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2033</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3184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71.7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1.4E-3</v>
      </c>
      <c r="D44" s="238"/>
      <c r="E44" s="238"/>
      <c r="F44" s="239"/>
      <c r="G44" s="3638"/>
    </row>
    <row r="45" spans="1:7" s="214" customFormat="1" ht="13.5" customHeight="1">
      <c r="A45" s="777" t="s">
        <v>341</v>
      </c>
      <c r="B45" s="244" t="s">
        <v>85</v>
      </c>
      <c r="C45" s="245">
        <f>C46</f>
        <v>4</v>
      </c>
      <c r="D45" s="235">
        <f>C47</f>
        <v>4.4999999999999997E-3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30</v>
      </c>
      <c r="D51" s="232"/>
      <c r="E51" s="232"/>
      <c r="F51" s="264"/>
      <c r="G51" s="234" t="s">
        <v>37</v>
      </c>
    </row>
    <row r="52" spans="1:7" s="208" customFormat="1" ht="16.5" thickBot="1">
      <c r="A52" s="265" t="s">
        <v>38</v>
      </c>
      <c r="B52" s="266"/>
      <c r="C52" s="267">
        <f ca="1">C31+C51</f>
        <v>29067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2842</v>
      </c>
      <c r="B1" s="3775"/>
      <c r="C1" s="3775"/>
      <c r="D1" s="3775"/>
      <c r="E1" s="3775"/>
      <c r="F1" s="3775"/>
      <c r="G1" s="3776"/>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3"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74"/>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3184</v>
      </c>
      <c r="B1" s="3777"/>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8" t="s">
        <v>3235</v>
      </c>
      <c r="B1" s="3778"/>
      <c r="C1" s="3778"/>
      <c r="D1" s="3778"/>
      <c r="E1" s="3778"/>
      <c r="F1" s="3779"/>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45400</v>
      </c>
      <c r="B1" s="3210" t="s">
        <v>3373</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3379</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780" t="s">
        <v>2830</v>
      </c>
      <c r="S23" s="3781"/>
      <c r="T23" s="3781"/>
      <c r="U23" s="3781"/>
      <c r="V23" s="3781"/>
      <c r="W23" s="3781"/>
      <c r="X23" s="3165"/>
      <c r="Y23" s="3780" t="s">
        <v>2831</v>
      </c>
      <c r="Z23" s="3781"/>
      <c r="AA23" s="3781"/>
      <c r="AB23" s="3781"/>
      <c r="AC23" s="3781"/>
      <c r="AD23" s="3781"/>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3381</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71.7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6" t="s">
        <v>927</v>
      </c>
      <c r="B5" s="3466"/>
      <c r="C5" s="3466"/>
      <c r="D5" s="3466" t="e">
        <f ca="1">结果表!D119</f>
        <v>#REF!</v>
      </c>
      <c r="E5" s="3466"/>
      <c r="F5" s="3466" t="e">
        <f ca="1">结果表!F119</f>
        <v>#REF!</v>
      </c>
      <c r="G5" s="3466"/>
      <c r="H5" s="3466" t="e">
        <f ca="1">结果表!H119</f>
        <v>#REF!</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t="e">
        <f ca="1">结果表!D122</f>
        <v>#REF!</v>
      </c>
      <c r="E8" s="3467"/>
      <c r="F8" s="3467"/>
      <c r="G8" s="3467"/>
      <c r="H8" s="3467"/>
      <c r="I8" s="3467"/>
    </row>
    <row r="9" spans="1:9" ht="15">
      <c r="A9" s="3466" t="s">
        <v>927</v>
      </c>
      <c r="B9" s="3466"/>
      <c r="C9" s="3466"/>
      <c r="D9" s="3466" t="e">
        <f ca="1">结果表!D123</f>
        <v>#REF!</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45418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数据-汇总表</vt:lpstr>
      <vt:lpstr>数据-基础表</vt:lpstr>
      <vt:lpstr>数据-取费表</vt:lpstr>
      <vt:lpstr>估价对象房地状况</vt:lpstr>
      <vt:lpstr>系统读取表</vt:lpstr>
      <vt:lpstr>结果表</vt:lpstr>
      <vt:lpstr>成本法</vt:lpstr>
      <vt:lpstr>成本法 (元)</vt:lpstr>
      <vt:lpstr>Sheet2</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 (2)</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2024-05-06T03:15:34Z</dcterms:modified>
</cp:coreProperties>
</file>