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state="hidden" r:id="rId20"/>
    <sheet name="典型户型修正" sheetId="31" r:id="rId21"/>
    <sheet name="成本法 (元)" sheetId="69" r:id="rId22"/>
    <sheet name="基准地价修正" sheetId="43" r:id="rId23"/>
    <sheet name="比较法-办公" sheetId="34" state="hidden"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汇总）" sheetId="76"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残值" sheetId="82" state="hidden" r:id="rId45"/>
    <sheet name="比较法-商业租金" sheetId="98" state="hidden" r:id="rId46"/>
    <sheet name="收益法 (元)" sheetId="67" r:id="rId47"/>
    <sheet name="项目" sheetId="97" r:id="rId48"/>
  </sheets>
  <externalReferences>
    <externalReference r:id="rId49"/>
  </externalReference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5"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5">'比较法-商业租金'!$A$1:$K$54,'比较法-商业租金'!$A$57:$M$131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22">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46">'收益法 (元)'!$A$1:$F$43,'收益法 (元)'!$H$3:$M$29,'收益法 (元)'!$A$45:$F$71,'收益法 (元)'!$I$46:$N$65</definedName>
    <definedName name="_xlnm.Print_Area" localSheetId="25">'收益法（汇总）'!$A$1:$F$13</definedName>
    <definedName name="_xlnm.Print_Area" localSheetId="44">'收益法-残值'!$A$1:$F$43,'收益法-残值'!$H$3:$M$29,'收益法-残值'!$A$46:$F$71,'收益法-残值'!$I$46:$N$65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5">'比较法-商业租金'!$B$116:$M$116</definedName>
    <definedName name="商业层高">'比较法-商业'!$B$116:$M$116</definedName>
    <definedName name="商业成新度" localSheetId="45">'比较法-商业租金'!$B$109:$M$109</definedName>
    <definedName name="商业成新度">'比较法-商业'!$B$109:$M$109</definedName>
    <definedName name="商业繁华度">定义!$L$1:$L$6</definedName>
    <definedName name="商业公共部分装修" localSheetId="45">'比较法-商业租金'!$B$107:$M$107</definedName>
    <definedName name="商业公共部分装修">'比较法-商业'!$B$107:$M$107</definedName>
    <definedName name="商业基础设施水平" localSheetId="45">'比较法-商业租金'!$B$112:$M$112</definedName>
    <definedName name="商业基础设施水平">'比较法-商业'!$B$112:$M$112</definedName>
    <definedName name="商业建筑结构" localSheetId="45">'比较法-商业租金'!$B$105:$M$105</definedName>
    <definedName name="商业建筑结构">'比较法-商业'!$B$105:$M$105</definedName>
    <definedName name="商业交易情况" localSheetId="45">'比较法-商业租金'!$A$61:$M$61</definedName>
    <definedName name="商业交易情况">'比较法-商业'!$A$61:$M$61</definedName>
    <definedName name="商业街名称">修正!$C$71:$C$138</definedName>
    <definedName name="商业进深比" localSheetId="45">'比较法-商业租金'!$B$120:$M$120</definedName>
    <definedName name="商业进深比">'比较法-商业'!$B$120:$M$120</definedName>
    <definedName name="商业类型" localSheetId="45">'比较法-商业租金'!$B$100:$M$100</definedName>
    <definedName name="商业类型">'比较法-商业'!$B$100:$M$100</definedName>
    <definedName name="商业临街状况" localSheetId="45">'比较法-商业租金'!$B$86:$M$86</definedName>
    <definedName name="商业临街状况">'比较法-商业'!$B$86:$M$86</definedName>
    <definedName name="商业楼层" localSheetId="45">'比较法-商业租金'!$B$92:$M$92</definedName>
    <definedName name="商业楼层">'比较法-商业'!$B$92:$M$92</definedName>
    <definedName name="商业内部装修" localSheetId="45">'比较法-商业租金'!$B$122:$M$122</definedName>
    <definedName name="商业内部装修">'比较法-商业'!$B$122:$M$122</definedName>
    <definedName name="商业人流量" localSheetId="45">'比较法-商业租金'!$B$90:$M$90</definedName>
    <definedName name="商业人流量">'比较法-商业'!$B$90:$M$90</definedName>
    <definedName name="商业业态" localSheetId="45">'比较法-商业租金'!$B$114:$M$114</definedName>
    <definedName name="商业业态">'比较法-商业'!$B$114:$M$114</definedName>
    <definedName name="商业用途" localSheetId="45">'比较法-商业租金'!$B$63:$M$63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11" i="43" l="1"/>
  <c r="T28" i="31" l="1"/>
  <c r="B25" i="31"/>
  <c r="B26" i="31"/>
  <c r="B27" i="31"/>
  <c r="B24" i="31"/>
  <c r="A25" i="31"/>
  <c r="A26" i="31"/>
  <c r="A27" i="31"/>
  <c r="A24" i="31"/>
  <c r="C75" i="9" l="1"/>
  <c r="H75" i="9"/>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D4" i="31" l="1"/>
  <c r="E4" i="31"/>
  <c r="F4" i="31"/>
  <c r="G4" i="31"/>
  <c r="H4" i="31"/>
  <c r="C4" i="31"/>
  <c r="D3" i="31"/>
  <c r="E3" i="31"/>
  <c r="F3" i="31"/>
  <c r="G3" i="31"/>
  <c r="H3" i="31"/>
  <c r="C3" i="31"/>
  <c r="D18" i="31"/>
  <c r="F18" i="31"/>
  <c r="G18" i="31"/>
  <c r="C18" i="31"/>
  <c r="D17" i="31"/>
  <c r="E17" i="31"/>
  <c r="F17" i="31"/>
  <c r="G17" i="31"/>
  <c r="C17" i="31"/>
  <c r="F19" i="6" l="1"/>
  <c r="E93" i="33" l="1"/>
  <c r="E18" i="31" s="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N6" i="1" s="1"/>
  <c r="C36" i="98" s="1"/>
  <c r="E36" i="98" l="1"/>
  <c r="F36" i="98" s="1"/>
  <c r="H36" i="98"/>
  <c r="J36" i="98"/>
  <c r="C37" i="34"/>
  <c r="C36" i="33"/>
  <c r="E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S11"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G1" i="82" s="1"/>
  <c r="F3" i="35"/>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R29" i="31"/>
  <c r="S29" i="31" s="1"/>
  <c r="R30" i="31"/>
  <c r="R31" i="31"/>
  <c r="S31" i="31" s="1"/>
  <c r="R32" i="31"/>
  <c r="R33" i="31"/>
  <c r="S33" i="31" s="1"/>
  <c r="R34" i="31"/>
  <c r="S34" i="31" s="1"/>
  <c r="R35" i="31"/>
  <c r="S35" i="31" s="1"/>
  <c r="R36" i="31"/>
  <c r="R37" i="31"/>
  <c r="S37" i="31" s="1"/>
  <c r="R38" i="31"/>
  <c r="S38" i="31" s="1"/>
  <c r="R39" i="31"/>
  <c r="S39" i="31" s="1"/>
  <c r="R40" i="31"/>
  <c r="R41" i="31"/>
  <c r="S41" i="31" s="1"/>
  <c r="R42" i="31"/>
  <c r="S42" i="31" s="1"/>
  <c r="R43" i="31"/>
  <c r="S43" i="31" s="1"/>
  <c r="R44" i="31"/>
  <c r="R45" i="31"/>
  <c r="S45" i="31" s="1"/>
  <c r="R46" i="31"/>
  <c r="S46" i="31" s="1"/>
  <c r="R47" i="31"/>
  <c r="S47" i="31" s="1"/>
  <c r="R48" i="31"/>
  <c r="R49" i="31"/>
  <c r="S49" i="31" s="1"/>
  <c r="R50" i="31"/>
  <c r="S50" i="31" s="1"/>
  <c r="R51" i="31"/>
  <c r="S51" i="31" s="1"/>
  <c r="R52" i="31"/>
  <c r="R53" i="31"/>
  <c r="S53" i="31" s="1"/>
  <c r="R54" i="31"/>
  <c r="S54" i="31" s="1"/>
  <c r="R55" i="31"/>
  <c r="S55" i="31" s="1"/>
  <c r="R56" i="31"/>
  <c r="R57" i="31"/>
  <c r="S57" i="31" s="1"/>
  <c r="R58" i="31"/>
  <c r="R59" i="31"/>
  <c r="S59" i="31" s="1"/>
  <c r="R60" i="31"/>
  <c r="R61" i="31"/>
  <c r="S61" i="31" s="1"/>
  <c r="R62" i="31"/>
  <c r="S62" i="31" s="1"/>
  <c r="R63" i="31"/>
  <c r="S63" i="31" s="1"/>
  <c r="R64" i="31"/>
  <c r="R65" i="31"/>
  <c r="S65" i="31" s="1"/>
  <c r="R66" i="31"/>
  <c r="R67" i="31"/>
  <c r="S67" i="31" s="1"/>
  <c r="R68" i="31"/>
  <c r="R69" i="31"/>
  <c r="S69" i="31" s="1"/>
  <c r="R70" i="31"/>
  <c r="S70" i="31" s="1"/>
  <c r="R71" i="31"/>
  <c r="S71" i="31" s="1"/>
  <c r="R72" i="31"/>
  <c r="R73" i="31"/>
  <c r="S73" i="31" s="1"/>
  <c r="R74" i="31"/>
  <c r="R75" i="31"/>
  <c r="S75" i="31" s="1"/>
  <c r="R76" i="3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R101" i="31"/>
  <c r="S101" i="31" s="1"/>
  <c r="R102" i="31"/>
  <c r="S102" i="31" s="1"/>
  <c r="R103" i="31"/>
  <c r="S103" i="31" s="1"/>
  <c r="R104" i="31"/>
  <c r="R105" i="31"/>
  <c r="S105" i="31" s="1"/>
  <c r="R106" i="31"/>
  <c r="S106" i="31" s="1"/>
  <c r="R107" i="31"/>
  <c r="S107" i="31" s="1"/>
  <c r="R108" i="31"/>
  <c r="R109" i="31"/>
  <c r="S109" i="31" s="1"/>
  <c r="R110" i="31"/>
  <c r="S110" i="31" s="1"/>
  <c r="R111" i="31"/>
  <c r="S111" i="31" s="1"/>
  <c r="R112" i="31"/>
  <c r="R113" i="31"/>
  <c r="S113" i="31" s="1"/>
  <c r="R114" i="31"/>
  <c r="S114" i="31" s="1"/>
  <c r="R115" i="31"/>
  <c r="S115" i="31" s="1"/>
  <c r="R116" i="31"/>
  <c r="R117" i="31"/>
  <c r="S117" i="31" s="1"/>
  <c r="R118" i="31"/>
  <c r="S118" i="31" s="1"/>
  <c r="R119" i="31"/>
  <c r="S119" i="31" s="1"/>
  <c r="R120" i="31"/>
  <c r="R121" i="31"/>
  <c r="S121" i="31" s="1"/>
  <c r="R122" i="31"/>
  <c r="S122" i="31" s="1"/>
  <c r="R123" i="31"/>
  <c r="S123" i="31" s="1"/>
  <c r="R124" i="31"/>
  <c r="R125" i="31"/>
  <c r="S125" i="31" s="1"/>
  <c r="R126" i="31"/>
  <c r="S126" i="31" s="1"/>
  <c r="R127" i="31"/>
  <c r="S127" i="31" s="1"/>
  <c r="R128" i="31"/>
  <c r="R129" i="31"/>
  <c r="S129" i="31" s="1"/>
  <c r="R130" i="31"/>
  <c r="S130" i="31" s="1"/>
  <c r="R131" i="31"/>
  <c r="S131" i="31" s="1"/>
  <c r="R132" i="31"/>
  <c r="R133" i="31"/>
  <c r="S133" i="31" s="1"/>
  <c r="R134" i="31"/>
  <c r="S134" i="31" s="1"/>
  <c r="R135" i="31"/>
  <c r="S135" i="31" s="1"/>
  <c r="R136" i="31"/>
  <c r="R137" i="31"/>
  <c r="S137" i="31" s="1"/>
  <c r="R138" i="31"/>
  <c r="S138" i="31" s="1"/>
  <c r="R139" i="31"/>
  <c r="S139" i="31" s="1"/>
  <c r="R140" i="31"/>
  <c r="R141" i="31"/>
  <c r="S141" i="31" s="1"/>
  <c r="R142" i="31"/>
  <c r="S142" i="31" s="1"/>
  <c r="R143" i="31"/>
  <c r="S143" i="31" s="1"/>
  <c r="R144" i="31"/>
  <c r="R145" i="31"/>
  <c r="S145" i="31" s="1"/>
  <c r="R146" i="31"/>
  <c r="S146" i="31" s="1"/>
  <c r="R147" i="31"/>
  <c r="S147" i="31" s="1"/>
  <c r="R148" i="31"/>
  <c r="R149" i="31"/>
  <c r="S149" i="31" s="1"/>
  <c r="R150" i="31"/>
  <c r="S150" i="31" s="1"/>
  <c r="R151" i="31"/>
  <c r="S151" i="31" s="1"/>
  <c r="R152" i="31"/>
  <c r="R153" i="31"/>
  <c r="S153" i="31" s="1"/>
  <c r="R154" i="31"/>
  <c r="S154" i="31" s="1"/>
  <c r="R155" i="31"/>
  <c r="S155" i="31" s="1"/>
  <c r="R156" i="31"/>
  <c r="R157" i="31"/>
  <c r="S157" i="31" s="1"/>
  <c r="R158" i="31"/>
  <c r="S158" i="31" s="1"/>
  <c r="R159" i="31"/>
  <c r="S159" i="31" s="1"/>
  <c r="R160" i="31"/>
  <c r="R161" i="31"/>
  <c r="S161" i="31" s="1"/>
  <c r="R162" i="31"/>
  <c r="S162" i="31" s="1"/>
  <c r="R163" i="31"/>
  <c r="S163" i="31" s="1"/>
  <c r="R164" i="31"/>
  <c r="R165" i="31"/>
  <c r="S165" i="31" s="1"/>
  <c r="R166" i="31"/>
  <c r="S166" i="31" s="1"/>
  <c r="R167" i="31"/>
  <c r="S167" i="31" s="1"/>
  <c r="R168" i="31"/>
  <c r="R169" i="31"/>
  <c r="S169" i="31" s="1"/>
  <c r="R170" i="31"/>
  <c r="S170" i="31" s="1"/>
  <c r="R171" i="31"/>
  <c r="S171" i="31" s="1"/>
  <c r="R172" i="31"/>
  <c r="R173" i="31"/>
  <c r="S173" i="31" s="1"/>
  <c r="R174" i="31"/>
  <c r="S174" i="31" s="1"/>
  <c r="R175" i="31"/>
  <c r="S175" i="31" s="1"/>
  <c r="R176" i="31"/>
  <c r="R177" i="31"/>
  <c r="S177" i="31" s="1"/>
  <c r="R178" i="31"/>
  <c r="S178" i="31" s="1"/>
  <c r="R179" i="31"/>
  <c r="S179" i="31" s="1"/>
  <c r="R180" i="31"/>
  <c r="R181" i="31"/>
  <c r="S181" i="31" s="1"/>
  <c r="R182" i="31"/>
  <c r="S182" i="31" s="1"/>
  <c r="R183" i="31"/>
  <c r="S183" i="31" s="1"/>
  <c r="R184" i="31"/>
  <c r="R185" i="31"/>
  <c r="S185" i="31" s="1"/>
  <c r="R186" i="31"/>
  <c r="S186" i="31" s="1"/>
  <c r="R187" i="31"/>
  <c r="S187" i="31" s="1"/>
  <c r="R188" i="31"/>
  <c r="R189" i="31"/>
  <c r="S189" i="31" s="1"/>
  <c r="R190" i="31"/>
  <c r="S190" i="31" s="1"/>
  <c r="R191" i="31"/>
  <c r="S191" i="31" s="1"/>
  <c r="R192" i="31"/>
  <c r="R193" i="31"/>
  <c r="S193" i="31" s="1"/>
  <c r="R194" i="31"/>
  <c r="S194" i="31" s="1"/>
  <c r="R195" i="31"/>
  <c r="S195" i="31" s="1"/>
  <c r="R196" i="31"/>
  <c r="R197" i="31"/>
  <c r="S197" i="31" s="1"/>
  <c r="R198" i="31"/>
  <c r="S198" i="31" s="1"/>
  <c r="R199" i="31"/>
  <c r="S199" i="31" s="1"/>
  <c r="R200" i="31"/>
  <c r="R201" i="31"/>
  <c r="S201" i="31" s="1"/>
  <c r="R202" i="31"/>
  <c r="S202" i="31" s="1"/>
  <c r="R203" i="31"/>
  <c r="S203" i="31" s="1"/>
  <c r="R204" i="31"/>
  <c r="R205" i="31"/>
  <c r="S205" i="31" s="1"/>
  <c r="R206" i="31"/>
  <c r="S206" i="31" s="1"/>
  <c r="R207" i="31"/>
  <c r="R208" i="31"/>
  <c r="R209" i="31"/>
  <c r="S209" i="31" s="1"/>
  <c r="R210" i="31"/>
  <c r="S210" i="31" s="1"/>
  <c r="R211" i="31"/>
  <c r="S211" i="31" s="1"/>
  <c r="R212" i="31"/>
  <c r="R213" i="31"/>
  <c r="S213" i="31" s="1"/>
  <c r="R214" i="31"/>
  <c r="R215" i="31"/>
  <c r="S215" i="31" s="1"/>
  <c r="R216" i="31"/>
  <c r="R217" i="31"/>
  <c r="S217" i="31" s="1"/>
  <c r="R218" i="31"/>
  <c r="S218" i="31" s="1"/>
  <c r="R219" i="31"/>
  <c r="S219" i="31" s="1"/>
  <c r="R220" i="31"/>
  <c r="R221" i="31"/>
  <c r="S221" i="31" s="1"/>
  <c r="R222" i="31"/>
  <c r="R223" i="31"/>
  <c r="S223" i="31" s="1"/>
  <c r="R224" i="31"/>
  <c r="R225" i="31"/>
  <c r="S225" i="31" s="1"/>
  <c r="R226" i="31"/>
  <c r="S226" i="31" s="1"/>
  <c r="R227" i="31"/>
  <c r="S227" i="31" s="1"/>
  <c r="R228" i="31"/>
  <c r="R229" i="31"/>
  <c r="S229" i="31" s="1"/>
  <c r="R230" i="31"/>
  <c r="R231" i="31"/>
  <c r="S231" i="31" s="1"/>
  <c r="R232" i="31"/>
  <c r="R233" i="31"/>
  <c r="S233" i="31" s="1"/>
  <c r="R234" i="31"/>
  <c r="S234" i="31" s="1"/>
  <c r="R235" i="31"/>
  <c r="S235" i="31" s="1"/>
  <c r="R236" i="31"/>
  <c r="R237" i="31"/>
  <c r="S237" i="31" s="1"/>
  <c r="R238" i="31"/>
  <c r="R239" i="31"/>
  <c r="S239" i="31" s="1"/>
  <c r="R240" i="31"/>
  <c r="R241" i="31"/>
  <c r="S241" i="31" s="1"/>
  <c r="R242" i="31"/>
  <c r="S242" i="31" s="1"/>
  <c r="R243" i="31"/>
  <c r="S243" i="31" s="1"/>
  <c r="R244" i="31"/>
  <c r="R245" i="31"/>
  <c r="S245" i="31" s="1"/>
  <c r="R246" i="31"/>
  <c r="R247" i="31"/>
  <c r="S247" i="31" s="1"/>
  <c r="R248" i="31"/>
  <c r="R249" i="31"/>
  <c r="S249" i="31" s="1"/>
  <c r="R250" i="31"/>
  <c r="S250" i="31" s="1"/>
  <c r="R251" i="3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R325" i="31"/>
  <c r="S325" i="31" s="1"/>
  <c r="R326" i="31"/>
  <c r="S326" i="31" s="1"/>
  <c r="R327" i="31"/>
  <c r="S327" i="31" s="1"/>
  <c r="R328" i="31"/>
  <c r="R329" i="31"/>
  <c r="S329" i="31" s="1"/>
  <c r="R330" i="31"/>
  <c r="R331" i="31"/>
  <c r="S331" i="31" s="1"/>
  <c r="R332" i="31"/>
  <c r="R333" i="31"/>
  <c r="S333" i="31" s="1"/>
  <c r="R334" i="31"/>
  <c r="S334" i="31" s="1"/>
  <c r="R335" i="31"/>
  <c r="S335" i="31" s="1"/>
  <c r="R336" i="31"/>
  <c r="R337" i="31"/>
  <c r="S337" i="31" s="1"/>
  <c r="R338" i="31"/>
  <c r="R339" i="31"/>
  <c r="S339" i="31" s="1"/>
  <c r="R340" i="31"/>
  <c r="R341" i="31"/>
  <c r="S341" i="31" s="1"/>
  <c r="R342" i="31"/>
  <c r="S342" i="31" s="1"/>
  <c r="R343" i="31"/>
  <c r="S343" i="31" s="1"/>
  <c r="R344" i="31"/>
  <c r="R345" i="31"/>
  <c r="S345" i="31" s="1"/>
  <c r="R346" i="31"/>
  <c r="R347" i="31"/>
  <c r="S347" i="31" s="1"/>
  <c r="R348" i="31"/>
  <c r="R349" i="31"/>
  <c r="S349" i="31" s="1"/>
  <c r="R350" i="31"/>
  <c r="S350" i="31" s="1"/>
  <c r="R351" i="31"/>
  <c r="S351" i="31" s="1"/>
  <c r="R352" i="31"/>
  <c r="R353" i="31"/>
  <c r="S353" i="31" s="1"/>
  <c r="R354" i="31"/>
  <c r="R355" i="31"/>
  <c r="S355" i="31" s="1"/>
  <c r="R356" i="31"/>
  <c r="R357" i="31"/>
  <c r="S357" i="31" s="1"/>
  <c r="R358" i="31"/>
  <c r="S358" i="31" s="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S425" i="31" s="1"/>
  <c r="R426" i="31"/>
  <c r="S426" i="31" s="1"/>
  <c r="R427" i="31"/>
  <c r="S427" i="31" s="1"/>
  <c r="R428" i="31"/>
  <c r="R429" i="31"/>
  <c r="S429" i="31" s="1"/>
  <c r="R430" i="31"/>
  <c r="S430" i="31" s="1"/>
  <c r="R431" i="31"/>
  <c r="S431" i="31" s="1"/>
  <c r="R432" i="31"/>
  <c r="R433" i="31"/>
  <c r="S433" i="31" s="1"/>
  <c r="R434" i="31"/>
  <c r="R435" i="31"/>
  <c r="S435" i="31" s="1"/>
  <c r="R436" i="31"/>
  <c r="R437" i="31"/>
  <c r="S437" i="31" s="1"/>
  <c r="R438" i="31"/>
  <c r="S438" i="31" s="1"/>
  <c r="R439" i="31"/>
  <c r="S439" i="31" s="1"/>
  <c r="R440" i="31"/>
  <c r="R441" i="31"/>
  <c r="S441" i="31" s="1"/>
  <c r="R442" i="31"/>
  <c r="R443" i="31"/>
  <c r="S443" i="31" s="1"/>
  <c r="R444" i="31"/>
  <c r="R445" i="31"/>
  <c r="S445" i="31" s="1"/>
  <c r="R446" i="31"/>
  <c r="R447" i="31"/>
  <c r="S447" i="31" s="1"/>
  <c r="R448" i="31"/>
  <c r="R449" i="31"/>
  <c r="S449" i="31" s="1"/>
  <c r="R450" i="31"/>
  <c r="S450" i="31" s="1"/>
  <c r="R451" i="31"/>
  <c r="S451" i="31" s="1"/>
  <c r="R452" i="31"/>
  <c r="R453" i="31"/>
  <c r="S453" i="31" s="1"/>
  <c r="R454" i="31"/>
  <c r="R455" i="31"/>
  <c r="S455" i="31" s="1"/>
  <c r="R456" i="31"/>
  <c r="R457" i="31"/>
  <c r="S457" i="31" s="1"/>
  <c r="R458" i="31"/>
  <c r="S458" i="31" s="1"/>
  <c r="R459" i="31"/>
  <c r="S459" i="31" s="1"/>
  <c r="R460" i="31"/>
  <c r="R461" i="31"/>
  <c r="S461" i="31" s="1"/>
  <c r="R462" i="31"/>
  <c r="R463" i="31"/>
  <c r="S463" i="31" s="1"/>
  <c r="R464" i="31"/>
  <c r="R465" i="31"/>
  <c r="S465" i="31" s="1"/>
  <c r="R466" i="31"/>
  <c r="S466" i="31" s="1"/>
  <c r="R467" i="31"/>
  <c r="S467" i="31" s="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R492" i="31"/>
  <c r="R493" i="31"/>
  <c r="S493" i="31" s="1"/>
  <c r="R494" i="31"/>
  <c r="R495" i="31"/>
  <c r="S495" i="31" s="1"/>
  <c r="R496" i="31"/>
  <c r="R497" i="31"/>
  <c r="S497" i="31" s="1"/>
  <c r="R498" i="31"/>
  <c r="S498" i="31" s="1"/>
  <c r="R499" i="31"/>
  <c r="S499" i="31" s="1"/>
  <c r="R500" i="31"/>
  <c r="R501" i="31"/>
  <c r="S501" i="31" s="1"/>
  <c r="R502" i="31"/>
  <c r="S502" i="31" s="1"/>
  <c r="R503" i="31"/>
  <c r="S503" i="31" s="1"/>
  <c r="R504" i="31"/>
  <c r="R505" i="31"/>
  <c r="S505" i="31" s="1"/>
  <c r="R506" i="31"/>
  <c r="S506" i="31" s="1"/>
  <c r="R507" i="31"/>
  <c r="S507" i="31" s="1"/>
  <c r="R508" i="31"/>
  <c r="R509" i="31"/>
  <c r="S509" i="31" s="1"/>
  <c r="R510" i="31"/>
  <c r="S510" i="31" s="1"/>
  <c r="R511" i="31"/>
  <c r="S511" i="31" s="1"/>
  <c r="R512" i="31"/>
  <c r="R513" i="31"/>
  <c r="S513" i="31" s="1"/>
  <c r="R514" i="31"/>
  <c r="S514" i="31" s="1"/>
  <c r="R515" i="31"/>
  <c r="S515" i="31" s="1"/>
  <c r="R516" i="31"/>
  <c r="R517" i="31"/>
  <c r="S517" i="31" s="1"/>
  <c r="R518" i="31"/>
  <c r="S518" i="31" s="1"/>
  <c r="R519" i="31"/>
  <c r="S519" i="31" s="1"/>
  <c r="R520" i="3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G16" i="3" s="1"/>
  <c r="AC16" i="3"/>
  <c r="H17" i="3"/>
  <c r="AC17" i="3"/>
  <c r="AT5" i="3"/>
  <c r="I5" i="3"/>
  <c r="E19" i="6" s="1"/>
  <c r="D3" i="98"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6" i="31"/>
  <c r="S354" i="31"/>
  <c r="S352" i="31"/>
  <c r="S348" i="31"/>
  <c r="S346" i="31"/>
  <c r="S344" i="31"/>
  <c r="S340" i="31"/>
  <c r="S338" i="31"/>
  <c r="S336" i="31"/>
  <c r="S332" i="31"/>
  <c r="S330" i="31"/>
  <c r="S328" i="31"/>
  <c r="S324" i="31"/>
  <c r="S322" i="31"/>
  <c r="S424" i="31"/>
  <c r="S320" i="31"/>
  <c r="S316" i="31"/>
  <c r="S312" i="31"/>
  <c r="S308" i="31"/>
  <c r="S304" i="31"/>
  <c r="S300" i="31"/>
  <c r="S296" i="31"/>
  <c r="S292" i="31"/>
  <c r="S288" i="31"/>
  <c r="S284" i="31"/>
  <c r="S280" i="31"/>
  <c r="S276" i="31"/>
  <c r="S272" i="31"/>
  <c r="S268" i="31"/>
  <c r="S264" i="31"/>
  <c r="S260" i="31"/>
  <c r="S256" i="31"/>
  <c r="S252" i="31"/>
  <c r="S251" i="31"/>
  <c r="S248" i="31"/>
  <c r="S246" i="31"/>
  <c r="S244" i="31"/>
  <c r="S240" i="31"/>
  <c r="S238" i="31"/>
  <c r="S236" i="31"/>
  <c r="S232" i="31"/>
  <c r="S230" i="31"/>
  <c r="S228" i="31"/>
  <c r="S224" i="31"/>
  <c r="S428" i="31"/>
  <c r="S222" i="31"/>
  <c r="S220" i="31"/>
  <c r="S216" i="31"/>
  <c r="S214" i="31"/>
  <c r="S212" i="31"/>
  <c r="S208" i="31"/>
  <c r="S207" i="31"/>
  <c r="S204" i="31"/>
  <c r="S200" i="31"/>
  <c r="S196" i="31"/>
  <c r="S192" i="31"/>
  <c r="S188" i="31"/>
  <c r="S184" i="31"/>
  <c r="S180" i="31"/>
  <c r="S176" i="31"/>
  <c r="S172" i="31"/>
  <c r="S168" i="31"/>
  <c r="S164" i="31"/>
  <c r="S160" i="31"/>
  <c r="S156" i="31"/>
  <c r="S152" i="31"/>
  <c r="S148" i="31"/>
  <c r="S144" i="31"/>
  <c r="S140" i="31"/>
  <c r="S136" i="31"/>
  <c r="S132" i="31"/>
  <c r="S128" i="31"/>
  <c r="S124" i="31"/>
  <c r="S496" i="31"/>
  <c r="S494" i="31"/>
  <c r="S492" i="31"/>
  <c r="S491" i="31"/>
  <c r="S488" i="31"/>
  <c r="S484" i="31"/>
  <c r="S480" i="31"/>
  <c r="S476" i="31"/>
  <c r="S472" i="31"/>
  <c r="S468" i="31"/>
  <c r="S444" i="31"/>
  <c r="S442" i="31"/>
  <c r="S440" i="31"/>
  <c r="S436" i="31"/>
  <c r="S434" i="31"/>
  <c r="S432" i="31"/>
  <c r="S120" i="31"/>
  <c r="S116" i="31"/>
  <c r="S112" i="31"/>
  <c r="S504" i="31"/>
  <c r="S500" i="31"/>
  <c r="S464" i="31"/>
  <c r="S462" i="31"/>
  <c r="S460" i="31"/>
  <c r="S456" i="31"/>
  <c r="S454" i="31"/>
  <c r="S452" i="31"/>
  <c r="S52" i="31"/>
  <c r="S48" i="31"/>
  <c r="S44" i="31"/>
  <c r="S40" i="31"/>
  <c r="S36" i="31"/>
  <c r="S32" i="31"/>
  <c r="S76" i="31"/>
  <c r="S74" i="31"/>
  <c r="S72" i="31"/>
  <c r="S68" i="31"/>
  <c r="S66" i="31"/>
  <c r="S64" i="31"/>
  <c r="S60" i="31"/>
  <c r="S58" i="31"/>
  <c r="S56" i="31"/>
  <c r="S96" i="31"/>
  <c r="S92" i="31"/>
  <c r="S88" i="31"/>
  <c r="S84" i="31"/>
  <c r="S80" i="31"/>
  <c r="S30" i="31"/>
  <c r="S100" i="31"/>
  <c r="S104" i="31"/>
  <c r="S108" i="31"/>
  <c r="S446" i="31"/>
  <c r="S448" i="31"/>
  <c r="S508" i="31"/>
  <c r="S512"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S516" i="31"/>
  <c r="S520"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W8" i="34"/>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S28" i="31"/>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G1" i="68"/>
  <c r="K1" i="12"/>
  <c r="E19" i="69"/>
  <c r="E19" i="68"/>
  <c r="E19" i="11"/>
  <c r="G22" i="68"/>
  <c r="C6" i="43"/>
  <c r="B19" i="53"/>
  <c r="B37" i="72" s="1"/>
  <c r="C7" i="33"/>
  <c r="C7" i="21"/>
  <c r="G23"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AA8"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6" i="15"/>
  <c r="M9" i="82"/>
  <c r="M23" i="67"/>
  <c r="C76" i="15"/>
  <c r="J15" i="15"/>
  <c r="L47" i="15"/>
  <c r="L47" i="67"/>
  <c r="M24" i="82"/>
  <c r="E2" i="69"/>
  <c r="D7" i="73"/>
  <c r="D5" i="73"/>
  <c r="M27" i="82"/>
  <c r="M8" i="67"/>
  <c r="M22" i="15"/>
  <c r="F40" i="15"/>
  <c r="D6" i="73"/>
  <c r="B10" i="76"/>
  <c r="F7" i="73"/>
  <c r="F8" i="82"/>
  <c r="B12" i="76"/>
  <c r="F16" i="15"/>
  <c r="E11" i="76"/>
  <c r="F38" i="15"/>
  <c r="F43" i="82"/>
  <c r="E9" i="76"/>
  <c r="F13" i="82"/>
  <c r="L48" i="82"/>
  <c r="M26" i="67"/>
  <c r="M28" i="67"/>
  <c r="E13" i="76"/>
  <c r="B8" i="76"/>
  <c r="F8" i="67"/>
  <c r="E8" i="76"/>
  <c r="M9" i="67"/>
  <c r="M28" i="82"/>
  <c r="E10" i="76"/>
  <c r="F42" i="15"/>
  <c r="F9" i="67"/>
  <c r="F4" i="73"/>
  <c r="C76" i="82"/>
  <c r="E2" i="68"/>
  <c r="D3" i="73"/>
  <c r="M24" i="15"/>
  <c r="M23" i="82"/>
  <c r="F13" i="67"/>
  <c r="M8" i="82"/>
  <c r="F8" i="15"/>
  <c r="F16" i="67"/>
  <c r="F9" i="15"/>
  <c r="C76" i="67"/>
  <c r="F36" i="15"/>
  <c r="M22" i="67"/>
  <c r="F26" i="15"/>
  <c r="M6" i="67"/>
  <c r="L47" i="82"/>
  <c r="F13" i="15"/>
  <c r="E7" i="76"/>
  <c r="F36" i="67"/>
  <c r="F16" i="82"/>
  <c r="F7" i="82"/>
  <c r="M6" i="15"/>
  <c r="F26" i="67"/>
  <c r="E12" i="76"/>
  <c r="M22" i="82"/>
  <c r="F38" i="82"/>
  <c r="M8" i="15"/>
  <c r="M23" i="15"/>
  <c r="F36" i="82"/>
  <c r="F40" i="82"/>
  <c r="M26" i="15"/>
  <c r="F42" i="82"/>
  <c r="F5" i="73"/>
  <c r="F26" i="82"/>
  <c r="M24" i="67"/>
  <c r="M6" i="82"/>
  <c r="F42" i="67"/>
  <c r="M29" i="82"/>
  <c r="F38" i="67"/>
  <c r="F6" i="73"/>
  <c r="F9" i="82"/>
  <c r="B7" i="76"/>
  <c r="J15" i="67"/>
  <c r="M9" i="15"/>
  <c r="F37" i="82"/>
  <c r="B11" i="76"/>
  <c r="F20" i="31"/>
  <c r="F6" i="82"/>
  <c r="F37" i="15"/>
  <c r="M28" i="15"/>
  <c r="AO13" i="1"/>
  <c r="F3" i="73"/>
  <c r="B9" i="76"/>
  <c r="B13" i="76"/>
  <c r="J15" i="82"/>
  <c r="F40" i="67"/>
  <c r="F37" i="67"/>
  <c r="D4" i="73"/>
  <c r="M26" i="82"/>
  <c r="D22" i="15" l="1"/>
  <c r="D93" i="9"/>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K6" i="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J25" i="33"/>
  <c r="W25" i="33" s="1"/>
  <c r="F87" i="33"/>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BB5" i="3"/>
  <c r="E8" i="6" s="1"/>
  <c r="F27" i="6" s="1"/>
  <c r="AZ15" i="3"/>
  <c r="H5" i="3"/>
  <c r="G14" i="3"/>
  <c r="G5" i="3" s="1"/>
  <c r="B3" i="3" s="1"/>
  <c r="E85" i="3" s="1"/>
  <c r="BA13" i="3"/>
  <c r="BA5" i="3" s="1"/>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4" i="43"/>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1" i="73"/>
  <c r="B39" i="1" s="1"/>
  <c r="F51" i="67"/>
  <c r="F65" i="67"/>
  <c r="F51" i="15"/>
  <c r="F66" i="67"/>
  <c r="L59" i="15"/>
  <c r="N59" i="15"/>
  <c r="M59" i="15"/>
  <c r="F66" i="15"/>
  <c r="Q71" i="67"/>
  <c r="F64" i="15"/>
  <c r="C27" i="67"/>
  <c r="C27" i="15"/>
  <c r="F65" i="15"/>
  <c r="B13" i="70"/>
  <c r="F68" i="67"/>
  <c r="F64" i="67"/>
  <c r="F68" i="15"/>
  <c r="C36" i="68"/>
  <c r="D9" i="69"/>
  <c r="D9" i="68"/>
  <c r="F7" i="15"/>
  <c r="F43" i="15"/>
  <c r="M29" i="15"/>
  <c r="C16" i="82"/>
  <c r="M29" i="67"/>
  <c r="G1" i="73"/>
  <c r="L48" i="15"/>
  <c r="F7" i="67"/>
  <c r="L48" i="67"/>
  <c r="F43" i="67"/>
  <c r="F31" i="15" l="1"/>
  <c r="M7" i="15"/>
  <c r="J6" i="15" s="1"/>
  <c r="C6" i="15"/>
  <c r="F50" i="15"/>
  <c r="F59" i="15" s="1"/>
  <c r="F71" i="15"/>
  <c r="M6" i="1"/>
  <c r="F7" i="36"/>
  <c r="C58" i="98"/>
  <c r="D58" i="98" s="1"/>
  <c r="E58" i="98" s="1"/>
  <c r="F58" i="98" s="1"/>
  <c r="G58" i="98" s="1"/>
  <c r="H58" i="98" s="1"/>
  <c r="I58" i="98" s="1"/>
  <c r="J58" i="98" s="1"/>
  <c r="K58" i="98" s="1"/>
  <c r="L58" i="98" s="1"/>
  <c r="M58" i="98" s="1"/>
  <c r="N58" i="98" s="1"/>
  <c r="O58" i="98" s="1"/>
  <c r="I7" i="98"/>
  <c r="J7" i="98" s="1"/>
  <c r="G7" i="98"/>
  <c r="H7" i="98" s="1"/>
  <c r="E7" i="98"/>
  <c r="F7" i="98" s="1"/>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D50" i="43"/>
  <c r="J7" i="36"/>
  <c r="H7" i="36"/>
  <c r="H16" i="1"/>
  <c r="Q16" i="1"/>
  <c r="Q17" i="1" s="1"/>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L27" i="1"/>
  <c r="N27" i="1" s="1"/>
  <c r="N26" i="1" s="1"/>
  <c r="F71" i="67"/>
  <c r="F50" i="67"/>
  <c r="C49" i="67" s="1"/>
  <c r="M7" i="67"/>
  <c r="J6" i="67" s="1"/>
  <c r="J18" i="67" s="1"/>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AZ13" i="3"/>
  <c r="AZ5" i="3" s="1"/>
  <c r="E11" i="6"/>
  <c r="E60" i="39" s="1"/>
  <c r="E15" i="6"/>
  <c r="E64" i="39" s="1"/>
  <c r="E13" i="6"/>
  <c r="E28" i="6"/>
  <c r="K14" i="1" s="1"/>
  <c r="K16" i="1" s="1"/>
  <c r="E14" i="6"/>
  <c r="E63" i="39" s="1"/>
  <c r="E12" i="6"/>
  <c r="E57" i="40"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G16" i="1" s="1"/>
  <c r="C49" i="82"/>
  <c r="C61" i="82" s="1"/>
  <c r="J6" i="82"/>
  <c r="J18" i="82" s="1"/>
  <c r="C33" i="82"/>
  <c r="C32" i="82"/>
  <c r="Q60" i="82"/>
  <c r="Q73" i="82"/>
  <c r="F59" i="82"/>
  <c r="F27" i="69"/>
  <c r="F45" i="69" s="1"/>
  <c r="M11" i="82"/>
  <c r="J10" i="82" s="1"/>
  <c r="F11" i="82"/>
  <c r="E10" i="6"/>
  <c r="X6" i="3"/>
  <c r="E385" i="3"/>
  <c r="E423" i="3"/>
  <c r="E191" i="3"/>
  <c r="E161" i="3"/>
  <c r="E445" i="3"/>
  <c r="E563" i="3"/>
  <c r="E130" i="3"/>
  <c r="E380" i="3"/>
  <c r="E506" i="3"/>
  <c r="E358" i="3"/>
  <c r="E337" i="3"/>
  <c r="O6" i="3"/>
  <c r="E282" i="3"/>
  <c r="E175" i="3"/>
  <c r="E384" i="3"/>
  <c r="E477" i="3"/>
  <c r="E72" i="3"/>
  <c r="E453" i="3"/>
  <c r="E347" i="3"/>
  <c r="E124" i="3"/>
  <c r="E586" i="3"/>
  <c r="E301" i="3"/>
  <c r="E91" i="3"/>
  <c r="E503" i="3"/>
  <c r="E183" i="3"/>
  <c r="E114" i="3"/>
  <c r="E231" i="3"/>
  <c r="E418" i="3"/>
  <c r="E559" i="3"/>
  <c r="E143" i="3"/>
  <c r="E574" i="3"/>
  <c r="N6" i="3"/>
  <c r="E530" i="3"/>
  <c r="E441" i="3"/>
  <c r="E447" i="3"/>
  <c r="E351" i="3"/>
  <c r="E99" i="3"/>
  <c r="E350" i="3"/>
  <c r="E361" i="3"/>
  <c r="E169" i="3"/>
  <c r="E390" i="3"/>
  <c r="E388" i="3"/>
  <c r="E125" i="3"/>
  <c r="E210" i="3"/>
  <c r="E585" i="3"/>
  <c r="E562" i="3"/>
  <c r="E399" i="3"/>
  <c r="E495" i="3"/>
  <c r="E134" i="3"/>
  <c r="E180" i="3"/>
  <c r="E528" i="3"/>
  <c r="E320" i="3"/>
  <c r="E561" i="3"/>
  <c r="E396" i="3"/>
  <c r="E153" i="3"/>
  <c r="E246" i="3"/>
  <c r="AI6" i="3"/>
  <c r="E263" i="3"/>
  <c r="E135" i="3"/>
  <c r="E535" i="3"/>
  <c r="E172" i="3"/>
  <c r="E261" i="3"/>
  <c r="E298" i="3"/>
  <c r="E407" i="3"/>
  <c r="AR6" i="3"/>
  <c r="E97" i="3"/>
  <c r="E569" i="3"/>
  <c r="E508" i="3"/>
  <c r="E501" i="3"/>
  <c r="E162" i="3"/>
  <c r="E549" i="3"/>
  <c r="E573" i="3"/>
  <c r="E583" i="3"/>
  <c r="E336" i="3"/>
  <c r="E293" i="3"/>
  <c r="E518" i="3"/>
  <c r="E578" i="3"/>
  <c r="E382" i="3"/>
  <c r="E245" i="3"/>
  <c r="E61" i="3"/>
  <c r="E290" i="3"/>
  <c r="E117" i="3"/>
  <c r="E550" i="3"/>
  <c r="E260" i="3"/>
  <c r="E395" i="3"/>
  <c r="E415" i="3"/>
  <c r="E237" i="3"/>
  <c r="E216" i="3"/>
  <c r="E294" i="3"/>
  <c r="E338" i="3"/>
  <c r="E538" i="3"/>
  <c r="E551" i="3"/>
  <c r="S6" i="3"/>
  <c r="E270" i="3"/>
  <c r="E229" i="3"/>
  <c r="E359" i="3"/>
  <c r="E555" i="3"/>
  <c r="E239" i="3"/>
  <c r="E426" i="3"/>
  <c r="E343" i="3"/>
  <c r="E366" i="3"/>
  <c r="E53" i="3"/>
  <c r="E44" i="3"/>
  <c r="E331" i="3"/>
  <c r="E186" i="3"/>
  <c r="E27" i="3"/>
  <c r="AS6" i="3"/>
  <c r="E478" i="3"/>
  <c r="E271" i="3"/>
  <c r="E31" i="3"/>
  <c r="E150" i="3"/>
  <c r="E450" i="3"/>
  <c r="E527" i="3"/>
  <c r="E193" i="3"/>
  <c r="E314" i="3"/>
  <c r="P6" i="1"/>
  <c r="C13" i="12" s="1"/>
  <c r="AA6" i="3"/>
  <c r="E280" i="3"/>
  <c r="E353" i="3"/>
  <c r="AN6" i="3"/>
  <c r="E402" i="3"/>
  <c r="E303" i="3"/>
  <c r="E159" i="3"/>
  <c r="E254" i="3"/>
  <c r="E221" i="3"/>
  <c r="E302" i="3"/>
  <c r="E17" i="3"/>
  <c r="E213" i="3"/>
  <c r="E565" i="3"/>
  <c r="E304" i="3"/>
  <c r="E185" i="3"/>
  <c r="E230" i="3"/>
  <c r="E321" i="3"/>
  <c r="E439" i="3"/>
  <c r="V6" i="3"/>
  <c r="E523" i="3"/>
  <c r="E533" i="3"/>
  <c r="E151" i="3"/>
  <c r="E285" i="3"/>
  <c r="E410" i="3"/>
  <c r="E516" i="3"/>
  <c r="E328" i="3"/>
  <c r="E305" i="3"/>
  <c r="E553" i="3"/>
  <c r="E319" i="3"/>
  <c r="E30" i="3"/>
  <c r="E316" i="3"/>
  <c r="E166" i="3"/>
  <c r="E88" i="3"/>
  <c r="E505" i="3"/>
  <c r="E515" i="3"/>
  <c r="E269" i="3"/>
  <c r="E318" i="3"/>
  <c r="E111" i="3"/>
  <c r="E571" i="3"/>
  <c r="E458" i="3"/>
  <c r="E45" i="3"/>
  <c r="E510" i="3"/>
  <c r="E16" i="3"/>
  <c r="E148" i="3"/>
  <c r="E197" i="3"/>
  <c r="E105" i="3"/>
  <c r="E575" i="3"/>
  <c r="E534" i="3"/>
  <c r="E543" i="3"/>
  <c r="E442" i="3"/>
  <c r="E469" i="3"/>
  <c r="E422" i="3"/>
  <c r="E449" i="3"/>
  <c r="E360" i="3"/>
  <c r="AH6" i="3"/>
  <c r="E554" i="3"/>
  <c r="E494" i="3"/>
  <c r="E483" i="3"/>
  <c r="E417" i="3"/>
  <c r="E26" i="3"/>
  <c r="E25" i="3"/>
  <c r="E95" i="3"/>
  <c r="E198" i="3"/>
  <c r="E202" i="3"/>
  <c r="E258" i="3"/>
  <c r="E243" i="3"/>
  <c r="E346" i="3"/>
  <c r="E349" i="3"/>
  <c r="AL6" i="3"/>
  <c r="E60" i="3"/>
  <c r="E59" i="3"/>
  <c r="E428" i="3"/>
  <c r="E15" i="3"/>
  <c r="E467" i="3"/>
  <c r="E96" i="3"/>
  <c r="E100" i="3"/>
  <c r="E160" i="3"/>
  <c r="E174" i="3"/>
  <c r="E234" i="3"/>
  <c r="E249" i="3"/>
  <c r="E324" i="3"/>
  <c r="E325" i="3"/>
  <c r="E492" i="3"/>
  <c r="E35" i="3"/>
  <c r="E36" i="3"/>
  <c r="E33" i="3"/>
  <c r="E206" i="3"/>
  <c r="E289" i="3"/>
  <c r="E355" i="3"/>
  <c r="AF6" i="3"/>
  <c r="E20" i="3"/>
  <c r="E81" i="3"/>
  <c r="E158" i="3"/>
  <c r="E265" i="3"/>
  <c r="E309" i="3"/>
  <c r="E22" i="3"/>
  <c r="E329" i="3"/>
  <c r="E536" i="3"/>
  <c r="E140" i="3"/>
  <c r="E116" i="3"/>
  <c r="E286" i="3"/>
  <c r="E525" i="3"/>
  <c r="E564" i="3"/>
  <c r="E502" i="3"/>
  <c r="E456" i="3"/>
  <c r="E507" i="3"/>
  <c r="E430" i="3"/>
  <c r="E451" i="3"/>
  <c r="E376" i="3"/>
  <c r="AP6" i="3"/>
  <c r="E13" i="3"/>
  <c r="E419" i="3"/>
  <c r="E491" i="3"/>
  <c r="E420" i="3"/>
  <c r="E40" i="3"/>
  <c r="E37" i="3"/>
  <c r="E115" i="3"/>
  <c r="E119" i="3"/>
  <c r="E192" i="3"/>
  <c r="E281" i="3"/>
  <c r="E276" i="3"/>
  <c r="E363" i="3"/>
  <c r="E356" i="3"/>
  <c r="L6" i="3"/>
  <c r="E76" i="3"/>
  <c r="E205" i="3"/>
  <c r="E212" i="3"/>
  <c r="E393" i="3"/>
  <c r="T6" i="3"/>
  <c r="E466" i="3"/>
  <c r="E440" i="3"/>
  <c r="E556" i="3"/>
  <c r="E517" i="3"/>
  <c r="E401" i="3"/>
  <c r="E104" i="3"/>
  <c r="E152" i="3"/>
  <c r="E242" i="3"/>
  <c r="E332" i="3"/>
  <c r="E389" i="3"/>
  <c r="E43" i="3"/>
  <c r="E473" i="3"/>
  <c r="E412" i="3"/>
  <c r="E64" i="3"/>
  <c r="E103" i="3"/>
  <c r="E137" i="3"/>
  <c r="E220" i="3"/>
  <c r="E235" i="3"/>
  <c r="E371" i="3"/>
  <c r="E392" i="3"/>
  <c r="E52" i="3"/>
  <c r="E34" i="3"/>
  <c r="E144" i="3"/>
  <c r="E233" i="3"/>
  <c r="E364" i="3"/>
  <c r="E102" i="3"/>
  <c r="E113" i="3"/>
  <c r="E264" i="3"/>
  <c r="E365" i="3"/>
  <c r="E101" i="3"/>
  <c r="E435" i="3"/>
  <c r="J6" i="3"/>
  <c r="E194" i="3"/>
  <c r="E184" i="3"/>
  <c r="E118" i="3"/>
  <c r="E296" i="3"/>
  <c r="E493" i="3"/>
  <c r="E405" i="3"/>
  <c r="E541" i="3"/>
  <c r="E497" i="3"/>
  <c r="E463" i="3"/>
  <c r="E132" i="3"/>
  <c r="E391" i="3"/>
  <c r="E484" i="3"/>
  <c r="E38" i="3"/>
  <c r="E142" i="3"/>
  <c r="E299" i="3"/>
  <c r="E522" i="3"/>
  <c r="E147" i="3"/>
  <c r="E381" i="3"/>
  <c r="E176" i="3"/>
  <c r="E326" i="3"/>
  <c r="E108" i="3"/>
  <c r="E482" i="3"/>
  <c r="E170" i="3"/>
  <c r="E300" i="3"/>
  <c r="E86" i="3"/>
  <c r="E340" i="3"/>
  <c r="E80" i="3"/>
  <c r="E524" i="3"/>
  <c r="E539" i="3"/>
  <c r="E223" i="3"/>
  <c r="E369" i="3"/>
  <c r="R6" i="3"/>
  <c r="E486" i="3"/>
  <c r="E408" i="3"/>
  <c r="I3" i="6"/>
  <c r="E498" i="3"/>
  <c r="E470" i="3"/>
  <c r="E56" i="3"/>
  <c r="E178" i="3"/>
  <c r="E225" i="3"/>
  <c r="E292" i="3"/>
  <c r="E372" i="3"/>
  <c r="E94" i="3"/>
  <c r="E409" i="3"/>
  <c r="E425" i="3"/>
  <c r="E79" i="3"/>
  <c r="E78" i="3"/>
  <c r="E190" i="3"/>
  <c r="E200" i="3"/>
  <c r="E219" i="3"/>
  <c r="E339" i="3"/>
  <c r="E342" i="3"/>
  <c r="E23" i="3"/>
  <c r="E67" i="3"/>
  <c r="E123" i="3"/>
  <c r="E232" i="3"/>
  <c r="E370" i="3"/>
  <c r="E68" i="3"/>
  <c r="E62" i="3"/>
  <c r="E218" i="3"/>
  <c r="E308" i="3"/>
  <c r="E513" i="3"/>
  <c r="E199" i="3"/>
  <c r="E490" i="3"/>
  <c r="E41" i="3"/>
  <c r="E226" i="3"/>
  <c r="E544" i="3"/>
  <c r="E75" i="3"/>
  <c r="E455" i="3"/>
  <c r="E129" i="3"/>
  <c r="E267" i="3"/>
  <c r="E383" i="3"/>
  <c r="E84" i="3"/>
  <c r="E112" i="3"/>
  <c r="E251" i="3"/>
  <c r="E63" i="3"/>
  <c r="E287" i="3"/>
  <c r="E21" i="3"/>
  <c r="E188" i="3"/>
  <c r="E173" i="3"/>
  <c r="E499" i="3"/>
  <c r="E427" i="3"/>
  <c r="E512" i="3"/>
  <c r="E255" i="3"/>
  <c r="E452" i="3"/>
  <c r="E479" i="3"/>
  <c r="E139" i="3"/>
  <c r="E241" i="3"/>
  <c r="E333" i="3"/>
  <c r="E42" i="3"/>
  <c r="E540" i="3"/>
  <c r="E18" i="3"/>
  <c r="E46" i="3"/>
  <c r="E275" i="3"/>
  <c r="E310" i="3"/>
  <c r="AQ6" i="3"/>
  <c r="E49" i="3"/>
  <c r="E50" i="3"/>
  <c r="E283" i="3"/>
  <c r="E83" i="3"/>
  <c r="E373" i="3"/>
  <c r="E154" i="3"/>
  <c r="E341" i="3"/>
  <c r="E87" i="3"/>
  <c r="E584" i="3"/>
  <c r="E266" i="3"/>
  <c r="E195" i="3"/>
  <c r="E47" i="3"/>
  <c r="E488" i="3"/>
  <c r="E375" i="3"/>
  <c r="E297" i="3"/>
  <c r="E131" i="3"/>
  <c r="E436" i="3"/>
  <c r="E582" i="3"/>
  <c r="E459" i="3"/>
  <c r="E464" i="3"/>
  <c r="AD6" i="3"/>
  <c r="E149"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323" i="3"/>
  <c r="E19" i="3"/>
  <c r="E284" i="3"/>
  <c r="E48" i="3"/>
  <c r="E354" i="3"/>
  <c r="E209" i="3"/>
  <c r="E138" i="3"/>
  <c r="E446" i="3"/>
  <c r="E110" i="3"/>
  <c r="E378" i="3"/>
  <c r="E240" i="3"/>
  <c r="E57" i="3"/>
  <c r="E520" i="3"/>
  <c r="E500" i="3"/>
  <c r="E416" i="3"/>
  <c r="E421" i="3"/>
  <c r="E312" i="3"/>
  <c r="E244" i="3"/>
  <c r="E222" i="3"/>
  <c r="E51" i="3"/>
  <c r="E250" i="3"/>
  <c r="E24" i="3"/>
  <c r="E386" i="3"/>
  <c r="E248" i="3"/>
  <c r="E65" i="3"/>
  <c r="E521" i="3"/>
  <c r="E58" i="3"/>
  <c r="E348" i="3"/>
  <c r="E155" i="3"/>
  <c r="E90" i="3"/>
  <c r="E460" i="3"/>
  <c r="E566" i="3"/>
  <c r="E398" i="3"/>
  <c r="E552" i="3"/>
  <c r="E141" i="3"/>
  <c r="E165"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82" i="3"/>
  <c r="E179" i="3"/>
  <c r="Y6" i="3"/>
  <c r="E127" i="3"/>
  <c r="E66" i="3"/>
  <c r="E307" i="3"/>
  <c r="E163" i="3"/>
  <c r="E98" i="3"/>
  <c r="E462" i="3"/>
  <c r="E504" i="3"/>
  <c r="E259" i="3"/>
  <c r="E187" i="3"/>
  <c r="E39" i="3"/>
  <c r="E413" i="3"/>
  <c r="E374" i="3"/>
  <c r="E487" i="3"/>
  <c r="E542" i="3"/>
  <c r="E167" i="3"/>
  <c r="E122" i="3"/>
  <c r="E461" i="3"/>
  <c r="E136" i="3"/>
  <c r="E352" i="3"/>
  <c r="E306" i="3"/>
  <c r="E157" i="3"/>
  <c r="E224" i="3"/>
  <c r="E313" i="3"/>
  <c r="E532" i="3"/>
  <c r="E529" i="3"/>
  <c r="E474" i="3"/>
  <c r="E438" i="3"/>
  <c r="E288" i="3"/>
  <c r="W6" i="3"/>
  <c r="E537" i="3"/>
  <c r="E471" i="3"/>
  <c r="E475" i="3"/>
  <c r="E54" i="3"/>
  <c r="E168" i="3"/>
  <c r="E208" i="3"/>
  <c r="E257" i="3"/>
  <c r="E357" i="3"/>
  <c r="E93" i="3"/>
  <c r="E397" i="3"/>
  <c r="E196" i="3"/>
  <c r="E207" i="3"/>
  <c r="E145" i="3"/>
  <c r="E379" i="3"/>
  <c r="U6" i="3"/>
  <c r="E411" i="3"/>
  <c r="E548" i="3"/>
  <c r="E432" i="3"/>
  <c r="E367" i="3"/>
  <c r="E547" i="3"/>
  <c r="E403" i="3"/>
  <c r="E546" i="3"/>
  <c r="E71" i="3"/>
  <c r="E92" i="3"/>
  <c r="E126" i="3"/>
  <c r="E272" i="3"/>
  <c r="E291" i="3"/>
  <c r="E317" i="3"/>
  <c r="AM6" i="3"/>
  <c r="E29" i="3"/>
  <c r="E480" i="3"/>
  <c r="E334" i="3"/>
  <c r="E295" i="3"/>
  <c r="E121" i="3"/>
  <c r="E476" i="3"/>
  <c r="E414" i="3"/>
  <c r="E107" i="3"/>
  <c r="E567" i="3"/>
  <c r="E279" i="3"/>
  <c r="E433" i="3"/>
  <c r="E457" i="3"/>
  <c r="E519" i="3"/>
  <c r="E511" i="3"/>
  <c r="E253" i="3"/>
  <c r="E14" i="3"/>
  <c r="E59" i="40"/>
  <c r="D18" i="53"/>
  <c r="B35" i="72" s="1"/>
  <c r="C7" i="74"/>
  <c r="J7" i="37"/>
  <c r="AC7" i="37" s="1"/>
  <c r="V42" i="37" s="1"/>
  <c r="I42" i="37" s="1"/>
  <c r="E30" i="6"/>
  <c r="E56" i="39"/>
  <c r="H7" i="34"/>
  <c r="AB7" i="34" s="1"/>
  <c r="E67" i="39"/>
  <c r="E69" i="39" s="1"/>
  <c r="J7" i="34"/>
  <c r="W7" i="34" s="1"/>
  <c r="F7" i="34"/>
  <c r="S7" i="34" s="1"/>
  <c r="AA26" i="35"/>
  <c r="S26" i="35"/>
  <c r="AC26" i="35"/>
  <c r="W26" i="35"/>
  <c r="AB26" i="35"/>
  <c r="U26" i="35"/>
  <c r="E56" i="40"/>
  <c r="C9" i="69"/>
  <c r="C9" i="68"/>
  <c r="E72" i="43"/>
  <c r="B70" i="43" s="1"/>
  <c r="F27" i="11"/>
  <c r="C29" i="11" s="1"/>
  <c r="D27" i="11" s="1"/>
  <c r="E27" i="6"/>
  <c r="K26" i="6" s="1"/>
  <c r="M26" i="6" s="1"/>
  <c r="I26" i="6" s="1"/>
  <c r="S26" i="6" s="1"/>
  <c r="F31" i="6"/>
  <c r="E51" i="40"/>
  <c r="E58" i="40"/>
  <c r="E62" i="39"/>
  <c r="AY6" i="3"/>
  <c r="E3" i="6"/>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AC7" i="36"/>
  <c r="V36" i="36" s="1"/>
  <c r="I36" i="36" s="1"/>
  <c r="W7" i="36"/>
  <c r="F7" i="37"/>
  <c r="D14" i="71"/>
  <c r="C13" i="71"/>
  <c r="M17" i="15"/>
  <c r="P28" i="43"/>
  <c r="B66" i="40" s="1"/>
  <c r="P25" i="43"/>
  <c r="P29" i="43"/>
  <c r="P27" i="43"/>
  <c r="B70" i="39" s="1"/>
  <c r="J18" i="15"/>
  <c r="M11" i="67"/>
  <c r="J10" i="67" s="1"/>
  <c r="F11" i="15"/>
  <c r="M11" i="15"/>
  <c r="J10" i="15" s="1"/>
  <c r="J5" i="15" s="1"/>
  <c r="J24" i="15" s="1"/>
  <c r="F11" i="67"/>
  <c r="C32" i="15"/>
  <c r="Q74" i="15"/>
  <c r="Q61" i="15"/>
  <c r="AE11" i="1"/>
  <c r="AE9" i="1"/>
  <c r="F27" i="68"/>
  <c r="AE8" i="1"/>
  <c r="AE12" i="1"/>
  <c r="AE10" i="1"/>
  <c r="C16" i="67"/>
  <c r="C16" i="15"/>
  <c r="F28" i="12" l="1"/>
  <c r="C29" i="12" s="1"/>
  <c r="D28" i="12" s="1"/>
  <c r="C49" i="15"/>
  <c r="O6" i="1"/>
  <c r="L26" i="1"/>
  <c r="M26" i="1" s="1"/>
  <c r="M25" i="1" s="1"/>
  <c r="M31" i="1" s="1"/>
  <c r="N31" i="1" s="1"/>
  <c r="U18" i="1"/>
  <c r="E60" i="40"/>
  <c r="C33" i="98"/>
  <c r="AA7" i="98"/>
  <c r="S7" i="98"/>
  <c r="U7" i="98"/>
  <c r="AB7" i="98"/>
  <c r="F67" i="39"/>
  <c r="F69" i="39" s="1"/>
  <c r="AC7" i="98"/>
  <c r="W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J5" i="67"/>
  <c r="J24" i="67" s="1"/>
  <c r="C33" i="33"/>
  <c r="H33" i="33" s="1"/>
  <c r="C34" i="34"/>
  <c r="Q66" i="82"/>
  <c r="Q74" i="82"/>
  <c r="F1" i="82"/>
  <c r="Q52" i="67"/>
  <c r="U25" i="33"/>
  <c r="AB25" i="33"/>
  <c r="N58" i="43"/>
  <c r="D58" i="43"/>
  <c r="M14" i="1"/>
  <c r="M16" i="1" s="1"/>
  <c r="Q73" i="67"/>
  <c r="Q60" i="15"/>
  <c r="E16" i="6"/>
  <c r="E61" i="39"/>
  <c r="F10" i="39"/>
  <c r="H10" i="39"/>
  <c r="U10" i="39" s="1"/>
  <c r="J10" i="40"/>
  <c r="AC10" i="40" s="1"/>
  <c r="F10" i="40"/>
  <c r="S10" i="40" s="1"/>
  <c r="H10" i="40"/>
  <c r="AB10" i="40" s="1"/>
  <c r="C29" i="69"/>
  <c r="D27" i="69" s="1"/>
  <c r="C47" i="69"/>
  <c r="D45" i="69" s="1"/>
  <c r="J10" i="39"/>
  <c r="W10" i="39" s="1"/>
  <c r="Q52" i="15"/>
  <c r="F1" i="15"/>
  <c r="B14" i="74"/>
  <c r="D33" i="43"/>
  <c r="D1" i="43" s="1"/>
  <c r="J55" i="43"/>
  <c r="D55" i="43"/>
  <c r="J56" i="43"/>
  <c r="D56" i="43"/>
  <c r="J51" i="43"/>
  <c r="D51" i="43"/>
  <c r="J52" i="43"/>
  <c r="D52" i="43"/>
  <c r="J53" i="43"/>
  <c r="D53" i="43"/>
  <c r="W7" i="37"/>
  <c r="J19" i="82"/>
  <c r="J5" i="82"/>
  <c r="J24" i="82" s="1"/>
  <c r="L36" i="43"/>
  <c r="N36" i="43" s="1"/>
  <c r="F24" i="82"/>
  <c r="C10" i="82"/>
  <c r="C5" i="82" s="1"/>
  <c r="C53" i="82"/>
  <c r="C48" i="82" s="1"/>
  <c r="L30" i="1"/>
  <c r="N30" i="1" s="1"/>
  <c r="H6" i="3"/>
  <c r="AC6" i="3"/>
  <c r="E65" i="39"/>
  <c r="AC7" i="34"/>
  <c r="U7" i="34"/>
  <c r="AA7" i="34"/>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U7" i="37"/>
  <c r="G67"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48" i="67" s="1"/>
  <c r="C53" i="15"/>
  <c r="C10" i="15"/>
  <c r="C5" i="15" s="1"/>
  <c r="C38" i="15" s="1"/>
  <c r="F25" i="12"/>
  <c r="F22" i="69"/>
  <c r="F41" i="69" s="1"/>
  <c r="F24" i="67"/>
  <c r="C24" i="67" s="1"/>
  <c r="F22" i="11"/>
  <c r="F22" i="68"/>
  <c r="F24" i="15"/>
  <c r="C24" i="15" s="1"/>
  <c r="M27" i="67"/>
  <c r="AE6" i="1"/>
  <c r="M27" i="15"/>
  <c r="C48" i="15" l="1"/>
  <c r="C66" i="15" s="1"/>
  <c r="L32" i="1"/>
  <c r="L29" i="1"/>
  <c r="N29" i="1" s="1"/>
  <c r="N32" i="1" s="1"/>
  <c r="M32" i="1" s="1"/>
  <c r="B1" i="74"/>
  <c r="J33" i="33"/>
  <c r="AB10" i="39"/>
  <c r="F33" i="33"/>
  <c r="AA33" i="33" s="1"/>
  <c r="R48" i="33" s="1"/>
  <c r="E48" i="33" s="1"/>
  <c r="J33" i="98"/>
  <c r="H33" i="98"/>
  <c r="F33" i="98"/>
  <c r="U10" i="40"/>
  <c r="Q61" i="67"/>
  <c r="Q74" i="67"/>
  <c r="H34" i="34"/>
  <c r="F34" i="34"/>
  <c r="J34" i="34"/>
  <c r="W10" i="40"/>
  <c r="AC10" i="39"/>
  <c r="AC33" i="33"/>
  <c r="V48" i="33" s="1"/>
  <c r="I48" i="33" s="1"/>
  <c r="I52" i="33" s="1"/>
  <c r="J52" i="33" s="1"/>
  <c r="W33" i="33"/>
  <c r="AB33" i="33"/>
  <c r="T48" i="33" s="1"/>
  <c r="U33" i="33"/>
  <c r="AA10" i="40"/>
  <c r="S10" i="39"/>
  <c r="AA10" i="39"/>
  <c r="E6" i="3"/>
  <c r="E50" i="43"/>
  <c r="B48" i="43" s="1"/>
  <c r="C28" i="43" s="1"/>
  <c r="J26" i="82"/>
  <c r="Q36" i="43"/>
  <c r="M36" i="43"/>
  <c r="P36" i="43"/>
  <c r="O36" i="43"/>
  <c r="L37" i="43"/>
  <c r="P37" i="43" s="1"/>
  <c r="C38" i="82"/>
  <c r="C24" i="82"/>
  <c r="C66" i="82"/>
  <c r="C60" i="82"/>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D19" i="6"/>
  <c r="M19" i="9" s="1"/>
  <c r="C118" i="9" s="1"/>
  <c r="B2" i="74" s="1"/>
  <c r="C18" i="4"/>
  <c r="D23" i="6"/>
  <c r="D5" i="6"/>
  <c r="D12" i="6"/>
  <c r="D11" i="6"/>
  <c r="D13" i="6"/>
  <c r="D28" i="6"/>
  <c r="E61" i="40"/>
  <c r="H26" i="6"/>
  <c r="P14" i="1"/>
  <c r="P16" i="1" s="1"/>
  <c r="C11" i="12" s="1"/>
  <c r="N16" i="1"/>
  <c r="L16" i="1"/>
  <c r="H67" i="39"/>
  <c r="G69" i="39"/>
  <c r="D11" i="71"/>
  <c r="C10" i="71"/>
  <c r="E40" i="36"/>
  <c r="F40" i="36" s="1"/>
  <c r="E41" i="36"/>
  <c r="F41" i="36"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15"/>
  <c r="C17" i="82"/>
  <c r="C14" i="67"/>
  <c r="F41" i="15"/>
  <c r="F69" i="15" l="1"/>
  <c r="S33" i="33"/>
  <c r="H24" i="6"/>
  <c r="S33" i="98"/>
  <c r="AA33" i="98"/>
  <c r="R48" i="98" s="1"/>
  <c r="AB33" i="98"/>
  <c r="T48" i="98" s="1"/>
  <c r="G48" i="98" s="1"/>
  <c r="U33" i="98"/>
  <c r="W33" i="98"/>
  <c r="AC33" i="98"/>
  <c r="V48" i="98" s="1"/>
  <c r="I48" i="98" s="1"/>
  <c r="AC34" i="34"/>
  <c r="V49" i="34" s="1"/>
  <c r="I49" i="34" s="1"/>
  <c r="W34" i="34"/>
  <c r="AA34" i="34"/>
  <c r="R49" i="34" s="1"/>
  <c r="E49" i="34" s="1"/>
  <c r="E53" i="34" s="1"/>
  <c r="F53" i="34" s="1"/>
  <c r="S34" i="34"/>
  <c r="AB34" i="34"/>
  <c r="U34" i="34"/>
  <c r="G48" i="33"/>
  <c r="E53" i="33" s="1"/>
  <c r="F53" i="33" s="1"/>
  <c r="R49" i="33"/>
  <c r="C49" i="33" s="1"/>
  <c r="I53" i="33"/>
  <c r="J53" i="33" s="1"/>
  <c r="H22" i="6"/>
  <c r="R22" i="6" s="1"/>
  <c r="R9" i="1" s="1"/>
  <c r="C25" i="11"/>
  <c r="C22" i="11" s="1"/>
  <c r="C31" i="11" s="1"/>
  <c r="D30" i="6"/>
  <c r="H21" i="6"/>
  <c r="R21" i="6" s="1"/>
  <c r="R8" i="1" s="1"/>
  <c r="C40" i="43"/>
  <c r="T8" i="43"/>
  <c r="V8" i="43" s="1"/>
  <c r="T15" i="43"/>
  <c r="V15" i="43" s="1"/>
  <c r="T7" i="43"/>
  <c r="V7" i="43" s="1"/>
  <c r="T10" i="43"/>
  <c r="V10" i="43" s="1"/>
  <c r="T2" i="43"/>
  <c r="C37" i="43"/>
  <c r="T16" i="43"/>
  <c r="V16" i="43" s="1"/>
  <c r="T13" i="43"/>
  <c r="V13" i="43" s="1"/>
  <c r="T6" i="43"/>
  <c r="V6" i="43" s="1"/>
  <c r="C41" i="43"/>
  <c r="T11" i="43"/>
  <c r="T14" i="43"/>
  <c r="V14" i="43" s="1"/>
  <c r="T4" i="43"/>
  <c r="V4" i="43" s="1"/>
  <c r="T5" i="43"/>
  <c r="V5" i="43" s="1"/>
  <c r="C39" i="43"/>
  <c r="T9" i="43"/>
  <c r="V9" i="43" s="1"/>
  <c r="T12" i="43"/>
  <c r="V12" i="43" s="1"/>
  <c r="T3" i="43"/>
  <c r="C42" i="43"/>
  <c r="C38" i="43"/>
  <c r="H25" i="6"/>
  <c r="R25" i="6" s="1"/>
  <c r="R12" i="1" s="1"/>
  <c r="E7" i="70"/>
  <c r="Q37" i="43"/>
  <c r="M37" i="43"/>
  <c r="O37" i="43"/>
  <c r="N37" i="43"/>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C10" i="69"/>
  <c r="B29" i="1" s="1"/>
  <c r="D19" i="69"/>
  <c r="F50" i="69"/>
  <c r="F50" i="11"/>
  <c r="F50" i="68"/>
  <c r="C4" i="52"/>
  <c r="B45" i="72" s="1"/>
  <c r="A10" i="51"/>
  <c r="B9" i="72" s="1"/>
  <c r="A7" i="51"/>
  <c r="B7" i="72" s="1"/>
  <c r="C10" i="68"/>
  <c r="D19" i="68"/>
  <c r="H69" i="39"/>
  <c r="I67" i="39"/>
  <c r="D10" i="71"/>
  <c r="C9" i="71"/>
  <c r="C8" i="71" s="1"/>
  <c r="G65" i="40"/>
  <c r="H63" i="40"/>
  <c r="C43" i="37"/>
  <c r="C42" i="37"/>
  <c r="I48" i="35"/>
  <c r="C48" i="33"/>
  <c r="H58" i="21"/>
  <c r="E47" i="37"/>
  <c r="F47" i="37" s="1"/>
  <c r="E46" i="37"/>
  <c r="F46" i="37" s="1"/>
  <c r="I47" i="37"/>
  <c r="J47" i="37" s="1"/>
  <c r="E52" i="33"/>
  <c r="F52" i="33" s="1"/>
  <c r="C33" i="15"/>
  <c r="J19" i="67"/>
  <c r="C34" i="68"/>
  <c r="C14" i="82"/>
  <c r="C14" i="15"/>
  <c r="F35" i="82"/>
  <c r="M21" i="82"/>
  <c r="V11" i="43" l="1"/>
  <c r="C6" i="69"/>
  <c r="D31" i="6"/>
  <c r="I5" i="6" s="1"/>
  <c r="G53" i="98"/>
  <c r="H53" i="98" s="1"/>
  <c r="G52" i="98"/>
  <c r="H52" i="98" s="1"/>
  <c r="I52" i="98"/>
  <c r="J52" i="98" s="1"/>
  <c r="R49" i="98"/>
  <c r="E48" i="98"/>
  <c r="I53" i="98" s="1"/>
  <c r="J53" i="98" s="1"/>
  <c r="C8" i="69"/>
  <c r="C8" i="68"/>
  <c r="I53" i="34"/>
  <c r="J53" i="34" s="1"/>
  <c r="I54" i="34"/>
  <c r="J54" i="34" s="1"/>
  <c r="V3" i="43"/>
  <c r="W3" i="43"/>
  <c r="V2" i="43"/>
  <c r="W2" i="43"/>
  <c r="E2" i="70"/>
  <c r="G52" i="33"/>
  <c r="H52" i="33" s="1"/>
  <c r="G53" i="33"/>
  <c r="H53" i="33" s="1"/>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69" i="39"/>
  <c r="J67" i="39"/>
  <c r="D9" i="71"/>
  <c r="I63" i="40"/>
  <c r="H65" i="40"/>
  <c r="I58" i="21"/>
  <c r="J58" i="21" s="1"/>
  <c r="K58" i="21" s="1"/>
  <c r="L58" i="21" s="1"/>
  <c r="M58" i="21" s="1"/>
  <c r="N58" i="21" s="1"/>
  <c r="O58" i="21" s="1"/>
  <c r="H7" i="21" s="1"/>
  <c r="J48" i="35"/>
  <c r="I6" i="6" l="1"/>
  <c r="G3" i="43" s="1"/>
  <c r="E26" i="43" s="1"/>
  <c r="E53" i="98"/>
  <c r="F53" i="98" s="1"/>
  <c r="E52" i="98"/>
  <c r="F52" i="98" s="1"/>
  <c r="C49" i="98"/>
  <c r="C48" i="98"/>
  <c r="C18" i="12"/>
  <c r="C21" i="12" s="1"/>
  <c r="C22" i="12" s="1"/>
  <c r="C27" i="12" s="1"/>
  <c r="C25" i="12" s="1"/>
  <c r="C20" i="82"/>
  <c r="C26" i="82" s="1"/>
  <c r="G26" i="43"/>
  <c r="N370" i="46"/>
  <c r="J26" i="43"/>
  <c r="N94" i="46"/>
  <c r="H26" i="43"/>
  <c r="B116" i="43"/>
  <c r="Z7" i="43"/>
  <c r="F7" i="21"/>
  <c r="S7" i="21" s="1"/>
  <c r="J7" i="21"/>
  <c r="W7" i="21" s="1"/>
  <c r="D7" i="71"/>
  <c r="C6" i="7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J63" i="40"/>
  <c r="I65" i="40"/>
  <c r="K48" i="35"/>
  <c r="L48" i="35" s="1"/>
  <c r="M48" i="35" s="1"/>
  <c r="N48" i="35" s="1"/>
  <c r="O48" i="35" s="1"/>
  <c r="H7" i="35" s="1"/>
  <c r="F26" i="43" l="1"/>
  <c r="D26" i="43" s="1"/>
  <c r="C25" i="43" s="1"/>
  <c r="C33" i="43" s="1"/>
  <c r="B3" i="98"/>
  <c r="B2" i="98"/>
  <c r="C32" i="67"/>
  <c r="C33" i="67"/>
  <c r="C23" i="82"/>
  <c r="C29" i="82" s="1"/>
  <c r="J59" i="82"/>
  <c r="J60" i="82" s="1"/>
  <c r="C30" i="12"/>
  <c r="C28"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R49" i="21" s="1"/>
  <c r="J7" i="35"/>
  <c r="W7" i="35" s="1"/>
  <c r="D6" i="71"/>
  <c r="C5" i="71"/>
  <c r="Q49" i="67"/>
  <c r="J14" i="67"/>
  <c r="J13" i="67" s="1"/>
  <c r="J23" i="67" s="1"/>
  <c r="C36" i="67"/>
  <c r="C57" i="67"/>
  <c r="C64" i="67" s="1"/>
  <c r="C13" i="67"/>
  <c r="Q70" i="67" s="1"/>
  <c r="C33" i="11"/>
  <c r="C39" i="11" s="1"/>
  <c r="C61" i="67"/>
  <c r="C42" i="68"/>
  <c r="C23" i="15"/>
  <c r="C29" i="15" s="1"/>
  <c r="C41" i="69"/>
  <c r="R27" i="6"/>
  <c r="R6" i="1"/>
  <c r="H37" i="34" s="1"/>
  <c r="C46" i="69"/>
  <c r="C45" i="69" s="1"/>
  <c r="C46" i="68"/>
  <c r="C45" i="68" s="1"/>
  <c r="C43" i="68"/>
  <c r="L67" i="39"/>
  <c r="K69" i="39"/>
  <c r="J65" i="40"/>
  <c r="K63" i="40"/>
  <c r="I52" i="21"/>
  <c r="J52" i="21" s="1"/>
  <c r="U7" i="35"/>
  <c r="AB7" i="35"/>
  <c r="T38" i="35" s="1"/>
  <c r="G38" i="35" s="1"/>
  <c r="G52" i="21"/>
  <c r="H52" i="21" s="1"/>
  <c r="F7" i="35"/>
  <c r="M21" i="67"/>
  <c r="F35" i="15"/>
  <c r="M21" i="15"/>
  <c r="F6" i="67"/>
  <c r="F35" i="67"/>
  <c r="F31" i="67" l="1"/>
  <c r="C6" i="67"/>
  <c r="C10" i="67" s="1"/>
  <c r="C5" i="67" s="1"/>
  <c r="C38" i="67" s="1"/>
  <c r="U37" i="34"/>
  <c r="AB37" i="34"/>
  <c r="T49" i="34" s="1"/>
  <c r="C7" i="69"/>
  <c r="C5" i="69" s="1"/>
  <c r="E48" i="21"/>
  <c r="I53" i="21" s="1"/>
  <c r="J53" i="21" s="1"/>
  <c r="C57" i="82"/>
  <c r="C64" i="82" s="1"/>
  <c r="C36" i="82"/>
  <c r="Q49" i="82"/>
  <c r="J14" i="82"/>
  <c r="J22" i="82" s="1"/>
  <c r="C13" i="82"/>
  <c r="C75" i="82" s="1"/>
  <c r="L46" i="82"/>
  <c r="E2" i="77" s="1"/>
  <c r="Q48" i="82"/>
  <c r="C34" i="43"/>
  <c r="E34" i="43" s="1"/>
  <c r="C31" i="43" s="1"/>
  <c r="E33" i="43"/>
  <c r="C118" i="43"/>
  <c r="D116" i="43" s="1"/>
  <c r="AC7" i="35"/>
  <c r="V38" i="35" s="1"/>
  <c r="I38" i="35" s="1"/>
  <c r="G43" i="35" s="1"/>
  <c r="H43" i="35" s="1"/>
  <c r="D5" i="71"/>
  <c r="M24" i="43" s="1"/>
  <c r="C56" i="67"/>
  <c r="C65" i="67" s="1"/>
  <c r="J22" i="67"/>
  <c r="C37" i="67"/>
  <c r="C75" i="67"/>
  <c r="C36" i="15"/>
  <c r="J59" i="15"/>
  <c r="J60" i="15" s="1"/>
  <c r="Q48" i="15" s="1"/>
  <c r="C46" i="11"/>
  <c r="C45" i="11" s="1"/>
  <c r="C43" i="11"/>
  <c r="C42" i="11"/>
  <c r="C34" i="67"/>
  <c r="F63" i="67"/>
  <c r="C62" i="67" s="1"/>
  <c r="C59" i="67" s="1"/>
  <c r="J20" i="67"/>
  <c r="J17" i="67" s="1"/>
  <c r="J19" i="15"/>
  <c r="C41" i="68"/>
  <c r="C49" i="68" s="1"/>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31" i="67" l="1"/>
  <c r="C30" i="67" s="1"/>
  <c r="C39" i="67" s="1"/>
  <c r="H41" i="67" s="1"/>
  <c r="G49" i="34"/>
  <c r="G54" i="34" s="1"/>
  <c r="H54" i="34" s="1"/>
  <c r="R50" i="34"/>
  <c r="C23" i="69"/>
  <c r="C20" i="69"/>
  <c r="E53" i="21"/>
  <c r="F53" i="21" s="1"/>
  <c r="E52" i="21"/>
  <c r="F52" i="21" s="1"/>
  <c r="I42" i="35"/>
  <c r="J42" i="35" s="1"/>
  <c r="Q70" i="82"/>
  <c r="J13" i="82"/>
  <c r="J23" i="82" s="1"/>
  <c r="J16" i="82" s="1"/>
  <c r="J25" i="82" s="1"/>
  <c r="C56" i="82"/>
  <c r="C65" i="82" s="1"/>
  <c r="C58" i="82" s="1"/>
  <c r="C67" i="82" s="1"/>
  <c r="C37" i="82"/>
  <c r="C30" i="82" s="1"/>
  <c r="C39" i="82" s="1"/>
  <c r="C80" i="82" s="1"/>
  <c r="C79" i="82" s="1"/>
  <c r="C30" i="43"/>
  <c r="C51" i="68"/>
  <c r="D13" i="77"/>
  <c r="D12" i="77" s="1"/>
  <c r="D11" i="77" s="1"/>
  <c r="C58" i="67"/>
  <c r="C67" i="67" s="1"/>
  <c r="J16" i="67"/>
  <c r="J25" i="67" s="1"/>
  <c r="J26"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E6" i="76"/>
  <c r="Q69" i="67" l="1"/>
  <c r="Q68" i="67" s="1"/>
  <c r="E54" i="34"/>
  <c r="F54" i="34" s="1"/>
  <c r="G53" i="34"/>
  <c r="H53" i="34" s="1"/>
  <c r="C50" i="34"/>
  <c r="C49" i="34"/>
  <c r="C28" i="69"/>
  <c r="C27" i="69" s="1"/>
  <c r="C25" i="69"/>
  <c r="C22" i="69" s="1"/>
  <c r="Q69" i="82"/>
  <c r="Q68" i="82" s="1"/>
  <c r="E2" i="76"/>
  <c r="B2" i="43"/>
  <c r="C6" i="68" s="1"/>
  <c r="C7" i="68" s="1"/>
  <c r="C5" i="68" s="1"/>
  <c r="E11" i="77"/>
  <c r="D7" i="77"/>
  <c r="C26" i="77" s="1"/>
  <c r="C32" i="77" s="1"/>
  <c r="C38" i="77" s="1"/>
  <c r="C39" i="77" s="1"/>
  <c r="C80" i="67"/>
  <c r="C79"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L51" i="82"/>
  <c r="B6" i="76"/>
  <c r="Q67" i="82" l="1"/>
  <c r="C31" i="69"/>
  <c r="C52" i="69" s="1"/>
  <c r="C57" i="69" s="1"/>
  <c r="C56" i="69" s="1"/>
  <c r="Q69" i="15"/>
  <c r="Q68" i="15" s="1"/>
  <c r="B2" i="76"/>
  <c r="B3" i="76" s="1"/>
  <c r="C23" i="68"/>
  <c r="C20" i="68"/>
  <c r="B3" i="43"/>
  <c r="E7" i="77"/>
  <c r="D27" i="77"/>
  <c r="D26" i="77" s="1"/>
  <c r="D32" i="77" s="1"/>
  <c r="D38" i="77" s="1"/>
  <c r="D39" i="77" s="1"/>
  <c r="C40" i="77" s="1"/>
  <c r="L57" i="67"/>
  <c r="L60" i="67" s="1"/>
  <c r="L46" i="67" s="1"/>
  <c r="Q67" i="67"/>
  <c r="B2" i="33"/>
  <c r="B3" i="33" s="1"/>
  <c r="C80" i="15"/>
  <c r="C79" i="15" s="1"/>
  <c r="C40" i="15"/>
  <c r="C46" i="15" s="1"/>
  <c r="H7" i="39"/>
  <c r="J7" i="39"/>
  <c r="S7" i="39"/>
  <c r="AA7" i="39"/>
  <c r="R47" i="39" s="1"/>
  <c r="O63" i="40"/>
  <c r="O65" i="40" s="1"/>
  <c r="N65" i="40"/>
  <c r="AE7" i="1"/>
  <c r="D2" i="37"/>
  <c r="F41" i="67"/>
  <c r="L51" i="15"/>
  <c r="D2" i="34"/>
  <c r="D2" i="35"/>
  <c r="D2" i="36"/>
  <c r="F69" i="67" l="1"/>
  <c r="C68" i="67" s="1"/>
  <c r="C71" i="67" s="1"/>
  <c r="J29" i="67"/>
  <c r="C40" i="67"/>
  <c r="B2" i="69"/>
  <c r="B3" i="69" s="1"/>
  <c r="C27" i="77"/>
  <c r="C28" i="68"/>
  <c r="C27" i="68" s="1"/>
  <c r="C25" i="68"/>
  <c r="C22" i="68" s="1"/>
  <c r="C41" i="77"/>
  <c r="Q57" i="67"/>
  <c r="Q66"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2" i="1"/>
  <c r="AO8" i="1"/>
  <c r="AO11" i="1"/>
  <c r="F41" i="82"/>
  <c r="AO9" i="1"/>
  <c r="D2" i="67" l="1"/>
  <c r="B2" i="67" s="1"/>
  <c r="C45" i="67"/>
  <c r="C46" i="67" s="1"/>
  <c r="C83" i="67"/>
  <c r="C82" i="67" s="1"/>
  <c r="C43" i="67"/>
  <c r="Q47" i="67"/>
  <c r="Q53" i="67" s="1"/>
  <c r="Q65" i="67"/>
  <c r="Q75" i="67" s="1"/>
  <c r="Q56" i="67"/>
  <c r="Q62" i="67" s="1"/>
  <c r="C40" i="82"/>
  <c r="C43" i="82" s="1"/>
  <c r="F69" i="82"/>
  <c r="C68" i="82" s="1"/>
  <c r="C71" i="82" s="1"/>
  <c r="J29" i="82"/>
  <c r="C31" i="68"/>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C19" i="9"/>
  <c r="B3" i="67" l="1"/>
  <c r="Q47" i="82"/>
  <c r="Q53" i="82" s="1"/>
  <c r="C83" i="82"/>
  <c r="C82" i="82" s="1"/>
  <c r="Q65" i="82"/>
  <c r="Q75" i="82" s="1"/>
  <c r="B2" i="82"/>
  <c r="B3" i="82" s="1"/>
  <c r="Q56" i="82"/>
  <c r="Q62" i="82" s="1"/>
  <c r="C46" i="82"/>
  <c r="C57" i="68"/>
  <c r="C56" i="68" s="1"/>
  <c r="C102" i="9"/>
  <c r="C21" i="9"/>
  <c r="B3" i="68"/>
  <c r="B2" i="77"/>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AO7" i="1"/>
  <c r="B7" i="70" l="1"/>
  <c r="B2" i="70" s="1"/>
  <c r="B3" i="77"/>
  <c r="C103" i="9"/>
  <c r="C42" i="40"/>
  <c r="C43" i="40"/>
  <c r="E47" i="40"/>
  <c r="F47" i="40" s="1"/>
  <c r="E46" i="40"/>
  <c r="F46" i="40" s="1"/>
  <c r="I47" i="40"/>
  <c r="J47" i="40" s="1"/>
  <c r="D19" i="9"/>
  <c r="D22" i="9" l="1"/>
  <c r="G19" i="9"/>
  <c r="D14" i="74" s="1"/>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D103" i="9"/>
  <c r="G21" i="9"/>
  <c r="C32" i="9" l="1"/>
  <c r="R24" i="31" s="1"/>
  <c r="S24" i="31" s="1"/>
  <c r="U24" i="31" s="1"/>
  <c r="E14" i="74"/>
  <c r="R25" i="31" l="1"/>
  <c r="S25" i="31" s="1"/>
  <c r="U25" i="31" s="1"/>
  <c r="R27" i="31"/>
  <c r="S27" i="31" s="1"/>
  <c r="U27" i="31" s="1"/>
  <c r="R26" i="31"/>
  <c r="S26" i="31" s="1"/>
  <c r="U26" i="31" s="1"/>
  <c r="E15" i="74"/>
  <c r="F15" i="74"/>
  <c r="I118" i="9"/>
  <c r="H118" i="9" s="1"/>
  <c r="H119" i="9" s="1"/>
  <c r="H5" i="52" s="1"/>
  <c r="D35" i="9"/>
  <c r="D34" i="9"/>
  <c r="S22" i="31" l="1"/>
  <c r="R22" i="31" s="1"/>
  <c r="C35" i="9"/>
  <c r="I4" i="52"/>
  <c r="C105" i="9"/>
  <c r="C104" i="9"/>
  <c r="H101" i="9"/>
  <c r="M48" i="9" s="1"/>
  <c r="H4" i="52"/>
  <c r="H102" i="9"/>
  <c r="D7" i="53" s="1"/>
  <c r="B21" i="72" s="1"/>
  <c r="F14" i="74"/>
  <c r="B5" i="74"/>
  <c r="D5" i="74" s="1"/>
  <c r="B20" i="31" l="1"/>
  <c r="B21" i="31" s="1"/>
  <c r="H107" i="9"/>
  <c r="D13" i="53" s="1"/>
  <c r="B30" i="72" s="1"/>
  <c r="G118" i="9"/>
  <c r="C34" i="9"/>
  <c r="D5" i="53"/>
  <c r="B20" i="72" s="1"/>
  <c r="D45" i="9"/>
  <c r="D53" i="9" s="1"/>
  <c r="C5" i="74"/>
  <c r="D14" i="53" l="1"/>
  <c r="B32" i="72" s="1"/>
  <c r="G14" i="74"/>
  <c r="B6" i="74" s="1"/>
  <c r="D6" i="74" s="1"/>
  <c r="H108" i="9"/>
  <c r="D108" i="9" s="1"/>
  <c r="M49" i="9"/>
  <c r="D122" i="9"/>
  <c r="D123" i="9" s="1"/>
  <c r="D9" i="52" s="1"/>
  <c r="G4" i="52"/>
  <c r="B52" i="72" s="1"/>
  <c r="F118" i="9"/>
  <c r="E118" i="9"/>
  <c r="D6" i="53"/>
  <c r="B22" i="72" s="1"/>
  <c r="D55" i="9"/>
  <c r="M53" i="9" s="1"/>
  <c r="C78" i="9"/>
  <c r="C73" i="9" s="1"/>
  <c r="D52" i="9"/>
  <c r="C93" i="9"/>
  <c r="C86" i="9" s="1"/>
  <c r="C72" i="9"/>
  <c r="C64" i="9"/>
  <c r="C63" i="9" s="1"/>
  <c r="C67" i="9" s="1"/>
  <c r="C68" i="9" s="1"/>
  <c r="D54" i="9" s="1"/>
  <c r="D48" i="9" s="1"/>
  <c r="M52" i="9" s="1"/>
  <c r="C85" i="9"/>
  <c r="D8" i="52"/>
  <c r="L67" i="9" l="1"/>
  <c r="M67" i="9" s="1"/>
  <c r="C6" i="74"/>
  <c r="D15" i="53"/>
  <c r="B31" i="72" s="1"/>
  <c r="L65" i="9"/>
  <c r="M65" i="9" s="1"/>
  <c r="L68" i="9"/>
  <c r="M68" i="9" s="1"/>
  <c r="L64" i="9"/>
  <c r="M64" i="9" s="1"/>
  <c r="L63" i="9"/>
  <c r="M63" i="9" s="1"/>
  <c r="L66" i="9"/>
  <c r="M66" i="9" s="1"/>
  <c r="E4" i="52"/>
  <c r="B48" i="72" s="1"/>
  <c r="D118" i="9"/>
  <c r="F119" i="9"/>
  <c r="F5" i="52" s="1"/>
  <c r="B53" i="72" s="1"/>
  <c r="F4" i="52"/>
  <c r="B51" i="72" s="1"/>
  <c r="D59" i="9"/>
  <c r="M55" i="9" s="1"/>
  <c r="C79" i="9"/>
  <c r="C80" i="9" s="1"/>
  <c r="E80" i="9" s="1"/>
  <c r="E81" i="9" s="1"/>
  <c r="C95" i="9"/>
  <c r="C96" i="9" s="1"/>
  <c r="E96" i="9" s="1"/>
  <c r="E97" i="9" s="1"/>
  <c r="M69" i="9" l="1"/>
  <c r="N69" i="9" s="1"/>
  <c r="D4" i="52"/>
  <c r="B47" i="72" s="1"/>
  <c r="D119" i="9"/>
  <c r="D5" i="52" s="1"/>
  <c r="B49" i="72" s="1"/>
  <c r="C81" i="9"/>
  <c r="C97" i="9"/>
  <c r="D58" i="9" l="1"/>
  <c r="D56" i="9" s="1"/>
  <c r="M54" i="9" s="1"/>
  <c r="N57" i="9" s="1"/>
  <c r="N59" i="9" l="1"/>
  <c r="N60" i="9" s="1"/>
  <c r="N58" i="9"/>
  <c r="H111" i="9" l="1"/>
  <c r="D126" i="9" s="1"/>
  <c r="N61" i="9"/>
  <c r="H112" i="9" s="1"/>
  <c r="D112" i="9" s="1"/>
  <c r="D21" i="53" l="1"/>
  <c r="B39" i="72" s="1"/>
  <c r="D19" i="53"/>
  <c r="B38" i="72" s="1"/>
  <c r="C8" i="74"/>
  <c r="D127" i="9"/>
  <c r="D13" i="52" s="1"/>
  <c r="D12" i="52"/>
  <c r="D20" i="53" l="1"/>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<sst xmlns="http://schemas.openxmlformats.org/spreadsheetml/2006/main" count="8858" uniqueCount="3546">
  <si>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</si>
  <si>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</si>
  <si>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</si>
  <si>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</si>
  <si>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</si>
  <si>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</si>
  <si>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</si>
  <si>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</si>
  <si>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</si>
  <si>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</si>
  <si>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</si>
  <si>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</si>
  <si>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</si>
  <si>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</si>
  <si>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</si>
  <si>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</si>
  <si>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</si>
  <si>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</si>
  <si>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</si>
  <si>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</si>
  <si>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</si>
  <si>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</si>
  <si>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</si>
  <si>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</si>
  <si>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</si>
  <si>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</si>
  <si>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</si>
  <si>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</si>
  <si>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</si>
  <si>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</si>
  <si>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</si>
  <si>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</si>
  <si>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</si>
  <si>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</si>
  <si>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</si>
  <si>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</si>
  <si>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</si>
  <si>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</si>
  <si>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</si>
  <si>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</si>
  <si>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</si>
  <si>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</si>
  <si>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</si>
  <si>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</si>
  <si>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</si>
  <si>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</si>
  <si>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</si>
  <si>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</si>
  <si>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</si>
  <si>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</si>
  <si>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</si>
  <si>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</si>
  <si>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</si>
  <si>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</si>
  <si>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</si>
  <si>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</si>
  <si>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</si>
  <si>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</si>
  <si>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</si>
  <si>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</si>
  <si>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</si>
  <si>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</si>
  <si>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</si>
  <si>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</si>
  <si>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</si>
  <si>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</si>
  <si>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</si>
  <si>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</si>
  <si>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</si>
  <si>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</si>
  <si>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</si>
  <si>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</si>
  <si>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</si>
  <si>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</si>
  <si>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</si>
  <si>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</si>
  <si>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</si>
  <si>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</si>
  <si>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</si>
  <si>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</si>
  <si>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</si>
  <si>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</si>
  <si>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</si>
  <si>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</si>
  <si>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</si>
  <si>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</si>
  <si>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</si>
  <si>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</si>
  <si>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</si>
  <si>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</si>
  <si>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</si>
  <si>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</si>
  <si>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</si>
  <si>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</si>
  <si>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</si>
  <si>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</si>
  <si>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</si>
  <si>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</si>
  <si>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</si>
  <si>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</si>
  <si>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</si>
  <si>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</si>
  <si>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</si>
  <si>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</si>
  <si>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</si>
  <si>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</si>
  <si>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</si>
  <si>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</si>
  <si>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</si>
  <si>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</si>
  <si>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</si>
  <si>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</si>
  <si>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</si>
  <si>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</si>
  <si>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</si>
  <si>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</si>
  <si>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</si>
  <si>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</si>
  <si>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</si>
  <si>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</si>
  <si>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</si>
  <si>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</si>
  <si>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</si>
  <si>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</si>
  <si>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</si>
  <si>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</si>
  <si>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</si>
  <si>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</si>
  <si>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</si>
  <si>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</si>
  <si>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</si>
  <si>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</si>
  <si>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</si>
  <si>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</si>
  <si>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</si>
  <si>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</si>
  <si>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</si>
  <si>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</si>
  <si>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</si>
  <si>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</si>
  <si>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</si>
  <si>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</si>
  <si>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</si>
  <si>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</si>
  <si>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</si>
  <si>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</si>
  <si>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</si>
  <si>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</si>
  <si>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</si>
  <si>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</si>
  <si>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</si>
  <si>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</si>
  <si>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</si>
  <si>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</si>
  <si>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</si>
  <si>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</si>
  <si>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</si>
  <si>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</si>
  <si>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</si>
  <si>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</si>
  <si>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</si>
  <si>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</si>
  <si>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</si>
  <si>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</si>
  <si>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</si>
  <si>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</si>
  <si>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</si>
  <si>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</si>
  <si>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</si>
  <si>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</si>
  <si>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</si>
  <si>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</si>
  <si>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</si>
  <si>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</si>
  <si>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</si>
  <si>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</si>
  <si>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</si>
  <si>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</si>
  <si>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</si>
  <si>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</si>
  <si>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</si>
  <si>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</si>
  <si>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</si>
  <si>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</si>
  <si>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</si>
  <si>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</si>
  <si>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</si>
  <si>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</si>
  <si>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</si>
  <si>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</si>
  <si>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</si>
  <si>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</si>
  <si>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</si>
  <si>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</si>
  <si>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</si>
  <si>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</si>
  <si>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</si>
  <si>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</si>
  <si>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</si>
  <si>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</si>
  <si>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</si>
  <si>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</si>
  <si>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</si>
  <si>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</si>
  <si>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</si>
  <si>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</si>
  <si>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</si>
  <si>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</si>
  <si>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</si>
  <si>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</si>
  <si>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</si>
  <si>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</si>
  <si>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</si>
  <si>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</si>
  <si>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</si>
  <si>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</si>
  <si>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</si>
  <si>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</si>
  <si>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</si>
  <si>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</si>
  <si>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</si>
  <si>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</si>
  <si>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</si>
  <si>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</si>
  <si>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</si>
  <si>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</si>
  <si>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</si>
  <si>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</si>
  <si>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</si>
  <si>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</si>
  <si>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</si>
  <si>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</si>
  <si>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</si>
  <si>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</si>
  <si>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</si>
  <si>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</si>
  <si>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</si>
  <si>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</si>
  <si>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</si>
  <si>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</si>
  <si>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</si>
  <si>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</si>
  <si>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</si>
  <si>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</si>
  <si>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</si>
  <si>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</si>
  <si>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</si>
  <si>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</si>
  <si>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</si>
  <si>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</si>
  <si>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</si>
  <si>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</si>
  <si>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</si>
  <si>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</si>
  <si>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</si>
  <si>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</si>
  <si>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</si>
  <si>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</si>
  <si>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</si>
  <si>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</si>
  <si>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</si>
  <si>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</si>
  <si>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</si>
  <si>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</si>
  <si>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</si>
  <si>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</si>
  <si>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</si>
  <si>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</si>
  <si>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</si>
  <si>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</si>
  <si>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</si>
  <si>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</si>
  <si>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</si>
  <si>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</si>
  <si>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</si>
  <si>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</si>
  <si>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</si>
  <si>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</si>
  <si>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</si>
  <si>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</si>
  <si>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</si>
  <si>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</si>
  <si>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</si>
  <si>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</si>
  <si>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</si>
  <si>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</si>
  <si>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</si>
  <si>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</si>
  <si>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</si>
  <si>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</si>
  <si>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</si>
  <si>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</si>
  <si>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</si>
  <si>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</si>
  <si>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</si>
  <si>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</si>
  <si>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</si>
  <si>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</si>
  <si>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</si>
  <si>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</si>
  <si>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</si>
  <si>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</si>
  <si>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</si>
  <si>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</si>
  <si>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</si>
  <si>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</si>
  <si>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</si>
  <si>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</si>
  <si>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</si>
  <si>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</si>
  <si>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</si>
  <si>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</si>
  <si>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</si>
  <si>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</si>
  <si>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</si>
  <si>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</si>
  <si>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</si>
  <si>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</si>
  <si>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</si>
  <si>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</si>
  <si>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</si>
  <si>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</si>
  <si>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</si>
  <si>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</si>
  <si>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</si>
  <si>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</si>
  <si>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</si>
  <si>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</si>
  <si>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</si>
  <si>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</si>
  <si>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</si>
  <si>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</si>
  <si>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</si>
  <si>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</si>
  <si>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</si>
  <si>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</si>
  <si>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</si>
  <si>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</si>
  <si>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</si>
  <si>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</si>
  <si>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</si>
  <si>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</si>
  <si>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</si>
  <si>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</si>
  <si>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</si>
  <si>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</si>
  <si>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</si>
  <si>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</si>
  <si>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</si>
  <si>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</si>
  <si>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</si>
  <si>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</si>
  <si>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</si>
  <si>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</si>
  <si>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</si>
  <si>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</si>
  <si>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</si>
  <si>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</si>
  <si>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</si>
  <si>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</si>
  <si>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</si>
  <si>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</si>
  <si>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</si>
  <si>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</si>
  <si>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</si>
  <si>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</si>
  <si>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</si>
  <si>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</si>
  <si>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</si>
  <si>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</si>
  <si>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</si>
  <si>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</si>
  <si>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</si>
  <si>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</si>
  <si>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</si>
  <si>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</si>
  <si>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</si>
  <si>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</si>
  <si>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</si>
  <si>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</si>
  <si>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</si>
  <si>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</si>
  <si>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</si>
  <si>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</si>
  <si>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</si>
  <si>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</si>
  <si>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</si>
  <si>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</si>
  <si>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</si>
  <si>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</si>
  <si>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</si>
  <si>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</si>
  <si>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</si>
  <si>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</si>
  <si>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</si>
  <si>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</si>
  <si>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</si>
  <si>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</si>
  <si>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</si>
  <si>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</si>
  <si>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</si>
  <si>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</si>
  <si>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</si>
  <si>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</si>
  <si>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</si>
  <si>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</si>
  <si>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</si>
  <si>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</si>
  <si>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</si>
  <si>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</si>
  <si>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</si>
  <si>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</si>
  <si>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</si>
  <si>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</si>
  <si>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</si>
  <si>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</si>
  <si>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</si>
  <si>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</si>
  <si>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</si>
  <si>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</si>
  <si>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</si>
  <si>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</si>
  <si>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</si>
  <si>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</si>
  <si>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</si>
  <si>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</si>
  <si>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</si>
  <si>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</si>
  <si>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</si>
  <si>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</si>
  <si>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</si>
  <si>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</si>
  <si>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</si>
  <si>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</si>
  <si>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</si>
  <si>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</si>
  <si>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</si>
  <si>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</si>
  <si>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</si>
  <si>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</si>
  <si>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</si>
  <si>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</si>
  <si>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</si>
  <si>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</si>
  <si>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</si>
  <si>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</si>
  <si>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</si>
  <si>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</si>
  <si>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</si>
  <si>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</si>
  <si>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</si>
  <si>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</si>
  <si>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</si>
  <si>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</si>
  <si>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</si>
  <si>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</si>
  <si>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</si>
  <si>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</si>
  <si>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</si>
  <si>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</si>
  <si>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</si>
  <si>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</si>
  <si>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</si>
  <si>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</si>
  <si>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</si>
  <si>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</si>
  <si>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</si>
  <si>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</si>
  <si>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</si>
  <si>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</si>
  <si>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</si>
  <si>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</si>
  <si>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</si>
  <si>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</si>
  <si>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</si>
  <si>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</si>
  <si>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</si>
  <si>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</si>
  <si>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</si>
  <si>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</si>
  <si>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</si>
  <si>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</si>
  <si>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</si>
  <si>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</si>
  <si>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</si>
  <si>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</si>
  <si>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</si>
  <si>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</si>
  <si>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</si>
  <si>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</si>
  <si>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</si>
  <si>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</si>
  <si>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</si>
  <si>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</si>
  <si>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</si>
  <si>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</si>
  <si>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</si>
  <si>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</si>
  <si>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</si>
  <si>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</si>
  <si>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</si>
  <si>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</si>
  <si>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</si>
  <si>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</si>
  <si>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</si>
  <si>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</si>
  <si>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</si>
  <si>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</si>
  <si>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</si>
  <si>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</si>
  <si>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</si>
  <si>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</si>
  <si>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</si>
  <si>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</si>
  <si>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</si>
  <si>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</si>
  <si>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</si>
  <si>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</si>
  <si>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</si>
  <si>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</si>
  <si>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</si>
  <si>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</si>
  <si>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</si>
  <si>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</si>
  <si>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</si>
  <si>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</si>
  <si>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</si>
  <si>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</si>
  <si>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</si>
  <si>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</si>
  <si>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</si>
  <si>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</si>
  <si>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</si>
  <si>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</si>
  <si>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</si>
  <si>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</si>
  <si>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</si>
  <si>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</si>
  <si>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</si>
  <si>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</si>
  <si>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</si>
  <si>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</si>
  <si>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</si>
  <si>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</si>
  <si>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</si>
  <si>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</si>
  <si>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</si>
  <si>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</si>
  <si>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</si>
  <si>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</si>
  <si>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</si>
  <si>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</si>
  <si>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</si>
  <si>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</si>
  <si>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</si>
  <si>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</si>
  <si>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</si>
  <si>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</si>
  <si>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</si>
  <si>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</si>
  <si>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</si>
  <si>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</si>
  <si>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</si>
  <si>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</si>
  <si>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</si>
  <si>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</si>
  <si>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</si>
  <si>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</si>
  <si>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</si>
  <si>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</si>
  <si>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</si>
  <si>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</si>
  <si>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</si>
  <si>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</si>
  <si>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</si>
  <si>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</si>
  <si>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</si>
  <si>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</si>
  <si>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</si>
  <si>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</si>
  <si>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</si>
  <si>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</si>
  <si>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</si>
  <si>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</si>
  <si>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</si>
  <si>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</si>
  <si>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</si>
  <si>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</si>
  <si>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</si>
  <si>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</si>
  <si>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</si>
  <si>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</si>
  <si>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</si>
  <si>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</si>
  <si>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</si>
  <si>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</si>
  <si>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</si>
  <si>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</si>
  <si>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</si>
  <si>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</si>
  <si>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</si>
  <si>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</si>
  <si>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</si>
  <si>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</si>
  <si>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</si>
  <si>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</si>
  <si>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</si>
  <si>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</si>
  <si>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</si>
  <si>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</si>
  <si>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</si>
  <si>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</si>
  <si>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</si>
  <si>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</si>
  <si>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</si>
  <si>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</si>
  <si>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</si>
  <si>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</si>
  <si>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</si>
  <si>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</si>
  <si>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</si>
  <si>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</si>
  <si>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</si>
  <si>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</si>
  <si>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</si>
  <si>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</si>
  <si>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</si>
  <si>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</si>
  <si>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</si>
  <si>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</si>
  <si>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</si>
  <si>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</si>
  <si>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</si>
  <si>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</si>
  <si>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</si>
  <si>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</si>
  <si>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</si>
  <si>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</si>
  <si>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</si>
  <si>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</si>
  <si>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</si>
  <si>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</si>
  <si>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</si>
  <si>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</si>
  <si>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</si>
  <si>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</si>
  <si>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</si>
  <si>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</si>
  <si>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</si>
  <si>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</si>
  <si>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</si>
  <si>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</si>
  <si>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</si>
  <si>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</si>
  <si>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</si>
  <si>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</si>
  <si>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</si>
  <si>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</si>
  <si>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</si>
  <si>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</si>
  <si>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</si>
  <si>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</si>
  <si>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</si>
  <si>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</si>
  <si>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</si>
  <si>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</si>
  <si>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</si>
  <si>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</si>
  <si>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</si>
  <si>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</si>
  <si>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</si>
  <si>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</si>
  <si>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</si>
  <si>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</si>
  <si>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</si>
  <si>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</si>
  <si>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</si>
  <si>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</si>
  <si>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</si>
  <si>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</si>
  <si>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</si>
  <si>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</si>
  <si>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</si>
  <si>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</si>
  <si>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</si>
  <si>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</si>
  <si>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</si>
  <si>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</si>
  <si>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</si>
  <si>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</si>
  <si>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</si>
  <si>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</si>
  <si>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</si>
  <si>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</si>
  <si>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</si>
  <si>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</si>
  <si>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</si>
  <si>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</si>
  <si>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</si>
  <si>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</si>
  <si>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</si>
  <si>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</si>
  <si>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</si>
  <si>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</si>
  <si>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</si>
  <si>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</si>
  <si>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</si>
  <si>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</si>
  <si>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</si>
  <si>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</si>
  <si>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</si>
  <si>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</si>
  <si>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</si>
  <si>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</si>
  <si>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</si>
  <si>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</si>
  <si>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</si>
  <si>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</si>
  <si>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</si>
  <si>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</si>
  <si>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</si>
  <si>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</si>
  <si>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</si>
  <si>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</si>
  <si>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</si>
  <si>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</si>
  <si>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</si>
  <si>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</si>
  <si>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</si>
  <si>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</si>
  <si>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</si>
  <si>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</si>
  <si>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</si>
  <si>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</si>
  <si>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</si>
  <si>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</si>
  <si>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</si>
  <si>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</si>
  <si>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</si>
  <si>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</si>
  <si>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</si>
  <si>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</si>
  <si>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</si>
  <si>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</si>
  <si>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</si>
  <si>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</si>
  <si>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</si>
  <si>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</si>
  <si>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</si>
  <si>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</si>
  <si>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</si>
  <si>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</si>
  <si>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</si>
  <si>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</si>
  <si>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</si>
  <si>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</si>
  <si>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</si>
  <si>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</si>
  <si>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</si>
  <si>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</si>
  <si>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</si>
  <si>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</si>
  <si>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</si>
  <si>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</si>
  <si>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</si>
  <si>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</si>
  <si>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</si>
  <si>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</si>
  <si>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</si>
  <si>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</si>
  <si>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</si>
  <si>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</si>
  <si>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</si>
  <si>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</si>
  <si>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</si>
  <si>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</si>
  <si>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</si>
  <si>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</si>
  <si>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</si>
  <si>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</si>
  <si>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</si>
  <si>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</si>
  <si>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</si>
  <si>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</si>
  <si>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</si>
  <si>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</si>
  <si>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</si>
  <si>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</si>
  <si>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</si>
  <si>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</si>
  <si>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</si>
  <si>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</si>
  <si>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</si>
  <si>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</si>
  <si>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</si>
  <si>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</si>
  <si>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</si>
  <si>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</si>
  <si>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</si>
  <si>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</si>
  <si>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</si>
  <si>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</si>
  <si>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</si>
  <si>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</si>
  <si>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</si>
  <si>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</si>
  <si>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</si>
  <si>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</si>
  <si>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</si>
  <si>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</si>
  <si>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</si>
  <si>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</si>
  <si>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</si>
  <si>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</si>
  <si>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</si>
  <si>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</si>
  <si>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</si>
  <si>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</si>
  <si>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</si>
  <si>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</si>
  <si>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</si>
  <si>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</si>
  <si>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</si>
  <si>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</si>
  <si>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</si>
  <si>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</si>
  <si>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</si>
  <si>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</si>
  <si>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</si>
  <si>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</si>
  <si>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</si>
  <si>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</si>
  <si>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</si>
  <si>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</si>
  <si>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</si>
  <si>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</si>
  <si>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</si>
  <si>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</si>
  <si>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</si>
  <si>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</si>
  <si>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</si>
  <si>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</si>
  <si>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</si>
  <si>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</si>
  <si>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</si>
  <si>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</si>
  <si>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</si>
  <si>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</si>
  <si>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</si>
  <si>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</si>
  <si>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</si>
  <si>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</si>
  <si>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</si>
  <si>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</si>
  <si>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</si>
  <si>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</si>
  <si>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</si>
  <si>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</si>
  <si>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</si>
  <si>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</si>
  <si>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</si>
  <si>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</si>
  <si>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</si>
  <si>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</si>
  <si>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</si>
  <si>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</si>
  <si>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</si>
  <si>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</si>
  <si>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</si>
  <si>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</si>
  <si>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</si>
  <si>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</si>
  <si>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</si>
  <si>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</si>
  <si>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</si>
  <si>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</si>
  <si>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</si>
  <si>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</si>
  <si>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</si>
  <si>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</si>
  <si>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</si>
  <si>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</si>
  <si>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</si>
  <si>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</si>
  <si>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</si>
  <si>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</si>
  <si>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</si>
  <si>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</si>
  <si>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</si>
  <si>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</si>
  <si>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</si>
  <si>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</si>
  <si>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</si>
  <si>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</si>
  <si>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</si>
  <si>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</si>
  <si>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</si>
  <si>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</si>
  <si>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</si>
  <si>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</si>
  <si>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</si>
  <si>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</si>
  <si>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</si>
  <si>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</si>
  <si>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</si>
  <si>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</si>
  <si>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</si>
  <si>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</si>
  <si>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</si>
  <si>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</si>
  <si>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</si>
  <si>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</si>
  <si>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</si>
  <si>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</si>
  <si>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</si>
  <si>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</si>
  <si>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</si>
  <si>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</si>
  <si>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</si>
  <si>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</si>
  <si>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</si>
  <si>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</si>
  <si>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</si>
  <si>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</si>
  <si>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</si>
  <si>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</si>
  <si>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</si>
  <si>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</si>
  <si>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</si>
  <si>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</si>
  <si>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</si>
  <si>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</si>
  <si>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</si>
  <si>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</si>
  <si>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</si>
  <si>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</si>
  <si>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</si>
  <si>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</si>
  <si>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</si>
  <si>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</si>
  <si>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</si>
  <si>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</si>
  <si>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</si>
  <si>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</si>
  <si>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</si>
  <si>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</si>
  <si>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</si>
  <si>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</si>
  <si>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</si>
  <si>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</si>
  <si>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</si>
  <si>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</si>
  <si>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</si>
  <si>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</si>
  <si>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</si>
  <si>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</si>
  <si>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</si>
  <si>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</si>
  <si>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</si>
  <si>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</si>
  <si>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</si>
  <si>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</si>
  <si>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</si>
  <si>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</si>
  <si>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</si>
  <si>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</si>
  <si>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</si>
  <si>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</si>
  <si>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</si>
  <si>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</si>
  <si>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</si>
  <si>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</si>
  <si>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</si>
  <si>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</si>
  <si>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</si>
  <si>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</si>
  <si>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</si>
  <si>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</si>
  <si>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</si>
  <si>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</si>
  <si>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</si>
  <si>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</si>
  <si>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</si>
  <si>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</si>
  <si>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</si>
  <si>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</si>
  <si>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</si>
  <si>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</si>
  <si>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</si>
  <si>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</si>
  <si>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</si>
  <si>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</si>
  <si>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</si>
  <si>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</si>
  <si>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</si>
  <si>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</si>
  <si>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</si>
  <si>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</si>
  <si>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</si>
  <si>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</si>
  <si>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</si>
  <si>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</si>
  <si>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</si>
  <si>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</si>
  <si>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</si>
  <si>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</si>
  <si>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</si>
  <si>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</si>
  <si>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</si>
  <si>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</si>
  <si>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</si>
  <si>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</si>
  <si>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</si>
  <si>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</si>
  <si>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</si>
  <si>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</si>
  <si>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</si>
  <si>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</si>
  <si>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</si>
  <si>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</si>
  <si>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</si>
  <si>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</si>
  <si>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</si>
  <si>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</si>
  <si>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</si>
  <si>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</si>
  <si>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</si>
  <si>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</si>
  <si>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</si>
  <si>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</si>
  <si>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</si>
  <si>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</si>
  <si>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</si>
  <si>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</si>
  <si>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</si>
  <si>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</si>
  <si>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</si>
  <si>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</si>
  <si>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</si>
  <si>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</si>
  <si>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</si>
  <si>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</si>
  <si>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</si>
  <si>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</si>
  <si>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</si>
  <si>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</si>
  <si>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</si>
  <si>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</si>
  <si>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</si>
  <si>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</si>
  <si>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</si>
  <si>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</si>
  <si>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</si>
  <si>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</si>
  <si>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</si>
  <si>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</si>
  <si>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</si>
  <si>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</si>
  <si>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</si>
  <si>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</si>
  <si>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</si>
  <si>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</si>
  <si>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</si>
  <si>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</si>
  <si>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</si>
  <si>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</si>
  <si>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</si>
  <si>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</si>
  <si>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</si>
  <si>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</si>
  <si>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</si>
  <si>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</si>
  <si>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</si>
  <si>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</si>
  <si>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</si>
  <si>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</si>
  <si>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</si>
  <si>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</si>
  <si>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</si>
  <si>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</si>
  <si>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</si>
  <si>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</si>
  <si>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</si>
  <si>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</si>
  <si>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</si>
  <si>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</si>
  <si>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</si>
  <si>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</si>
  <si>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</si>
  <si>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</si>
  <si>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</si>
  <si>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</si>
  <si>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</si>
  <si>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</si>
  <si>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</si>
  <si>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</si>
  <si>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</si>
  <si>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</si>
  <si>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</si>
  <si>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</si>
  <si>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</si>
  <si>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</si>
  <si>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</si>
  <si>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</si>
  <si>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</si>
  <si>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</si>
  <si>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</si>
  <si>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</si>
  <si>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</si>
  <si>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</si>
  <si>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</si>
  <si>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</si>
  <si>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</si>
  <si>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</si>
  <si>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</si>
  <si>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</si>
  <si>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</si>
  <si>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</si>
  <si>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</si>
  <si>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</si>
  <si>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</si>
  <si>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</si>
  <si>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</si>
  <si>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</si>
  <si>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</si>
  <si>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</si>
  <si>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</si>
  <si>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</si>
  <si>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</si>
  <si>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</si>
  <si>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</si>
  <si>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</si>
  <si>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</si>
  <si>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</si>
  <si>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</si>
  <si>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</si>
  <si>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</si>
  <si>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</si>
  <si>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</si>
  <si>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</si>
  <si>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</si>
  <si>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</si>
  <si>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</si>
  <si>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</si>
  <si>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</si>
  <si>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</si>
  <si>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</si>
  <si>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</si>
  <si>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</si>
  <si>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</si>
  <si>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</si>
  <si>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</si>
  <si>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</si>
  <si>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</si>
  <si>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</si>
  <si>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</si>
  <si>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</si>
  <si>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</si>
  <si>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</si>
  <si>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</si>
  <si>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</si>
  <si>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</si>
  <si>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</si>
  <si>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</si>
  <si>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</si>
  <si>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</si>
  <si>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</si>
  <si>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</si>
  <si>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</si>
  <si>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</si>
  <si>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</si>
  <si>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</si>
  <si>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</si>
  <si>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</si>
  <si>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</si>
  <si>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</si>
  <si>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</si>
  <si>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</si>
  <si>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</si>
  <si>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</si>
  <si>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</si>
  <si>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</si>
  <si>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</si>
  <si>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</si>
  <si>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</si>
  <si>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</si>
  <si>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</si>
  <si>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</si>
  <si>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</si>
  <si>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</si>
  <si>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</si>
  <si>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</si>
  <si>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</si>
  <si>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</si>
  <si>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</si>
  <si>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</si>
  <si>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</si>
  <si>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</si>
  <si>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</si>
  <si>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</si>
  <si>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</si>
  <si>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</si>
  <si>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</si>
  <si>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</si>
  <si>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</si>
  <si>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</si>
  <si>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</si>
  <si>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</si>
  <si>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</si>
  <si>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</si>
  <si>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</si>
  <si>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</si>
  <si>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</si>
  <si>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</si>
  <si>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</si>
  <si>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</si>
  <si>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</si>
  <si>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</si>
  <si>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</si>
  <si>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</si>
  <si>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</si>
  <si>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</si>
  <si>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</si>
  <si>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</si>
  <si>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</si>
  <si>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</si>
  <si>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</si>
  <si>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</si>
  <si>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</si>
  <si>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</si>
  <si>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</si>
  <si>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</si>
  <si>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</si>
  <si>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</si>
  <si>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</si>
  <si>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</si>
  <si>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</si>
  <si>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</si>
  <si>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</si>
  <si>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</si>
  <si>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</si>
  <si>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</si>
  <si>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</si>
  <si>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</si>
  <si>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</si>
  <si>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</si>
  <si>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</si>
  <si>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</si>
  <si>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</si>
  <si>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</si>
  <si>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</si>
  <si>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</si>
  <si>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</si>
  <si>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</si>
  <si>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</si>
  <si>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</si>
  <si>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</si>
  <si>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</si>
  <si>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</si>
  <si>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</si>
  <si>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</si>
  <si>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</si>
  <si>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</si>
  <si>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</si>
  <si>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</si>
  <si>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</si>
  <si>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</si>
  <si>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</si>
  <si>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</si>
  <si>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</si>
  <si>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</si>
  <si>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</si>
  <si>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</si>
  <si>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</si>
  <si>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</si>
  <si>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</si>
  <si>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</si>
  <si>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</si>
  <si>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</si>
  <si>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</si>
  <si>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</si>
  <si>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</si>
  <si>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</si>
  <si>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</si>
  <si>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</si>
  <si>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</si>
  <si>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</si>
  <si>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</si>
  <si>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</si>
  <si>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</si>
  <si>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</si>
  <si>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</si>
  <si>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</si>
  <si>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</si>
  <si>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</si>
  <si>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</si>
  <si>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</si>
  <si>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</si>
  <si>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</si>
  <si>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</si>
  <si>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</si>
  <si>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</si>
  <si>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</si>
  <si>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</si>
  <si>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</si>
  <si>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</si>
  <si>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</si>
  <si>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</si>
  <si>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</si>
  <si>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</si>
  <si>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</si>
  <si>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</si>
  <si>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</si>
  <si>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</si>
  <si>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</si>
  <si>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</si>
  <si>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</si>
  <si>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</si>
  <si>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</si>
  <si>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</si>
  <si>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</si>
  <si>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</si>
  <si>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</si>
  <si>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</si>
  <si>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</si>
  <si>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</si>
  <si>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</si>
  <si>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</si>
  <si>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</si>
  <si>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</si>
  <si>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</si>
  <si>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</si>
  <si>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</si>
  <si>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</si>
  <si>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</si>
  <si>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</si>
  <si>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</si>
  <si>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</si>
  <si>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</si>
  <si>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</si>
  <si>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</si>
  <si>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</si>
  <si>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</si>
  <si>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</si>
  <si>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</si>
  <si>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</si>
  <si>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</si>
  <si>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</si>
  <si>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</si>
  <si>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</si>
  <si>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</si>
  <si>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</si>
  <si>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</si>
  <si>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</si>
  <si>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</si>
  <si>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</si>
  <si>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</si>
  <si>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</si>
  <si>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</si>
  <si>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</si>
  <si>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</si>
  <si>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</si>
  <si>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</si>
  <si>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</si>
  <si>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</si>
  <si>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</si>
  <si>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</si>
  <si>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</si>
  <si>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</si>
  <si>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</si>
  <si>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</si>
  <si>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</si>
  <si>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</si>
  <si>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</si>
  <si>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</si>
  <si>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</si>
  <si>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</si>
  <si>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</si>
  <si>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</si>
  <si>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</si>
  <si>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</si>
  <si>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</si>
  <si>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</si>
  <si>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</si>
  <si>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</si>
  <si>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</si>
  <si>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</si>
  <si>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</si>
  <si>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</si>
  <si>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</si>
  <si>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</si>
  <si>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</si>
  <si>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</si>
  <si>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</si>
  <si>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</si>
  <si>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</si>
  <si>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</si>
  <si>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</si>
  <si>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</si>
  <si>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</si>
  <si>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</si>
  <si>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</si>
  <si>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</si>
  <si>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</si>
  <si>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</si>
  <si>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</si>
  <si>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</si>
  <si>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</si>
  <si>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</si>
  <si>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</si>
  <si>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</si>
  <si>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</si>
  <si>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</si>
  <si>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</si>
  <si>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</si>
  <si>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</si>
  <si>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</si>
  <si>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</si>
  <si>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</si>
  <si>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</si>
  <si>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</si>
  <si>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</si>
  <si>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</si>
  <si>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</si>
  <si>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</si>
  <si>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</si>
  <si>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</si>
  <si>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</si>
  <si>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</si>
  <si>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</si>
  <si>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</si>
  <si>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</si>
  <si>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</si>
  <si>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</si>
  <si>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</si>
  <si>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</si>
  <si>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</si>
  <si>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</si>
  <si>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</si>
  <si>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</si>
  <si>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</si>
  <si>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</si>
  <si>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</si>
  <si>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</si>
  <si>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</si>
  <si>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</si>
  <si>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</si>
  <si>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</si>
  <si>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</si>
  <si>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</si>
  <si>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</si>
  <si>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</si>
  <si>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</si>
  <si>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</si>
  <si>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</si>
  <si>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</si>
  <si>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</si>
  <si>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</si>
  <si>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</si>
  <si>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</si>
  <si>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</si>
  <si>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</si>
  <si>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</si>
  <si>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</si>
  <si>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</si>
  <si>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</si>
  <si>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</si>
  <si>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</si>
  <si>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</si>
  <si>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</si>
  <si>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</si>
  <si>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</si>
  <si>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</si>
  <si>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</si>
  <si>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</si>
  <si>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</si>
  <si>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</si>
  <si>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</si>
  <si>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</si>
  <si>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</si>
  <si>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</si>
  <si>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</si>
  <si>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</si>
  <si>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</si>
  <si>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</si>
  <si>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</si>
  <si>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</si>
  <si>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</si>
  <si>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</si>
  <si>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</si>
  <si>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</si>
  <si>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</si>
  <si>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</si>
  <si>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</si>
  <si>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</si>
  <si>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</si>
  <si>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</si>
  <si>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</si>
  <si>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</si>
  <si>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</si>
  <si>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</si>
  <si>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</si>
  <si>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</si>
  <si>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</si>
  <si>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</si>
  <si>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</si>
  <si>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</si>
  <si>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</si>
  <si>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</si>
  <si>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</si>
  <si>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</si>
  <si>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</si>
  <si>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</si>
  <si>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</si>
  <si>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</si>
  <si>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</si>
  <si>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</si>
  <si>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</si>
  <si>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</si>
  <si>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</si>
  <si>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</si>
  <si>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</si>
  <si>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</si>
  <si>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</si>
  <si>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</si>
  <si>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</si>
  <si>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</si>
  <si>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</si>
  <si>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</si>
  <si>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</si>
  <si>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</si>
  <si>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</si>
  <si>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</si>
  <si>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</si>
  <si>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</si>
  <si>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</si>
  <si>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</si>
  <si>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</si>
  <si>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</si>
  <si>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</si>
  <si>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</si>
  <si>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</si>
  <si>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</si>
  <si>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</si>
  <si>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</si>
  <si>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</si>
  <si>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</si>
  <si>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</si>
  <si>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</si>
  <si>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</si>
  <si>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</si>
  <si>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</si>
  <si>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</si>
  <si>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</si>
  <si>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</si>
  <si>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</si>
  <si>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</si>
  <si>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</si>
  <si>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</si>
  <si>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</si>
  <si>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</si>
  <si>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</si>
  <si>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</si>
  <si>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</si>
  <si>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</si>
  <si>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</si>
  <si>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</si>
  <si>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</si>
  <si>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</si>
  <si>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</si>
  <si>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</si>
  <si>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</si>
  <si>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</si>
  <si>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</si>
  <si>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</si>
  <si>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</si>
  <si>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</si>
  <si>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</si>
  <si>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</si>
  <si>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</si>
  <si>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</si>
  <si>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</si>
  <si>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</si>
  <si>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</si>
  <si>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</si>
  <si>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</si>
  <si>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</si>
  <si>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</si>
  <si>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</si>
  <si>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</si>
  <si>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</si>
  <si>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</si>
  <si>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</si>
  <si>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</si>
  <si>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</si>
  <si>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</si>
  <si>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</si>
  <si>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</si>
  <si>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</si>
  <si>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</si>
  <si>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</si>
  <si>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</si>
  <si>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</si>
  <si>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</si>
  <si>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</si>
  <si>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</si>
  <si>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</si>
  <si>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</si>
  <si>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</si>
  <si>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</si>
  <si>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</si>
  <si>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</si>
  <si>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</si>
  <si>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</si>
  <si>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</si>
  <si>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</si>
  <si>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</si>
  <si>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</si>
  <si>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</si>
  <si>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</si>
  <si>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</si>
  <si>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</si>
  <si>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</si>
  <si>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</si>
  <si>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</si>
  <si>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</si>
  <si>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</si>
  <si>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</si>
  <si>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</si>
  <si>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</si>
  <si>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</si>
  <si>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</si>
  <si>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</si>
  <si>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</si>
  <si>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</si>
  <si>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</si>
  <si>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</si>
  <si>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</si>
  <si>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</si>
  <si>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</si>
  <si>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</si>
  <si>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</si>
  <si>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</si>
  <si>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</si>
  <si>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</si>
  <si>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</si>
  <si>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</si>
  <si>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</si>
  <si>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</si>
  <si>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</si>
  <si>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</si>
  <si>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</si>
  <si>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</si>
  <si>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</si>
  <si>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</si>
  <si>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</si>
  <si>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</si>
  <si>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</si>
  <si>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</si>
  <si>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</si>
  <si>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</si>
  <si>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</si>
  <si>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</si>
  <si>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</si>
  <si>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</si>
  <si>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</si>
  <si>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</si>
  <si>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</si>
  <si>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</si>
  <si>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</si>
  <si>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</si>
  <si>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</si>
  <si>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</si>
  <si>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</si>
  <si>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</si>
  <si>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</si>
  <si>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</si>
  <si>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</si>
  <si>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</si>
  <si>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</si>
  <si>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</si>
  <si>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</si>
  <si>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</si>
  <si>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</si>
  <si>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</si>
  <si>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</si>
  <si>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</si>
  <si>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</si>
  <si>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</si>
  <si>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</si>
  <si>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</si>
  <si>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</si>
  <si>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</si>
  <si>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</si>
  <si>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</si>
  <si>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</si>
  <si>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</si>
  <si>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</si>
  <si>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</si>
  <si>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</si>
  <si>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</si>
  <si>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</si>
  <si>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</si>
  <si>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</si>
  <si>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</si>
  <si>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</si>
  <si>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</si>
  <si>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</si>
  <si>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</si>
  <si>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</si>
  <si>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</si>
  <si>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</si>
  <si>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</si>
  <si>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</si>
  <si>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</si>
  <si>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</si>
  <si>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</si>
  <si>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</si>
  <si>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</si>
  <si>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</si>
  <si>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</si>
  <si>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</si>
  <si>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</si>
  <si>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</si>
  <si>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</si>
  <si>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</si>
  <si>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</si>
  <si>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</si>
  <si>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</si>
  <si>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</si>
  <si>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</si>
  <si>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</si>
  <si>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</si>
  <si>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</si>
  <si>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</si>
  <si>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</si>
  <si>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</si>
  <si>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</si>
  <si>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</si>
  <si>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</si>
  <si>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</si>
  <si>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</si>
  <si>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</si>
  <si>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</si>
  <si>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</si>
  <si>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</si>
  <si>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</si>
  <si>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</si>
  <si>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</si>
  <si>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</si>
  <si>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</si>
  <si>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</si>
  <si>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</si>
  <si>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</si>
  <si>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</si>
  <si>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</si>
  <si>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</si>
  <si>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</si>
  <si>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</si>
  <si>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</si>
  <si>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</si>
  <si>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</si>
  <si>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</si>
  <si>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</si>
  <si>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</si>
  <si>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</si>
  <si>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</si>
  <si>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</si>
  <si>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</si>
  <si>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</si>
  <si>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</si>
  <si>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</si>
  <si>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</si>
  <si>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</si>
  <si>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</si>
  <si>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</si>
  <si>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</si>
  <si>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</si>
  <si>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</si>
  <si>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</si>
  <si>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</si>
  <si>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</si>
  <si>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</si>
  <si>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</si>
  <si>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</si>
  <si>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</si>
  <si>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</si>
  <si>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</si>
  <si>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</si>
  <si>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</si>
  <si>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</si>
  <si>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</si>
  <si>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</si>
  <si>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</si>
  <si>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</si>
  <si>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</si>
  <si>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</si>
  <si>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</si>
  <si>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</si>
  <si>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</si>
  <si>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</si>
  <si>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</si>
  <si>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</si>
  <si>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</si>
  <si>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</si>
  <si>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</si>
  <si>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</si>
  <si>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</si>
  <si>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</si>
  <si>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</si>
  <si>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</si>
  <si>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</si>
  <si>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</si>
  <si>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</si>
  <si>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</si>
  <si>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</si>
  <si>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</si>
  <si>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</si>
  <si>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</si>
  <si>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</si>
  <si>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</si>
  <si>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</si>
  <si>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</si>
  <si>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</si>
  <si>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</si>
  <si>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</si>
  <si>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</si>
  <si>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</si>
  <si>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</si>
  <si>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</si>
  <si>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</si>
  <si>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</si>
  <si>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</si>
  <si>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</si>
  <si>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</si>
  <si>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</si>
  <si>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</si>
  <si>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</si>
  <si>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</si>
  <si>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</si>
  <si>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</si>
  <si>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</si>
  <si>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</si>
  <si>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</si>
  <si>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</si>
  <si>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</si>
  <si>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</si>
  <si>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</si>
  <si>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</si>
  <si>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</si>
  <si>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</si>
  <si>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</si>
  <si>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</si>
  <si>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</si>
  <si>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</si>
  <si>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</si>
  <si>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</si>
  <si>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</si>
  <si>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</si>
  <si>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</si>
  <si>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</si>
  <si>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</si>
  <si>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</si>
  <si>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</si>
  <si>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</si>
  <si>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</si>
  <si>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</si>
  <si>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</si>
  <si>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</si>
  <si>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</si>
  <si>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</si>
  <si>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</si>
  <si>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</si>
  <si>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</si>
  <si>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</si>
  <si>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</si>
  <si>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</si>
  <si>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</si>
  <si>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</si>
  <si>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</si>
  <si>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</si>
  <si>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</si>
  <si>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</si>
  <si>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</si>
  <si>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</si>
  <si>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</si>
  <si>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</si>
  <si>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</si>
  <si>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</si>
  <si>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</si>
  <si>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</si>
  <si>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</si>
  <si>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</si>
  <si>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</si>
  <si>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</si>
  <si>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</si>
  <si>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</si>
  <si>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</si>
  <si>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</si>
  <si>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</si>
  <si>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</si>
  <si>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</si>
  <si>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</si>
  <si>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</si>
  <si>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</si>
  <si>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</si>
  <si>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</si>
  <si>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</si>
  <si>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</si>
  <si>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</si>
  <si>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</si>
  <si>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</si>
  <si>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</si>
  <si>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</si>
  <si>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</si>
  <si>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</si>
  <si>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</si>
  <si>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</si>
  <si>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</si>
  <si>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</si>
  <si>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</si>
  <si>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</si>
  <si>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</si>
  <si>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</si>
  <si>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</si>
  <si>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</si>
  <si>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</si>
  <si>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</si>
  <si>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</si>
  <si>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</si>
  <si>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</si>
  <si>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</si>
  <si>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</si>
  <si>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</si>
  <si>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</si>
  <si>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</si>
  <si>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</si>
  <si>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</si>
  <si>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</si>
  <si>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</si>
  <si>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</si>
  <si>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</si>
  <si>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</si>
  <si>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</si>
  <si>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</si>
  <si>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</si>
  <si>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</si>
  <si>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</si>
  <si>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</si>
  <si>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</si>
  <si>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</si>
  <si>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</si>
  <si>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</si>
  <si>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</si>
  <si>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</si>
  <si>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</si>
  <si>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</si>
  <si>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</si>
  <si>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</si>
  <si>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</si>
  <si>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</si>
  <si>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</si>
  <si>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</si>
  <si>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</si>
  <si>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</si>
  <si>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</si>
  <si>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</si>
  <si>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</si>
  <si>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</si>
  <si>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</si>
  <si>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</si>
  <si>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</si>
  <si>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</si>
  <si>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</si>
  <si>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</si>
  <si>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</si>
  <si>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</si>
  <si>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</si>
  <si>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</si>
  <si>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</si>
  <si>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</si>
  <si>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</si>
  <si>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</si>
  <si>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</si>
  <si>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</si>
  <si>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</si>
  <si>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</si>
  <si>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</si>
  <si>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</si>
  <si>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</si>
  <si>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</si>
  <si>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</si>
  <si>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</si>
  <si>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</si>
  <si>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</si>
  <si>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</si>
  <si>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</si>
  <si>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</si>
  <si>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</si>
  <si>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</si>
  <si>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</si>
  <si>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</si>
  <si>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</si>
  <si>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</si>
  <si>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</si>
  <si>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</si>
  <si>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</si>
  <si>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</si>
  <si>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</si>
  <si>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</si>
  <si>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</si>
  <si>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</si>
  <si>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</si>
  <si>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</si>
  <si>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</si>
  <si>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</si>
  <si>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</si>
  <si>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</si>
  <si>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</si>
  <si>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</si>
  <si>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</si>
  <si>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</si>
  <si>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</si>
  <si>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</si>
  <si>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</si>
  <si>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</si>
  <si>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</si>
  <si>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</si>
  <si>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</si>
  <si>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</si>
  <si>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</si>
  <si>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</si>
  <si>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</si>
  <si>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</si>
  <si>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</si>
  <si>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</si>
  <si>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</si>
  <si>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</si>
  <si>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</si>
  <si>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</si>
  <si>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</si>
  <si>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</si>
  <si>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</si>
  <si>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</si>
  <si>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</si>
  <si>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</si>
  <si>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</si>
  <si>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</si>
  <si>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</si>
  <si>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</si>
  <si>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</si>
  <si>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</si>
  <si>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</si>
  <si>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</si>
  <si>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</si>
  <si>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</si>
  <si>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</si>
  <si>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</si>
  <si>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</si>
  <si>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</si>
  <si>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</si>
  <si>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</si>
  <si>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</si>
  <si>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</si>
  <si>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</si>
  <si>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</si>
  <si>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</si>
  <si>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</si>
  <si>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</si>
  <si>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</si>
  <si>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</si>
  <si>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</si>
  <si>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</si>
  <si>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</si>
  <si>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</si>
  <si>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</si>
  <si>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</si>
  <si>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</si>
  <si>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</si>
  <si>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</si>
  <si>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</si>
  <si>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</si>
  <si>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</si>
  <si>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</si>
  <si>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</si>
  <si>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</si>
  <si>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</si>
  <si>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</si>
  <si>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</si>
  <si>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</si>
  <si>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</si>
  <si>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</si>
  <si>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</si>
  <si>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</si>
  <si>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</si>
  <si>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</si>
  <si>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</si>
  <si>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</si>
  <si>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</si>
  <si>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</si>
  <si>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</si>
  <si>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</si>
  <si>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</si>
  <si>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</si>
  <si>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</si>
  <si>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</si>
  <si>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</si>
  <si>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</si>
  <si>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</si>
  <si>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</si>
  <si>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</si>
  <si>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</si>
  <si>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</si>
  <si>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</si>
  <si>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</si>
  <si>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</si>
  <si>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</si>
  <si>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</si>
  <si>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</si>
  <si>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</si>
  <si>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</si>
  <si>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</si>
  <si>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</si>
  <si>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</si>
  <si>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</si>
  <si>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</si>
  <si>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</si>
  <si>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</si>
  <si>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</si>
  <si>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</si>
  <si>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</si>
  <si>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</si>
  <si>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</si>
  <si>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</si>
  <si>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</si>
  <si>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</si>
  <si>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</si>
  <si>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</si>
  <si>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</si>
  <si>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</si>
  <si>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</si>
  <si>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</si>
  <si>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</si>
  <si>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</si>
  <si>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</si>
  <si>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</si>
  <si>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</si>
  <si>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</si>
  <si>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</si>
  <si>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</si>
  <si>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</si>
  <si>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</si>
  <si>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</si>
  <si>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</si>
  <si>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</si>
  <si>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</si>
  <si>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</si>
  <si>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</si>
  <si>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</si>
  <si>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</si>
  <si>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</si>
  <si>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</si>
  <si>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</si>
  <si>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</si>
  <si>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</si>
  <si>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</si>
  <si>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</si>
  <si>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</si>
  <si>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</si>
  <si>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</si>
  <si>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</si>
  <si>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</si>
  <si>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</si>
  <si>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</si>
  <si>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</si>
  <si>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</si>
  <si>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</si>
  <si>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</si>
  <si>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</si>
  <si>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</si>
  <si>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</si>
  <si>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</si>
  <si>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</si>
  <si>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</si>
  <si>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</si>
  <si>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</si>
  <si>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</si>
  <si>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</si>
  <si>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</si>
  <si>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</si>
  <si>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</si>
  <si>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</si>
  <si>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</si>
  <si>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</si>
  <si>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</si>
  <si>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</si>
  <si>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</si>
  <si>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</si>
  <si>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</si>
  <si>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</si>
  <si>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</si>
  <si>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</si>
  <si>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</si>
  <si>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</si>
  <si>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</si>
  <si>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</si>
  <si>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</si>
  <si>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</si>
  <si>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</si>
  <si>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</si>
  <si>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</si>
  <si>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</si>
  <si>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</si>
  <si>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</si>
  <si>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</si>
  <si>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</si>
  <si>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</si>
  <si>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</si>
  <si>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</si>
  <si>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</si>
  <si>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</si>
  <si>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</si>
  <si>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</si>
  <si>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</si>
  <si>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</si>
  <si>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</si>
  <si>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</si>
  <si>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</si>
  <si>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</si>
  <si>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</si>
  <si>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</si>
  <si>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</si>
  <si>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</si>
  <si>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</si>
  <si>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</si>
  <si>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</si>
  <si>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</si>
  <si>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</si>
  <si>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</si>
  <si>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</si>
  <si>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</si>
  <si>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</si>
  <si>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</si>
  <si>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</si>
  <si>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</si>
  <si>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</si>
  <si>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</si>
  <si>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</si>
  <si>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</si>
  <si>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</si>
  <si>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</si>
  <si>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</si>
  <si>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</si>
  <si>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</si>
  <si>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</si>
  <si>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</si>
  <si>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</si>
  <si>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</si>
  <si>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</si>
  <si>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</si>
  <si>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</si>
  <si>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</si>
  <si>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</si>
  <si>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</si>
  <si>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</si>
  <si>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</si>
  <si>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</si>
  <si>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</si>
  <si>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</si>
  <si>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</si>
  <si>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</si>
  <si>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</si>
  <si>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</si>
  <si>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</si>
  <si>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</si>
  <si>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</si>
  <si>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</si>
  <si>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</si>
  <si>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</si>
  <si>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</si>
  <si>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</si>
  <si>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</si>
  <si>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</si>
  <si>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</si>
  <si>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</si>
  <si>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</si>
  <si>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</si>
  <si>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</si>
  <si>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</si>
  <si>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</si>
  <si>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</si>
  <si>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</si>
  <si>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</si>
  <si>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</si>
  <si>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</si>
  <si>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</si>
  <si>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</si>
  <si>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</si>
  <si>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</si>
  <si>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</si>
  <si>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</si>
  <si>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</si>
  <si>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</si>
  <si>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</si>
  <si>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</si>
  <si>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</si>
  <si>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</si>
  <si>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</si>
  <si>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</si>
  <si>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</si>
  <si>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</si>
  <si>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</si>
  <si>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</si>
  <si>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</si>
  <si>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</si>
  <si>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</si>
  <si>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</si>
  <si>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</si>
  <si>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</si>
  <si>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</si>
  <si>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</si>
  <si>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</si>
  <si>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</si>
  <si>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</si>
  <si>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</si>
  <si>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</si>
  <si>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</si>
  <si>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</si>
  <si>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</si>
  <si>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</si>
  <si>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</si>
  <si>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</si>
  <si>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</si>
  <si>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</si>
  <si>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</si>
  <si>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</si>
  <si>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</si>
  <si>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</si>
  <si>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</si>
  <si>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</si>
  <si>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</si>
  <si>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</si>
  <si>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</si>
  <si>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</si>
  <si>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</si>
  <si>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</si>
  <si>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</si>
  <si>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</si>
  <si>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</si>
  <si>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</si>
  <si>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</si>
  <si>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</si>
  <si>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</si>
  <si>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</si>
  <si>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</si>
  <si>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</si>
  <si>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</si>
  <si>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</si>
  <si>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</si>
  <si>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</si>
  <si>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</si>
  <si>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</si>
  <si>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</si>
  <si>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</si>
  <si>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</si>
  <si>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</si>
  <si>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</si>
  <si>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</si>
  <si>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</si>
  <si>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</si>
  <si>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</si>
  <si>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</si>
  <si>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</si>
  <si>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</si>
  <si>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</si>
  <si>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</si>
  <si>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</si>
  <si>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</si>
  <si>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</si>
  <si>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</si>
  <si>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</si>
  <si>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</si>
  <si>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</si>
  <si>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</si>
  <si>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</si>
  <si>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</si>
  <si>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</si>
  <si>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</si>
  <si>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</si>
  <si>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</si>
  <si>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</si>
  <si>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</si>
  <si>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</si>
  <si>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</si>
  <si>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</si>
  <si>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</si>
  <si>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</si>
  <si>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</si>
  <si>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</si>
  <si>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</si>
  <si>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</si>
  <si>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</si>
  <si>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</si>
  <si>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</si>
  <si>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</si>
  <si>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</si>
  <si>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</si>
  <si>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</si>
  <si>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</si>
  <si>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</si>
  <si>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</si>
  <si>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</si>
  <si>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</si>
  <si>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</si>
  <si>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</si>
  <si>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</si>
  <si>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</si>
  <si>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</si>
  <si>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</si>
  <si>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</si>
  <si>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</si>
  <si>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</si>
  <si>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</si>
  <si>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</si>
  <si>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</si>
  <si>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</si>
  <si>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</si>
  <si>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</si>
  <si>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</si>
  <si>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</si>
  <si>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</si>
  <si>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</si>
  <si>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</si>
  <si>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</si>
  <si>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</si>
  <si>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</si>
  <si>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</si>
  <si>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</si>
  <si>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</si>
  <si>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</si>
  <si>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</si>
  <si>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</si>
  <si>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</si>
  <si>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</si>
  <si>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</si>
  <si>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</si>
  <si>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</si>
  <si>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</si>
  <si>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</si>
  <si>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</si>
  <si>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</si>
  <si>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</si>
  <si>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</si>
  <si>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</si>
  <si>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</si>
  <si>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</si>
  <si>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</si>
  <si>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</si>
  <si>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</si>
  <si>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</si>
  <si>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</si>
  <si>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</si>
  <si>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</si>
  <si>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</si>
  <si>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</si>
  <si>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</si>
  <si>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</si>
  <si>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</si>
  <si>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</si>
  <si>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</si>
  <si>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</si>
  <si>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</si>
  <si>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</si>
  <si>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</si>
  <si>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</si>
  <si>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</si>
  <si>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</si>
  <si>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</si>
  <si>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</si>
  <si>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</si>
  <si>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</si>
  <si>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</si>
  <si>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</si>
  <si>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</si>
  <si>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</si>
  <si>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</si>
  <si>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</si>
  <si>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</si>
  <si>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</si>
  <si>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</si>
  <si>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</si>
  <si>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</si>
  <si>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</si>
  <si>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</si>
  <si>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</si>
  <si>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</si>
  <si>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</si>
  <si>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</si>
  <si>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</si>
  <si>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</si>
  <si>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</si>
  <si>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</si>
  <si>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</si>
  <si>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</si>
  <si>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</si>
  <si>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</si>
  <si>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</si>
  <si>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</si>
  <si>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</si>
  <si>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</si>
  <si>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</si>
  <si>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</si>
  <si>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</si>
  <si>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</si>
  <si>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</si>
  <si>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</si>
  <si>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</si>
  <si>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</si>
  <si>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</si>
  <si>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</si>
  <si>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</si>
  <si>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</si>
  <si>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</si>
  <si>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</si>
  <si>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</si>
  <si>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</si>
  <si>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</si>
  <si>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</si>
  <si>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</si>
  <si>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</si>
  <si>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</si>
  <si>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</si>
  <si>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</si>
  <si>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</si>
  <si>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</si>
  <si>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</si>
  <si>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</si>
  <si>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</si>
  <si>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</si>
  <si>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</si>
  <si>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</si>
  <si>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</si>
  <si>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</si>
  <si>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</si>
  <si>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</si>
  <si>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</si>
  <si>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</si>
  <si>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</si>
  <si>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</si>
  <si>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</si>
  <si>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</si>
  <si>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</si>
  <si>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</si>
  <si>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</si>
  <si>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</si>
  <si>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</si>
  <si>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</si>
  <si>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</si>
  <si>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</si>
  <si>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</si>
  <si>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</si>
  <si>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</si>
  <si>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</si>
  <si>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</si>
  <si>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</si>
  <si>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</si>
  <si>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</si>
  <si>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</si>
  <si>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</si>
  <si>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</si>
  <si>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</si>
  <si>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</si>
  <si>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</si>
  <si>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</si>
  <si>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</si>
  <si>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</si>
  <si>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</si>
  <si>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</si>
  <si>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</si>
  <si>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</si>
  <si>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</si>
  <si>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</si>
  <si>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</si>
  <si>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</si>
  <si>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</si>
  <si>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</si>
  <si>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</si>
  <si>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</si>
  <si>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</si>
  <si>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</si>
  <si>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</si>
  <si>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</si>
  <si>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</si>
  <si>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</si>
  <si>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</si>
  <si>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</si>
  <si>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</si>
  <si>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</si>
  <si>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</si>
  <si>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</si>
  <si>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</si>
  <si>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</si>
  <si>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</si>
  <si>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</si>
  <si>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</si>
  <si>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</si>
  <si>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</si>
  <si>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</si>
  <si>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</si>
  <si>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</si>
  <si>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</si>
  <si>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</si>
  <si>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</si>
  <si>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</si>
  <si>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</si>
  <si>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</si>
  <si>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</si>
  <si>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</si>
  <si>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</si>
  <si>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</si>
  <si>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</si>
  <si>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</si>
  <si>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</si>
  <si>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</si>
  <si>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</si>
  <si>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</si>
  <si>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</si>
  <si>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</si>
  <si>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</si>
  <si>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</si>
  <si>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</si>
  <si>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</si>
  <si>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</si>
  <si>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</si>
  <si>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</si>
  <si>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</si>
  <si>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</si>
  <si>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</si>
  <si>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</si>
  <si>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</si>
  <si>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</si>
  <si>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</si>
  <si>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</si>
  <si>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</si>
  <si>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</si>
  <si>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</si>
  <si>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</si>
  <si>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</si>
  <si>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</si>
  <si>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</si>
  <si>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</si>
  <si>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</si>
  <si>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</si>
  <si>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</si>
  <si>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</si>
  <si>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</si>
  <si>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</si>
  <si>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</si>
  <si>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</si>
  <si>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</si>
  <si>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</si>
  <si>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</si>
  <si>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</si>
  <si>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</si>
  <si>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</si>
  <si>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</si>
  <si>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</si>
  <si>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</si>
  <si>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</si>
  <si>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</si>
  <si>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</si>
  <si>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</si>
  <si>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</si>
  <si>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</si>
  <si>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</si>
  <si>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</si>
  <si>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</si>
  <si>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</si>
  <si>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</si>
  <si>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</si>
  <si>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</si>
  <si>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</si>
  <si>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</si>
  <si>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</si>
  <si>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</si>
  <si>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</si>
  <si>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</si>
  <si>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</si>
  <si>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</si>
  <si>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</si>
  <si>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</si>
  <si>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</si>
  <si>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</si>
  <si>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</si>
  <si>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</si>
  <si>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</si>
  <si>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</si>
  <si>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</si>
  <si>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</si>
  <si>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</si>
  <si>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</si>
  <si>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</si>
  <si>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</si>
  <si>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</si>
  <si>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</si>
  <si>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</si>
  <si>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</si>
  <si>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</si>
  <si>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</si>
  <si>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</si>
  <si>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</si>
  <si>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</si>
  <si>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</si>
  <si>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</si>
  <si>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</si>
  <si>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</si>
  <si>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</si>
  <si>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</si>
  <si>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</si>
  <si>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</si>
  <si>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</si>
  <si>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</si>
  <si>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</si>
  <si>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</si>
  <si>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</si>
  <si>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</si>
  <si>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</si>
  <si>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</si>
  <si>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</si>
  <si>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</si>
  <si>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</si>
  <si>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</si>
  <si>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</si>
  <si>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</si>
  <si>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</si>
  <si>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</si>
  <si>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</si>
  <si>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</si>
  <si>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</si>
  <si>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</si>
  <si>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</si>
  <si>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</si>
  <si>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</si>
  <si>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</si>
  <si>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</si>
  <si>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</si>
  <si>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</si>
  <si>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</si>
  <si>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</si>
  <si>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</si>
  <si>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</si>
  <si>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</si>
  <si>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</si>
  <si>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</si>
  <si>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</si>
  <si>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</si>
  <si>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</si>
  <si>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</si>
  <si>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</si>
  <si>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</si>
  <si>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</si>
  <si>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</si>
  <si>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</si>
  <si>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</si>
  <si>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</si>
  <si>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</si>
  <si>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</si>
  <si>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</si>
  <si>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</si>
  <si>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</si>
  <si>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</si>
  <si>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</si>
  <si>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</si>
  <si>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</si>
  <si>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</si>
  <si>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</si>
  <si>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</si>
  <si>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</si>
  <si>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</si>
  <si>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</si>
  <si>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</si>
  <si>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</si>
  <si>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</si>
  <si>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</si>
  <si>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</si>
  <si>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</si>
  <si>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</si>
  <si>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</si>
  <si>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</si>
  <si>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</si>
  <si>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</si>
  <si>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</si>
  <si>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</si>
  <si>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</si>
  <si>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</si>
  <si>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</si>
  <si>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</si>
  <si>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</si>
  <si>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</si>
  <si>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</si>
  <si>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</si>
  <si>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</si>
  <si>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</si>
  <si>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</si>
  <si>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</si>
  <si>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</si>
  <si>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</si>
  <si>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</si>
  <si>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</si>
  <si>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</si>
  <si>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</si>
  <si>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</si>
  <si>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</si>
  <si>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</si>
  <si>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</si>
  <si>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</si>
  <si>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</si>
  <si>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</si>
  <si>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</si>
  <si>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</si>
  <si>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</si>
  <si>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</si>
  <si>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</si>
  <si>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</si>
  <si>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</si>
  <si>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</si>
  <si>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</si>
  <si>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</si>
  <si>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</si>
  <si>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</si>
  <si>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</si>
  <si>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</si>
  <si>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</si>
  <si>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</si>
  <si>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</si>
  <si>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</si>
  <si>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</si>
  <si>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</si>
  <si>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</si>
  <si>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</si>
  <si>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</si>
  <si>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</si>
  <si>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</si>
  <si>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</si>
  <si>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</si>
  <si>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</si>
  <si>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</si>
  <si>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</si>
  <si>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</si>
  <si>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</si>
  <si>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</si>
  <si>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</si>
  <si>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</si>
  <si>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</si>
  <si>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</si>
  <si>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</si>
  <si>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</si>
  <si>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</si>
  <si>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</si>
  <si>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</si>
  <si>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</si>
  <si>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</si>
  <si>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</si>
  <si>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</si>
  <si>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</si>
  <si>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</si>
  <si>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</si>
  <si>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</si>
  <si>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</si>
  <si>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</si>
  <si>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</si>
  <si>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</si>
  <si>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</si>
  <si>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</si>
  <si>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</si>
  <si>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</si>
  <si>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</si>
  <si>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</si>
  <si>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</si>
  <si>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</si>
  <si>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</si>
  <si>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</si>
  <si>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</si>
  <si>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</si>
  <si>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</si>
  <si>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</si>
  <si>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</si>
  <si>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</si>
  <si>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</si>
  <si>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</si>
  <si>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</si>
  <si>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</si>
  <si>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</si>
  <si>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</si>
  <si>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</si>
  <si>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</si>
  <si>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</si>
  <si>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</si>
  <si>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</si>
  <si>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</si>
  <si>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</si>
  <si>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</si>
  <si>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</si>
  <si>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</si>
  <si>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</si>
  <si>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</si>
  <si>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</si>
  <si>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</si>
  <si>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</si>
  <si>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</si>
  <si>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</si>
  <si>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</si>
  <si>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</si>
  <si>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</si>
  <si>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</si>
  <si>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</si>
  <si>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</si>
  <si>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</si>
  <si>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</si>
  <si>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</si>
  <si>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</si>
  <si>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</si>
  <si>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</si>
  <si>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</si>
  <si>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</si>
  <si>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</si>
  <si>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</si>
  <si>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</si>
  <si>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</si>
  <si>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</si>
  <si>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</si>
  <si>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</si>
  <si>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</si>
  <si>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</si>
  <si>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</si>
  <si>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</si>
  <si>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</si>
  <si>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</si>
  <si>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</si>
  <si>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</si>
  <si>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</si>
  <si>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</si>
  <si>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</si>
  <si>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</si>
  <si>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</si>
  <si>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</si>
  <si>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</si>
  <si>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</si>
  <si>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</si>
  <si>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</si>
  <si>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</si>
  <si>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</si>
  <si>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</si>
  <si>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</si>
  <si>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</si>
  <si>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</si>
  <si>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</si>
  <si>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</si>
  <si>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</si>
  <si>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</si>
  <si>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</si>
  <si>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</si>
  <si>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</si>
  <si>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</si>
  <si>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</si>
  <si>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</si>
  <si>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</si>
  <si>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</si>
  <si>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</si>
  <si>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</si>
  <si>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</si>
  <si>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</si>
  <si>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</si>
  <si>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</si>
  <si>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</si>
  <si>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</si>
  <si>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</si>
  <si>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</si>
  <si>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</si>
  <si>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</si>
  <si>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</si>
  <si>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</si>
  <si>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</si>
  <si>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</si>
  <si>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</si>
  <si>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</si>
  <si>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</si>
  <si>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</si>
  <si>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</si>
  <si>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</si>
  <si>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</si>
  <si>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</si>
  <si>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</si>
  <si>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</si>
  <si>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</si>
  <si>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</si>
  <si>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</si>
  <si>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</si>
  <si>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</si>
  <si>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</si>
  <si>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</si>
  <si>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</si>
  <si>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</si>
  <si>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</si>
  <si>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</si>
  <si>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</si>
  <si>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</si>
  <si>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</si>
  <si>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</si>
  <si>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</si>
  <si>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</si>
  <si>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</si>
  <si>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</si>
  <si>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</si>
  <si>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</si>
  <si>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</si>
  <si>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</si>
  <si>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</si>
  <si>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</si>
  <si>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</si>
  <si>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</si>
  <si>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</si>
  <si>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</si>
  <si>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</si>
  <si>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</si>
  <si>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</si>
  <si>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</si>
  <si>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</si>
  <si>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</si>
  <si>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</si>
  <si>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</si>
  <si>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</si>
  <si>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</si>
  <si>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</si>
  <si>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</si>
  <si>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</si>
  <si>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</si>
  <si>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</si>
  <si>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</si>
  <si>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</si>
  <si>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</si>
  <si>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</si>
  <si>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</si>
  <si>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</si>
  <si>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</si>
  <si>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</si>
  <si>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</si>
  <si>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</si>
  <si>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</si>
  <si>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</si>
  <si>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</si>
  <si>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</si>
  <si>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</si>
  <si>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</si>
  <si>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</si>
  <si>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</si>
  <si>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</si>
  <si>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</si>
  <si>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</si>
  <si>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</si>
  <si>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</si>
  <si>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</si>
  <si>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</si>
  <si>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</si>
  <si>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</si>
  <si>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</si>
  <si>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</si>
  <si>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</si>
  <si>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</si>
  <si>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</si>
  <si>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</si>
  <si>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</si>
  <si>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</si>
  <si>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</si>
  <si>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</si>
  <si>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</si>
  <si>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</si>
  <si>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</si>
  <si>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</si>
  <si>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</si>
  <si>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</si>
  <si>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</si>
  <si>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</si>
  <si>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</si>
  <si>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</si>
  <si>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</si>
  <si>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</si>
  <si>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</si>
  <si>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</si>
  <si>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</si>
  <si>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</si>
  <si>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</si>
  <si>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</si>
  <si>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</si>
  <si>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</si>
  <si>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</si>
  <si>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</si>
  <si>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</si>
  <si>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</si>
  <si>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</si>
  <si>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</si>
  <si>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</si>
  <si>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</si>
  <si>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</si>
  <si>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</si>
  <si>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</si>
  <si>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</si>
  <si>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</si>
  <si>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</si>
  <si>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</si>
  <si>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</si>
  <si>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</si>
  <si>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</si>
  <si>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</si>
  <si>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</si>
  <si>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</si>
  <si>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</si>
  <si>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</si>
  <si>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</si>
  <si>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</si>
  <si>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</si>
  <si>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</si>
  <si>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</si>
  <si>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</si>
  <si>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</si>
  <si>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</si>
  <si>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</si>
  <si>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</si>
  <si>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</si>
  <si>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</si>
  <si>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</si>
  <si>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</si>
  <si>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</si>
  <si>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</si>
  <si>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</si>
  <si>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</si>
  <si>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</si>
  <si>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</si>
  <si>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</si>
  <si>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</si>
  <si>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</si>
  <si>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</si>
  <si>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</si>
  <si>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</si>
  <si>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</si>
  <si>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</si>
  <si>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</si>
  <si>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</si>
  <si>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</si>
  <si>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</si>
  <si>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</si>
  <si>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</si>
  <si>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</si>
  <si>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</si>
  <si>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</si>
  <si>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</si>
  <si>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</si>
  <si>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</si>
  <si>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</si>
  <si>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</si>
  <si>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</si>
  <si>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</si>
  <si>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</si>
  <si>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</si>
  <si>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</si>
  <si>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</si>
  <si>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</si>
  <si>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</si>
  <si>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</si>
  <si>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</si>
  <si>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</si>
  <si>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</si>
  <si>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</si>
  <si>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</si>
  <si>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</si>
  <si>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</si>
  <si>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</si>
  <si>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</si>
  <si>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</si>
  <si>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</si>
  <si>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</si>
  <si>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</si>
  <si>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</si>
  <si>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</si>
  <si>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</si>
  <si>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</si>
  <si>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</si>
  <si>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</si>
  <si>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</si>
  <si>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</si>
  <si>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</si>
  <si>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</si>
  <si>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</si>
  <si>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</si>
  <si>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</si>
  <si>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</si>
  <si>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</si>
  <si>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</si>
  <si>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</si>
  <si>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</si>
  <si>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</si>
  <si>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</si>
  <si>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</si>
  <si>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</si>
  <si>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</si>
  <si>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</si>
  <si>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</si>
  <si>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</si>
  <si>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</si>
  <si>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</si>
  <si>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</si>
  <si>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</si>
  <si>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</si>
  <si>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</si>
  <si>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</si>
  <si>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</si>
  <si>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</si>
  <si>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</si>
  <si>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</si>
  <si>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</si>
  <si>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</si>
  <si>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</si>
  <si>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</si>
  <si>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</si>
  <si>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</si>
  <si>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</si>
  <si>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</si>
  <si>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</si>
  <si>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</si>
  <si>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</si>
  <si>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</si>
  <si>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</si>
  <si>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</si>
  <si>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</si>
  <si>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</si>
  <si>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</si>
  <si>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</si>
  <si>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</si>
  <si>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</si>
  <si>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</si>
  <si>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</si>
  <si>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</si>
  <si>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</si>
  <si>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</si>
  <si>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</si>
  <si>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</si>
  <si>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</si>
  <si>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</si>
  <si>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</si>
  <si>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</si>
  <si>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</si>
  <si>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</si>
  <si>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</si>
  <si>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</si>
  <si>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</si>
  <si>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</si>
  <si>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</si>
  <si>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</si>
  <si>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</si>
  <si>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</si>
  <si>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</si>
  <si>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</si>
  <si>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</si>
  <si>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</si>
  <si>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</si>
  <si>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</si>
  <si>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</si>
  <si>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</si>
  <si>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</si>
  <si>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</si>
  <si>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</si>
  <si>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</si>
  <si>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</si>
  <si>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</si>
  <si>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</si>
  <si>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</si>
  <si>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</si>
  <si>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</si>
  <si>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</si>
  <si>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</si>
  <si>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</si>
  <si>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</si>
  <si>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</si>
  <si>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</si>
  <si>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</si>
  <si>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</si>
  <si>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</si>
  <si>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</si>
  <si>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</si>
  <si>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</si>
  <si>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</si>
  <si>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</si>
  <si>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</si>
  <si>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</si>
  <si>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</si>
  <si>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</si>
  <si>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</si>
  <si>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</si>
  <si>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</si>
  <si>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</si>
  <si>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</si>
  <si>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</si>
  <si>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</si>
  <si>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</si>
  <si>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</si>
  <si>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</si>
  <si>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</si>
  <si>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</si>
  <si>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</si>
  <si>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</si>
  <si>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</si>
  <si>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</si>
  <si>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</si>
  <si>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</si>
  <si>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</si>
  <si>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</si>
  <si>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</si>
  <si>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</si>
  <si>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</si>
  <si>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</si>
  <si>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</si>
  <si>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</si>
  <si>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</si>
  <si>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</si>
  <si>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</si>
  <si>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</si>
  <si>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</si>
  <si>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</si>
  <si>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</si>
  <si>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</si>
  <si>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</si>
  <si>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</si>
  <si>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</si>
  <si>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</si>
  <si>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</si>
  <si>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</si>
  <si>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</si>
  <si>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</si>
  <si>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</si>
  <si>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</si>
  <si>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</si>
  <si>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</si>
  <si>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</si>
  <si>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</si>
  <si>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</si>
  <si>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</si>
  <si>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</si>
  <si>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</si>
  <si>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</si>
  <si>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</si>
  <si>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</si>
  <si>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</si>
  <si>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</si>
  <si>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</si>
  <si>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</si>
  <si>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</si>
  <si>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</si>
  <si>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</si>
  <si>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</si>
  <si>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</si>
  <si>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</si>
  <si>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</si>
  <si>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</si>
  <si>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</si>
  <si>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</si>
  <si>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</si>
  <si>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</si>
  <si>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</si>
  <si>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</si>
  <si>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</si>
  <si>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</si>
  <si>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</si>
  <si>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</si>
  <si>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</si>
  <si>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</si>
  <si>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</si>
  <si>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</si>
  <si>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</si>
  <si>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</si>
  <si>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</si>
  <si>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</si>
  <si>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</si>
  <si>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</si>
  <si>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</si>
  <si>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</si>
  <si>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</si>
  <si>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</si>
  <si>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</si>
  <si>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</si>
  <si>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</si>
  <si>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</si>
  <si>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</si>
  <si>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</si>
  <si>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地上</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</si>
  <si>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</si>
  <si>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</si>
  <si>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</si>
  <si>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</si>
  <si>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</si>
  <si>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</si>
  <si>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</si>
  <si>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</si>
  <si>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</si>
  <si>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</si>
  <si>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</si>
  <si>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</si>
  <si>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</si>
  <si>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</si>
  <si>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</si>
  <si>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</si>
  <si>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</si>
  <si>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</si>
  <si>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</si>
  <si>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</si>
  <si>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</si>
  <si>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</si>
  <si>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</si>
  <si>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</si>
  <si>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与级别开发程度不一致</t>
  </si>
  <si>
    <t>售价</t>
  </si>
  <si>
    <t>自定义容积率</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</si>
  <si>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</si>
  <si>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</si>
  <si>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</si>
  <si>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</si>
  <si>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</si>
  <si>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</si>
  <si>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</si>
  <si>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</si>
  <si>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</si>
  <si>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</si>
  <si>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</si>
  <si>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</si>
  <si>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</si>
  <si>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</si>
  <si>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</si>
  <si>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</si>
  <si>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</si>
  <si>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</si>
  <si>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</si>
  <si>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</si>
  <si>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</si>
  <si>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</si>
  <si>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</si>
  <si>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</si>
  <si>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</si>
  <si>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办公</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</si>
  <si>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</si>
  <si>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</si>
  <si>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</si>
  <si>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</si>
  <si>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</si>
  <si>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</si>
  <si>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</si>
  <si>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</si>
  <si>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</si>
  <si>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</si>
  <si>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</si>
  <si>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</si>
  <si>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</si>
  <si>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</si>
  <si>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</si>
  <si>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</si>
  <si>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</si>
  <si>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</si>
  <si>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</si>
  <si>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</si>
  <si>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</si>
  <si>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</si>
  <si>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</si>
  <si>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</si>
  <si>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</si>
  <si>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</si>
  <si>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</si>
  <si>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</si>
  <si>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佳境天城</t>
    <phoneticPr fontId="3" type="noConversion"/>
  </si>
  <si>
    <t>建成年代</t>
    <phoneticPr fontId="31" type="noConversion"/>
  </si>
  <si>
    <t>望京SOHO</t>
    <phoneticPr fontId="3" type="noConversion"/>
  </si>
  <si>
    <t>2013-2014</t>
    <phoneticPr fontId="31" type="noConversion"/>
  </si>
  <si>
    <t>塔楼</t>
  </si>
  <si>
    <t>2007-2008</t>
    <phoneticPr fontId="31" type="noConversion"/>
  </si>
  <si>
    <t>较低层高</t>
    <phoneticPr fontId="31" type="noConversion"/>
  </si>
  <si>
    <t>方恒时代中心</t>
    <phoneticPr fontId="3" type="noConversion"/>
  </si>
  <si>
    <t>跃层</t>
    <phoneticPr fontId="31" type="noConversion"/>
  </si>
  <si>
    <t>平层</t>
    <phoneticPr fontId="31" type="noConversion"/>
  </si>
  <si>
    <t>户型</t>
    <phoneticPr fontId="31" type="noConversion"/>
  </si>
  <si>
    <t>高区</t>
    <phoneticPr fontId="31" type="noConversion"/>
  </si>
  <si>
    <t>中区</t>
  </si>
  <si>
    <t>中区</t>
    <phoneticPr fontId="31" type="noConversion"/>
  </si>
  <si>
    <t>低区</t>
  </si>
  <si>
    <t>低区</t>
    <phoneticPr fontId="31" type="noConversion"/>
  </si>
  <si>
    <t>塔楼</t>
    <phoneticPr fontId="31" type="noConversion"/>
  </si>
  <si>
    <t>楼层修正</t>
  </si>
  <si>
    <t>1层商业</t>
  </si>
  <si>
    <t>1层</t>
  </si>
  <si>
    <t>3层</t>
    <phoneticPr fontId="30" type="noConversion"/>
  </si>
  <si>
    <t>4层</t>
    <phoneticPr fontId="30" type="noConversion"/>
  </si>
  <si>
    <t>商业项目</t>
  </si>
  <si>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</si>
  <si>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</si>
  <si>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</si>
  <si>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</si>
  <si>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</si>
  <si>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</si>
  <si>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</si>
  <si>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</si>
  <si>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</si>
  <si>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</si>
  <si>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</si>
  <si>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</si>
  <si>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</si>
  <si>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</si>
  <si>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</si>
  <si>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</si>
  <si>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</si>
  <si>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</si>
  <si>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</si>
  <si>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</si>
  <si>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</si>
  <si>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</si>
  <si>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</si>
  <si>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</si>
  <si>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</si>
  <si>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</si>
  <si>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</si>
  <si>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</si>
  <si>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</si>
  <si>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自然人</t>
  </si>
  <si>
    <t>中仓小区</t>
    <phoneticPr fontId="3" type="noConversion"/>
  </si>
  <si>
    <t>万达广场</t>
    <phoneticPr fontId="30" type="noConversion"/>
  </si>
  <si>
    <t>新通国际花园</t>
    <phoneticPr fontId="30" type="noConversion"/>
  </si>
  <si>
    <t>收益比率</t>
  </si>
  <si>
    <t>情况4</t>
  </si>
  <si>
    <t>转让取得</t>
  </si>
  <si>
    <t>个人其他（无凭证）</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</si>
  <si>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</si>
  <si>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</si>
  <si>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</si>
  <si>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中仓小区</t>
    <phoneticPr fontId="3" type="noConversion"/>
  </si>
  <si>
    <t>达富雅园</t>
    <phoneticPr fontId="30" type="noConversion"/>
  </si>
  <si>
    <t>万方家园</t>
    <phoneticPr fontId="30" type="noConversion"/>
  </si>
  <si>
    <t>1043-1</t>
    <phoneticPr fontId="3" type="noConversion"/>
  </si>
  <si>
    <t>1043-2</t>
    <phoneticPr fontId="3" type="noConversion"/>
  </si>
  <si>
    <t>商业</t>
    <phoneticPr fontId="7" type="noConversion"/>
  </si>
  <si>
    <t>成本法 (元)</t>
  </si>
  <si>
    <t>中心城区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</si>
</sst>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77" fillId="6" borderId="0" xfId="0" applyFont="1" applyFill="1" applyProtection="1">
      <alignment vertical="center"/>
      <protection locked="0"/>
    </xf>
    <xf numFmtId="181" fontId="60" fillId="7" borderId="0" xfId="17" applyNumberFormat="1"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估价对象为北京市房地产，为所有。根据《国有土地使用证》[]，估价对象（分摊）出让国有建设用地使用权面积为0平方米，建筑面积为61.42平方米。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估价对象为北京市房地产,属开发建设的商业项目，该项目尚在开发建设中。根据《国有土地使用证》[]，估价对象（分摊）出让国有建设用地使用权面积为0平方米，规划建筑面积为61.42平方米。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2024年3月12日（评估专业人员实地查勘之日）</v>
      </c>
    </row>
    <row r="13" spans="1:2" s="1201" customFormat="1">
      <c r="A13" s="1199" t="s">
        <v>529</v>
      </c>
      <c r="B13" s="1200" t="str">
        <f>'预评函-1'!A18</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136</v>
      </c>
    </row>
    <row r="21" spans="1:2" s="1201" customFormat="1">
      <c r="A21" s="1199" t="s">
        <v>537</v>
      </c>
      <c r="B21" s="1200">
        <f ca="1">'预评函-2'!D7</f>
        <v>22128</v>
      </c>
    </row>
    <row r="22" spans="1:2" s="1201" customFormat="1">
      <c r="A22" s="1199" t="s">
        <v>538</v>
      </c>
      <c r="B22" s="1200" t="str">
        <f ca="1">'预评函-2'!D6</f>
        <v>壹佰叁拾陆万元整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136</v>
      </c>
    </row>
    <row r="31" spans="1:2" s="1201" customFormat="1">
      <c r="A31" s="1199" t="s">
        <v>576</v>
      </c>
      <c r="B31" s="1200">
        <f ca="1">'预评函-2'!D15</f>
        <v>22128</v>
      </c>
    </row>
    <row r="32" spans="1:2" s="1201" customFormat="1">
      <c r="A32" s="1199" t="s">
        <v>543</v>
      </c>
      <c r="B32" s="1200" t="str">
        <f ca="1">'预评函-2'!D14</f>
        <v>壹佰叁拾陆万元整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61.42</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77</v>
      </c>
    </row>
    <row r="48" spans="1:2" s="1201" customFormat="1">
      <c r="A48" s="1199" t="s">
        <v>549</v>
      </c>
      <c r="B48" s="1200">
        <f ca="1">'预评函-3'!E4</f>
        <v>12591</v>
      </c>
    </row>
    <row r="49" spans="1:2" s="1201" customFormat="1">
      <c r="A49" s="1199" t="s">
        <v>550</v>
      </c>
      <c r="B49" s="1200" t="str">
        <f ca="1">'预评函-3'!D5</f>
        <v>柒拾柒万元整</v>
      </c>
    </row>
    <row r="50" spans="1:2" s="1201" customFormat="1">
      <c r="A50" s="1199" t="s">
        <v>574</v>
      </c>
      <c r="B50" s="1200" t="str">
        <f>'预评函-3'!F2</f>
        <v>在建建筑物价值</v>
      </c>
    </row>
    <row r="51" spans="1:2" s="1201" customFormat="1">
      <c r="A51" s="1199" t="s">
        <v>551</v>
      </c>
      <c r="B51" s="1200">
        <f ca="1">'预评函-3'!F4</f>
        <v>59</v>
      </c>
    </row>
    <row r="52" spans="1:2" s="1201" customFormat="1">
      <c r="A52" s="1199" t="s">
        <v>552</v>
      </c>
      <c r="B52" s="1200">
        <f ca="1">'预评函-3'!G4</f>
        <v>9537</v>
      </c>
    </row>
    <row r="53" spans="1:2" s="1201" customFormat="1">
      <c r="A53" s="1199" t="s">
        <v>580</v>
      </c>
      <c r="B53" s="1200" t="str">
        <f ca="1">'预评函-3'!F5</f>
        <v>伍拾玖万元整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15" t="str">
        <f>项目基本情况!B1</f>
        <v>北京市房地产抵押价值预评估</v>
      </c>
      <c r="C37" s="3515"/>
      <c r="D37" s="3515"/>
      <c r="E37" s="3515"/>
      <c r="F37" s="3515"/>
      <c r="G37" s="3515"/>
      <c r="H37" s="3515"/>
      <c r="I37" s="3515"/>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估价对象为北京市房地产，为所有。根据《国有土地使用证》[]，估价对象（分摊）出让国有建设用地使用权面积为0平方米，建筑面积为61.42平方米。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估价对象为北京市房地产,属开发建设的商业项目，该项目尚在开发建设中。根据《国有土地使用证》[]，估价对象（分摊）出让国有建设用地使用权面积为0平方米，规划建筑面积为61.42平方米。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2024年3月12日（评估专业人员实地查勘之日）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0"/>
      <c r="C2" s="3520"/>
      <c r="D2" s="3520"/>
      <c r="E2" s="3520"/>
    </row>
    <row r="3" spans="1:5" ht="18">
      <c r="A3" s="3521" t="str">
        <f>IF(项目基本情况!B9="房地产市场价值","估价结果一览表（市场价值不需“结果表-1”）","估价结果一览表")</f>
        <v>估价结果一览表</v>
      </c>
      <c r="B3" s="3521"/>
      <c r="C3" s="3521"/>
      <c r="D3" s="3521"/>
      <c r="E3" s="3521"/>
    </row>
    <row r="4" spans="1:5" ht="19.5" thickBot="1">
      <c r="A4" s="1491"/>
      <c r="B4" s="3519" t="s">
        <v>917</v>
      </c>
      <c r="C4" s="3519"/>
      <c r="D4" s="3519"/>
      <c r="E4" s="1491"/>
    </row>
    <row r="5" spans="1:5" ht="16.5" thickTop="1">
      <c r="A5" s="1489"/>
      <c r="B5" s="3517" t="s">
        <v>909</v>
      </c>
      <c r="C5" s="1492" t="s">
        <v>910</v>
      </c>
      <c r="D5" s="848">
        <f ca="1">结果表!H101</f>
        <v>136</v>
      </c>
      <c r="E5" s="1489"/>
    </row>
    <row r="6" spans="1:5" ht="15.75">
      <c r="A6" s="1489"/>
      <c r="B6" s="3517"/>
      <c r="C6" s="1492" t="s">
        <v>911</v>
      </c>
      <c r="D6" s="848" t="str">
        <f ca="1">NUMBERSTRING(INT(D5*10000),2)&amp;"元整"</f>
        <v>壹佰叁拾陆万元整</v>
      </c>
      <c r="E6" s="1489"/>
    </row>
    <row r="7" spans="1:5" ht="15.75">
      <c r="A7" s="1489"/>
      <c r="B7" s="3522"/>
      <c r="C7" s="1493" t="s">
        <v>912</v>
      </c>
      <c r="D7" s="849">
        <f ca="1">结果表!H102</f>
        <v>22128</v>
      </c>
      <c r="E7" s="1489"/>
    </row>
    <row r="8" spans="1:5" ht="15.75">
      <c r="A8" s="1489"/>
      <c r="B8" s="3523" t="str">
        <f>结果表!E103</f>
        <v>2.估价师知悉的法定优先受偿款</v>
      </c>
      <c r="C8" s="1494" t="s">
        <v>913</v>
      </c>
      <c r="D8" s="849">
        <f>结果表!H103</f>
        <v>0</v>
      </c>
      <c r="E8" s="1489"/>
    </row>
    <row r="9" spans="1:5" ht="15.75">
      <c r="A9" s="1489"/>
      <c r="B9" s="3525"/>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16" t="str">
        <f>结果表!E107</f>
        <v>3.房地产抵押价值</v>
      </c>
      <c r="C13" s="1497" t="s">
        <v>910</v>
      </c>
      <c r="D13" s="851">
        <f ca="1">结果表!H107</f>
        <v>136</v>
      </c>
      <c r="E13" s="1489"/>
    </row>
    <row r="14" spans="1:5" ht="15.75">
      <c r="A14" s="1489"/>
      <c r="B14" s="3517"/>
      <c r="C14" s="1492" t="s">
        <v>911</v>
      </c>
      <c r="D14" s="848" t="str">
        <f ca="1">NUMBERSTRING(INT(D13*10000),2)&amp;"元整"</f>
        <v>壹佰叁拾陆万元整</v>
      </c>
      <c r="E14" s="1489"/>
    </row>
    <row r="15" spans="1:5" ht="15">
      <c r="A15" s="1489"/>
      <c r="B15" s="3522"/>
      <c r="C15" s="1493" t="s">
        <v>921</v>
      </c>
      <c r="D15" s="857">
        <f ca="1">结果表!H108</f>
        <v>22128</v>
      </c>
      <c r="E15" s="1489"/>
    </row>
    <row r="16" spans="1:5" ht="15">
      <c r="A16" s="1489"/>
      <c r="B16" s="3523" t="str">
        <f>结果表!E109</f>
        <v>——</v>
      </c>
      <c r="C16" s="1497" t="s">
        <v>922</v>
      </c>
      <c r="D16" s="1498" t="str">
        <f>结果表!H109</f>
        <v>——</v>
      </c>
      <c r="E16" s="1489"/>
    </row>
    <row r="17" spans="1:5" ht="15.75">
      <c r="A17" s="1489"/>
      <c r="B17" s="3524"/>
      <c r="C17" s="1492" t="s">
        <v>923</v>
      </c>
      <c r="D17" s="848" t="e">
        <f>NUMBERSTRING(INT(D16*10000),2)&amp;"元整"</f>
        <v>#VALUE!</v>
      </c>
      <c r="E17" s="1489"/>
    </row>
    <row r="18" spans="1:5" ht="15">
      <c r="A18" s="1489"/>
      <c r="B18" s="3525"/>
      <c r="C18" s="1493" t="s">
        <v>912</v>
      </c>
      <c r="D18" s="857" t="str">
        <f>结果表!H110</f>
        <v>——</v>
      </c>
      <c r="E18" s="1489"/>
    </row>
    <row r="19" spans="1:5" ht="15.75">
      <c r="A19" s="1489"/>
      <c r="B19" s="3516" t="str">
        <f>结果表!E111</f>
        <v>——</v>
      </c>
      <c r="C19" s="1497" t="s">
        <v>910</v>
      </c>
      <c r="D19" s="849" t="str">
        <f>结果表!H111</f>
        <v>——</v>
      </c>
      <c r="E19" s="1489"/>
    </row>
    <row r="20" spans="1:5" ht="15.75">
      <c r="A20" s="1489"/>
      <c r="B20" s="3517"/>
      <c r="C20" s="1492" t="s">
        <v>923</v>
      </c>
      <c r="D20" s="848" t="e">
        <f>NUMBERSTRING(INT(D19*10000),2)&amp;"元整"</f>
        <v>#VALUE!</v>
      </c>
      <c r="E20" s="1489"/>
    </row>
    <row r="21" spans="1:5" ht="15.75" thickBot="1">
      <c r="A21" s="1489"/>
      <c r="B21" s="3518"/>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33" t="str">
        <f>IF(项目基本情况!B9="房地产市场价值","估价结果一览表","结果表-2")</f>
        <v>结果表-2</v>
      </c>
      <c r="B1" s="3533"/>
      <c r="C1" s="3533"/>
      <c r="D1" s="3533"/>
      <c r="E1" s="3533"/>
      <c r="F1" s="3533"/>
      <c r="G1" s="3533"/>
      <c r="H1" s="3533"/>
      <c r="I1" s="3533"/>
    </row>
    <row r="2" spans="1:9" ht="30" customHeight="1" thickTop="1">
      <c r="A2" s="3534" t="s">
        <v>928</v>
      </c>
      <c r="B2" s="3534" t="s">
        <v>929</v>
      </c>
      <c r="C2" s="3534" t="s">
        <v>930</v>
      </c>
      <c r="D2" s="3534" t="str">
        <f>结果表!D116</f>
        <v>出让国有建设用地使用权价值</v>
      </c>
      <c r="E2" s="3534"/>
      <c r="F2" s="3534" t="str">
        <f>结果表!F116</f>
        <v>在建建筑物价值</v>
      </c>
      <c r="G2" s="3534"/>
      <c r="H2" s="3534" t="str">
        <f>IF(项目基本情况!B9="房地产市场价值","房地产市场价值","房地产价值")</f>
        <v>房地产价值</v>
      </c>
      <c r="I2" s="3534"/>
    </row>
    <row r="3" spans="1:9" ht="15">
      <c r="A3" s="3529"/>
      <c r="B3" s="3529"/>
      <c r="C3" s="3529"/>
      <c r="D3" s="852" t="s">
        <v>925</v>
      </c>
      <c r="E3" s="852" t="s">
        <v>931</v>
      </c>
      <c r="F3" s="852" t="s">
        <v>925</v>
      </c>
      <c r="G3" s="852" t="s">
        <v>926</v>
      </c>
      <c r="H3" s="852" t="s">
        <v>925</v>
      </c>
      <c r="I3" s="852" t="s">
        <v>926</v>
      </c>
    </row>
    <row r="4" spans="1:9" ht="15">
      <c r="A4" s="1503" t="str">
        <f>项目基本情况!S2</f>
        <v>北京市房地产</v>
      </c>
      <c r="B4" s="852">
        <f>项目基本情况!C17</f>
        <v>61.42</v>
      </c>
      <c r="C4" s="852">
        <f>项目基本情况!C18</f>
        <v>0</v>
      </c>
      <c r="D4" s="852">
        <f ca="1">结果表!D118</f>
        <v>77</v>
      </c>
      <c r="E4" s="852">
        <f ca="1">结果表!E118</f>
        <v>12591</v>
      </c>
      <c r="F4" s="852">
        <f ca="1">结果表!F118</f>
        <v>59</v>
      </c>
      <c r="G4" s="852">
        <f ca="1">结果表!G118</f>
        <v>9537</v>
      </c>
      <c r="H4" s="852">
        <f ca="1">结果表!H118</f>
        <v>136</v>
      </c>
      <c r="I4" s="852">
        <f ca="1">结果表!I118</f>
        <v>22128</v>
      </c>
    </row>
    <row r="5" spans="1:9" ht="30" customHeight="1">
      <c r="A5" s="3529" t="s">
        <v>927</v>
      </c>
      <c r="B5" s="3529"/>
      <c r="C5" s="3529"/>
      <c r="D5" s="3529" t="str">
        <f ca="1">结果表!D119</f>
        <v>柒拾柒万元整</v>
      </c>
      <c r="E5" s="3529"/>
      <c r="F5" s="3529" t="str">
        <f ca="1">结果表!F119</f>
        <v>伍拾玖万元整</v>
      </c>
      <c r="G5" s="3529"/>
      <c r="H5" s="3529" t="str">
        <f ca="1">结果表!H119</f>
        <v>壹佰叁拾陆万元整</v>
      </c>
      <c r="I5" s="3529"/>
    </row>
    <row r="6" spans="1:9" ht="15.75">
      <c r="A6" s="3528" t="str">
        <f>结果表!A120</f>
        <v>估价师知悉的法定优先受偿款</v>
      </c>
      <c r="B6" s="3528"/>
      <c r="C6" s="3528"/>
      <c r="D6" s="3528">
        <f>结果表!D120</f>
        <v>0</v>
      </c>
      <c r="E6" s="3528"/>
      <c r="F6" s="3528"/>
      <c r="G6" s="3528"/>
      <c r="H6" s="3528"/>
      <c r="I6" s="3528"/>
    </row>
    <row r="7" spans="1:9" ht="15">
      <c r="A7" s="3529" t="s">
        <v>927</v>
      </c>
      <c r="B7" s="3529"/>
      <c r="C7" s="3529"/>
      <c r="D7" s="3530" t="str">
        <f>结果表!D121</f>
        <v>零元整</v>
      </c>
      <c r="E7" s="3531"/>
      <c r="F7" s="3531"/>
      <c r="G7" s="3531"/>
      <c r="H7" s="3531"/>
      <c r="I7" s="3532"/>
    </row>
    <row r="8" spans="1:9" ht="15.75">
      <c r="A8" s="3528" t="str">
        <f>结果表!A122</f>
        <v>房地产抵押价值</v>
      </c>
      <c r="B8" s="3528"/>
      <c r="C8" s="3528"/>
      <c r="D8" s="3528">
        <f ca="1">结果表!D122</f>
        <v>136</v>
      </c>
      <c r="E8" s="3528"/>
      <c r="F8" s="3528"/>
      <c r="G8" s="3528"/>
      <c r="H8" s="3528"/>
      <c r="I8" s="3528"/>
    </row>
    <row r="9" spans="1:9" ht="15">
      <c r="A9" s="3529" t="s">
        <v>927</v>
      </c>
      <c r="B9" s="3529"/>
      <c r="C9" s="3529"/>
      <c r="D9" s="3529" t="str">
        <f ca="1">结果表!D123</f>
        <v>壹佰叁拾陆万元整</v>
      </c>
      <c r="E9" s="3529"/>
      <c r="F9" s="3529"/>
      <c r="G9" s="3529"/>
      <c r="H9" s="3529"/>
      <c r="I9" s="3529"/>
    </row>
    <row r="10" spans="1:9" ht="15.75">
      <c r="A10" s="3528" t="str">
        <f>结果表!A124</f>
        <v/>
      </c>
      <c r="B10" s="3528"/>
      <c r="C10" s="3528"/>
      <c r="D10" s="3528" t="str">
        <f>结果表!D124</f>
        <v>——</v>
      </c>
      <c r="E10" s="3528"/>
      <c r="F10" s="3528"/>
      <c r="G10" s="3528"/>
      <c r="H10" s="3528"/>
      <c r="I10" s="3528"/>
    </row>
    <row r="11" spans="1:9" ht="15">
      <c r="A11" s="3529" t="s">
        <v>927</v>
      </c>
      <c r="B11" s="3529"/>
      <c r="C11" s="3529"/>
      <c r="D11" s="3529" t="e">
        <f>结果表!D125</f>
        <v>#VALUE!</v>
      </c>
      <c r="E11" s="3529"/>
      <c r="F11" s="3529"/>
      <c r="G11" s="3529"/>
      <c r="H11" s="3529"/>
      <c r="I11" s="3529"/>
    </row>
    <row r="12" spans="1:9" ht="15.75">
      <c r="A12" s="3528" t="str">
        <f>结果表!A126</f>
        <v/>
      </c>
      <c r="B12" s="3528"/>
      <c r="C12" s="3528"/>
      <c r="D12" s="3528" t="str">
        <f>结果表!D126</f>
        <v>——</v>
      </c>
      <c r="E12" s="3528"/>
      <c r="F12" s="3528"/>
      <c r="G12" s="3528"/>
      <c r="H12" s="3528"/>
      <c r="I12" s="3528"/>
    </row>
    <row r="13" spans="1:9" ht="15.75" thickBot="1">
      <c r="A13" s="3526" t="s">
        <v>927</v>
      </c>
      <c r="B13" s="3526"/>
      <c r="C13" s="3526"/>
      <c r="D13" s="3526" t="e">
        <f>结果表!D127</f>
        <v>#VALUE!</v>
      </c>
      <c r="E13" s="3526"/>
      <c r="F13" s="3526"/>
      <c r="G13" s="3526"/>
      <c r="H13" s="3526"/>
      <c r="I13" s="3526"/>
    </row>
    <row r="14" spans="1:9" ht="15" thickTop="1">
      <c r="A14" s="3527" t="s">
        <v>932</v>
      </c>
      <c r="B14" s="3527"/>
      <c r="C14" s="3527"/>
      <c r="D14" s="3527"/>
      <c r="E14" s="3527"/>
      <c r="F14" s="3527"/>
      <c r="G14" s="3527"/>
      <c r="H14" s="3527"/>
      <c r="I14" s="3527"/>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41" t="s">
        <v>949</v>
      </c>
      <c r="B1" s="3541"/>
      <c r="C1" s="3541"/>
      <c r="D1" s="3541"/>
    </row>
    <row r="2" spans="1:4" ht="18">
      <c r="A2" s="3542" t="s">
        <v>933</v>
      </c>
      <c r="B2" s="3542"/>
      <c r="C2" s="3542"/>
      <c r="D2" s="3542"/>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42" t="s">
        <v>939</v>
      </c>
      <c r="B6" s="3542"/>
      <c r="C6" s="3542"/>
      <c r="D6" s="3542"/>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43" t="s">
        <v>942</v>
      </c>
      <c r="B11" s="3535"/>
      <c r="C11" s="3535"/>
      <c r="D11" s="3535"/>
    </row>
    <row r="12" spans="1:4" ht="15.75">
      <c r="A12" s="35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0"/>
      <c r="C12" s="3540"/>
      <c r="D12" s="3540"/>
    </row>
    <row r="13" spans="1:4" ht="30" customHeight="1">
      <c r="A13" s="35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0"/>
      <c r="C13" s="3540"/>
      <c r="D13" s="3540"/>
    </row>
    <row r="14" spans="1:4" ht="15.75" customHeight="1">
      <c r="A14" s="3535" t="str">
        <f>IF(项目基本情况!B8="抵押","4.本次评估估价师所知悉的法定优先受偿款情况说明如下：","——")</f>
        <v>4.本次评估估价师所知悉的法定优先受偿款情况说明如下：</v>
      </c>
      <c r="B14" s="3540"/>
      <c r="C14" s="3540"/>
      <c r="D14" s="3540"/>
    </row>
    <row r="15" spans="1:4" ht="42" customHeight="1">
      <c r="A15" s="35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5"/>
      <c r="C15" s="3535"/>
      <c r="D15" s="3535"/>
    </row>
    <row r="16" spans="1:4" ht="30" customHeight="1">
      <c r="A16" s="3537" t="s">
        <v>943</v>
      </c>
      <c r="B16" s="3537"/>
      <c r="C16" s="3537"/>
      <c r="D16" s="3537"/>
    </row>
    <row r="17" spans="1:4" ht="144" customHeight="1">
      <c r="A17" s="3537" t="s">
        <v>944</v>
      </c>
      <c r="B17" s="3537"/>
      <c r="C17" s="3537"/>
      <c r="D17" s="3537"/>
    </row>
    <row r="18" spans="1:4" ht="15.75" customHeight="1">
      <c r="A18" s="3535" t="str">
        <f>IF(项目基本情况!B8="抵押",结果表!K120,"——")</f>
        <v>故，本次评估不存在估价师知悉的法定优先受偿款</v>
      </c>
      <c r="B18" s="3535"/>
      <c r="C18" s="3535"/>
      <c r="D18" s="3535"/>
    </row>
    <row r="19" spans="1:4" ht="46.5" customHeight="1">
      <c r="A19" s="35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5"/>
      <c r="C19" s="3535"/>
      <c r="D19" s="3535"/>
    </row>
    <row r="20" spans="1:4" ht="57.75" customHeight="1">
      <c r="A20" s="35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5"/>
      <c r="C20" s="3535"/>
      <c r="D20" s="3535"/>
    </row>
    <row r="21" spans="1:4" ht="57.75" customHeight="1">
      <c r="A21" s="35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8"/>
      <c r="C21" s="3538"/>
      <c r="D21" s="3538"/>
    </row>
    <row r="22" spans="1:4" ht="18.75" customHeight="1">
      <c r="A22" s="3539" t="s">
        <v>945</v>
      </c>
      <c r="B22" s="3539"/>
      <c r="C22" s="3539"/>
      <c r="D22" s="3539"/>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36">
        <v>42551</v>
      </c>
      <c r="D31" s="353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49" t="s">
        <v>956</v>
      </c>
      <c r="B15" s="3544" t="s">
        <v>109</v>
      </c>
      <c r="C15" s="3545"/>
    </row>
    <row r="16" spans="1:7" ht="13.5">
      <c r="A16" s="3550"/>
      <c r="B16" s="3544" t="s">
        <v>42</v>
      </c>
      <c r="C16" s="3545"/>
    </row>
    <row r="17" spans="1:3" ht="13.5">
      <c r="A17" s="3550"/>
      <c r="B17" s="3547" t="s">
        <v>957</v>
      </c>
      <c r="C17" s="1530" t="s">
        <v>956</v>
      </c>
    </row>
    <row r="18" spans="1:3" ht="13.5">
      <c r="A18" s="3550"/>
      <c r="B18" s="3547"/>
      <c r="C18" s="1530" t="s">
        <v>958</v>
      </c>
    </row>
    <row r="19" spans="1:3" ht="13.5">
      <c r="A19" s="3550"/>
      <c r="B19" s="3547"/>
      <c r="C19" s="1530" t="s">
        <v>959</v>
      </c>
    </row>
    <row r="20" spans="1:3" ht="13.5">
      <c r="A20" s="3551"/>
      <c r="B20" s="3546" t="s">
        <v>960</v>
      </c>
      <c r="C20" s="3545"/>
    </row>
    <row r="21" spans="1:3" ht="13.5">
      <c r="A21" s="1531" t="s">
        <v>961</v>
      </c>
      <c r="B21" s="1532"/>
      <c r="C21" s="1533"/>
    </row>
    <row r="22" spans="1:3" ht="13.5">
      <c r="A22" s="3548" t="s">
        <v>962</v>
      </c>
      <c r="B22" s="3546" t="s">
        <v>963</v>
      </c>
      <c r="C22" s="3545"/>
    </row>
    <row r="23" spans="1:3" ht="13.5">
      <c r="A23" s="3548"/>
      <c r="B23" s="3546" t="s">
        <v>964</v>
      </c>
      <c r="C23" s="3545"/>
    </row>
    <row r="24" spans="1:3" ht="13.5">
      <c r="A24" s="3548"/>
      <c r="B24" s="3546" t="s">
        <v>965</v>
      </c>
      <c r="C24" s="3545"/>
    </row>
    <row r="25" spans="1:3" ht="13.5">
      <c r="A25" s="3548"/>
      <c r="B25" s="3547" t="s">
        <v>966</v>
      </c>
      <c r="C25" s="1530" t="s">
        <v>967</v>
      </c>
    </row>
    <row r="26" spans="1:3" ht="13.5">
      <c r="A26" s="3548"/>
      <c r="B26" s="3547"/>
      <c r="C26" s="1530" t="s">
        <v>968</v>
      </c>
    </row>
    <row r="27" spans="1:3" ht="13.5">
      <c r="A27" s="3548"/>
      <c r="B27" s="3547"/>
      <c r="C27" s="1530" t="s">
        <v>969</v>
      </c>
    </row>
    <row r="28" spans="1:3" ht="13.5">
      <c r="A28" s="3548"/>
      <c r="B28" s="3547"/>
      <c r="C28" s="1530" t="s">
        <v>970</v>
      </c>
    </row>
    <row r="29" spans="1:3" ht="13.5">
      <c r="A29" s="3548"/>
      <c r="B29" s="3547"/>
      <c r="C29" s="1530" t="s">
        <v>971</v>
      </c>
    </row>
    <row r="30" spans="1:3" ht="13.5">
      <c r="A30" s="3548"/>
      <c r="B30" s="3547"/>
      <c r="C30" s="1530" t="s">
        <v>972</v>
      </c>
    </row>
    <row r="31" spans="1:3" ht="13.5">
      <c r="A31" s="3548"/>
      <c r="B31" s="3547"/>
      <c r="C31" s="1530" t="s">
        <v>973</v>
      </c>
    </row>
    <row r="32" spans="1:3" ht="13.5">
      <c r="A32" s="3548"/>
      <c r="B32" s="3547"/>
      <c r="C32" s="1530" t="s">
        <v>974</v>
      </c>
    </row>
    <row r="33" spans="1:3" ht="13.5">
      <c r="A33" s="3548"/>
      <c r="B33" s="3547"/>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45364</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2" t="s">
        <v>2159</v>
      </c>
      <c r="B17" s="3552"/>
      <c r="C17" s="3552"/>
      <c r="D17" s="3552"/>
      <c r="E17" s="3552"/>
      <c r="F17" s="3552"/>
      <c r="G17" s="3552"/>
      <c r="H17" s="3552"/>
    </row>
    <row r="18" spans="1:8" ht="24" customHeight="1">
      <c r="A18" s="3553" t="s">
        <v>2160</v>
      </c>
      <c r="B18" s="3553"/>
      <c r="C18" s="3553"/>
      <c r="D18" s="2341"/>
      <c r="E18" s="3554" t="s">
        <v>2161</v>
      </c>
      <c r="F18" s="3553"/>
      <c r="G18" s="3553"/>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2579</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2580</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3416</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5"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5"/>
      <c r="B54" s="1552" t="s">
        <v>385</v>
      </c>
      <c r="C54" s="1549" t="s">
        <v>583</v>
      </c>
    </row>
    <row r="55" spans="1:4">
      <c r="A55" s="3555"/>
      <c r="B55" s="1552" t="s">
        <v>386</v>
      </c>
      <c r="C55" s="1549" t="s">
        <v>584</v>
      </c>
    </row>
    <row r="56" spans="1:4">
      <c r="A56" s="3555"/>
      <c r="B56" s="1552" t="s">
        <v>387</v>
      </c>
      <c r="C56" s="1549" t="s">
        <v>588</v>
      </c>
    </row>
    <row r="57" spans="1:4">
      <c r="A57" s="3555"/>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2502</v>
      </c>
      <c r="B1" s="3007"/>
      <c r="C1" s="3007"/>
      <c r="D1" s="3007"/>
      <c r="E1" s="3007"/>
      <c r="F1" s="3008"/>
      <c r="I1" s="3430" t="s">
        <v>2595</v>
      </c>
      <c r="J1" s="3219"/>
      <c r="K1" s="3219"/>
      <c r="L1" s="3219"/>
      <c r="M1" s="3219"/>
      <c r="N1" s="3431"/>
      <c r="O1" s="3431"/>
      <c r="P1" s="3431"/>
      <c r="Q1" s="3431"/>
      <c r="R1" s="3431"/>
    </row>
    <row r="2" spans="1:18">
      <c r="A2" s="3010"/>
      <c r="B2" s="3011"/>
      <c r="C2" s="3011"/>
      <c r="D2" s="3011"/>
      <c r="E2" s="3011"/>
      <c r="F2" s="3012"/>
      <c r="I2" s="3556" t="s">
        <v>2582</v>
      </c>
      <c r="J2" s="3556"/>
      <c r="K2" s="3556"/>
      <c r="L2" s="3556"/>
      <c r="M2" s="3556"/>
      <c r="N2" s="3556"/>
      <c r="O2" s="3556"/>
      <c r="P2" s="3556"/>
      <c r="Q2" s="3556"/>
      <c r="R2" s="3556"/>
    </row>
    <row r="3" spans="1:18">
      <c r="A3" s="3013" t="s">
        <v>2503</v>
      </c>
      <c r="B3" s="3014">
        <f>项目基本情况!D3</f>
        <v>45363</v>
      </c>
      <c r="C3" s="3016"/>
      <c r="D3" s="3016"/>
      <c r="E3" s="3016"/>
      <c r="F3" s="3012"/>
      <c r="I3" s="3432"/>
      <c r="J3" s="3432" t="s">
        <v>2586</v>
      </c>
      <c r="K3" s="3432" t="s">
        <v>2587</v>
      </c>
      <c r="L3" s="3432" t="s">
        <v>2588</v>
      </c>
      <c r="M3" s="3432" t="s">
        <v>2589</v>
      </c>
      <c r="N3" s="3433" t="s">
        <v>2590</v>
      </c>
      <c r="O3" s="3433" t="s">
        <v>2591</v>
      </c>
      <c r="P3" s="3433" t="s">
        <v>2592</v>
      </c>
      <c r="Q3" s="3433" t="s">
        <v>2593</v>
      </c>
      <c r="R3" s="3433" t="s">
        <v>2594</v>
      </c>
    </row>
    <row r="4" spans="1:18">
      <c r="A4" s="3013" t="s">
        <v>2504</v>
      </c>
      <c r="B4" s="3016" t="s">
        <v>2505</v>
      </c>
      <c r="C4" s="3016" t="s">
        <v>2506</v>
      </c>
      <c r="D4" s="3016" t="s">
        <v>2507</v>
      </c>
      <c r="E4" s="3016" t="s">
        <v>2508</v>
      </c>
      <c r="F4" s="3012"/>
      <c r="I4" s="3432" t="s">
        <v>2583</v>
      </c>
      <c r="J4" s="3432">
        <v>80</v>
      </c>
      <c r="K4" s="3432">
        <v>70</v>
      </c>
      <c r="L4" s="3432">
        <v>20</v>
      </c>
      <c r="M4" s="3432">
        <v>30</v>
      </c>
      <c r="N4" s="3016">
        <v>45</v>
      </c>
      <c r="O4" s="3016">
        <v>60</v>
      </c>
      <c r="P4" s="3016">
        <v>50</v>
      </c>
      <c r="Q4" s="3016">
        <v>20</v>
      </c>
      <c r="R4" s="3016">
        <v>375</v>
      </c>
    </row>
    <row r="5" spans="1:18">
      <c r="A5" s="3017">
        <v>40</v>
      </c>
      <c r="B5" s="3014">
        <v>46375</v>
      </c>
      <c r="C5" s="3016">
        <f>ROUNDDOWN(MIN((B5-B3)/365,A5),2)</f>
        <v>2.77</v>
      </c>
      <c r="D5" s="3018">
        <f>IF(ISERROR(ROUND(POWER(1+E5,A5-C5)*(POWER(1+E5,C5)-1)/(POWER(1+E5,A5)-1),3)),0,ROUND(POWER(1+E5,A5-C5)*(POWER(1+E5,C5)-1)/(POWER(1+E5,A5)-1),4))</f>
        <v>0.13</v>
      </c>
      <c r="E5" s="3019">
        <v>0.04</v>
      </c>
      <c r="F5" s="3012"/>
      <c r="I5" s="3432" t="s">
        <v>2584</v>
      </c>
      <c r="J5" s="3432">
        <v>70</v>
      </c>
      <c r="K5" s="3432">
        <v>60</v>
      </c>
      <c r="L5" s="3432">
        <v>15</v>
      </c>
      <c r="M5" s="3432">
        <v>25</v>
      </c>
      <c r="N5" s="3016">
        <v>40</v>
      </c>
      <c r="O5" s="3016">
        <v>50</v>
      </c>
      <c r="P5" s="3016">
        <v>40</v>
      </c>
      <c r="Q5" s="3016">
        <v>15</v>
      </c>
      <c r="R5" s="3016">
        <v>315</v>
      </c>
    </row>
    <row r="6" spans="1:18">
      <c r="A6" s="3017">
        <v>50</v>
      </c>
      <c r="B6" s="3014">
        <v>50028</v>
      </c>
      <c r="C6" s="3016">
        <f>ROUNDDOWN(MIN((B6-B3)/365,A6),2)</f>
        <v>12.78</v>
      </c>
      <c r="D6" s="3018">
        <f>IF(ISERROR(ROUND(POWER(1+E6,A6-C6)*(POWER(1+E6,C6)-1)/(POWER(1+E6,A6)-1),3)),0,ROUND(POWER(1+E6,A6-C6)*(POWER(1+E6,C6)-1)/(POWER(1+E6,A6)-1),4))</f>
        <v>0.45879999999999999</v>
      </c>
      <c r="E6" s="3019">
        <v>0.04</v>
      </c>
      <c r="F6" s="3012"/>
      <c r="I6" s="3432" t="s">
        <v>2585</v>
      </c>
      <c r="J6" s="3432">
        <v>60</v>
      </c>
      <c r="K6" s="3432">
        <v>50</v>
      </c>
      <c r="L6" s="3432">
        <v>10</v>
      </c>
      <c r="M6" s="3432">
        <v>20</v>
      </c>
      <c r="N6" s="3016">
        <v>35</v>
      </c>
      <c r="O6" s="3016">
        <v>40</v>
      </c>
      <c r="P6" s="3016">
        <v>30</v>
      </c>
      <c r="Q6" s="3016">
        <v>10</v>
      </c>
      <c r="R6" s="3016">
        <v>255</v>
      </c>
    </row>
    <row r="7" spans="1:18">
      <c r="A7" s="3017">
        <v>70</v>
      </c>
      <c r="B7" s="3014">
        <v>57333</v>
      </c>
      <c r="C7" s="3016">
        <f>ROUNDDOWN(MIN((B7-B3)/365,A7),2)</f>
        <v>32.79</v>
      </c>
      <c r="D7" s="3018">
        <f>IF(ISERROR(ROUND(POWER(1+E7,A7-C7)*(POWER(1+E7,C7)-1)/(POWER(1+E7,A7)-1),3)),0,ROUND(POWER(1+E7,A7-C7)*(POWER(1+E7,C7)-1)/(POWER(1+E7,A7)-1),4))</f>
        <v>0.77329999999999999</v>
      </c>
      <c r="E7" s="3019">
        <v>0.04</v>
      </c>
      <c r="F7" s="3012"/>
    </row>
    <row r="8" spans="1:18">
      <c r="A8" s="3010"/>
      <c r="B8" s="3011"/>
      <c r="C8" s="3011"/>
      <c r="D8" s="3011"/>
      <c r="E8" s="3011"/>
      <c r="F8" s="3012"/>
    </row>
    <row r="9" spans="1:18">
      <c r="A9" s="3013" t="s">
        <v>2509</v>
      </c>
      <c r="B9" s="3016"/>
      <c r="C9" s="3016"/>
      <c r="D9" s="3016"/>
      <c r="E9" s="3016"/>
      <c r="F9" s="3020"/>
    </row>
    <row r="10" spans="1:18">
      <c r="A10" s="3013" t="s">
        <v>2510</v>
      </c>
      <c r="B10" s="3016"/>
      <c r="C10" s="3016"/>
      <c r="D10" s="3016" t="s">
        <v>2508</v>
      </c>
      <c r="E10" s="3016"/>
      <c r="F10" s="3020" t="s">
        <v>2507</v>
      </c>
    </row>
    <row r="11" spans="1:18">
      <c r="A11" s="3013" t="s">
        <v>2511</v>
      </c>
      <c r="B11" s="3021">
        <v>70</v>
      </c>
      <c r="C11" s="3016" t="s">
        <v>2512</v>
      </c>
      <c r="D11" s="3022">
        <v>4.4999999999999998E-2</v>
      </c>
      <c r="E11" s="3016" t="s">
        <v>2513</v>
      </c>
      <c r="F11" s="3023">
        <f>ROUND(1-(1/(POWER(1+D11,B11))),4)</f>
        <v>0.95409999999999995</v>
      </c>
    </row>
    <row r="12" spans="1:18">
      <c r="A12" s="3013" t="s">
        <v>2514</v>
      </c>
      <c r="B12" s="3021">
        <v>40</v>
      </c>
      <c r="C12" s="3016" t="s">
        <v>2515</v>
      </c>
      <c r="D12" s="3022">
        <v>4.4999999999999998E-2</v>
      </c>
      <c r="E12" s="3016" t="s">
        <v>2516</v>
      </c>
      <c r="F12" s="3023">
        <f>ROUND(1-(1/(POWER(1+D12,B12))),4)</f>
        <v>0.82809999999999995</v>
      </c>
    </row>
    <row r="13" spans="1:18">
      <c r="A13" s="3013" t="s">
        <v>2517</v>
      </c>
      <c r="B13" s="3016"/>
      <c r="C13" s="3016"/>
      <c r="D13" s="3011"/>
      <c r="E13" s="3011"/>
      <c r="F13" s="3012"/>
    </row>
    <row r="14" spans="1:18">
      <c r="A14" s="3013" t="s">
        <v>2518</v>
      </c>
      <c r="B14" s="3021">
        <v>5000</v>
      </c>
      <c r="C14" s="3015"/>
      <c r="D14" s="3011"/>
      <c r="E14" s="3011"/>
      <c r="F14" s="3012"/>
    </row>
    <row r="15" spans="1:18">
      <c r="A15" s="3013" t="s">
        <v>2519</v>
      </c>
      <c r="B15" s="3016">
        <f>ROUND(B14*F12/F11,2)</f>
        <v>4339.6899999999996</v>
      </c>
      <c r="C15" s="3016">
        <f>ROUND(F12/F11,4)</f>
        <v>0.8679</v>
      </c>
      <c r="D15" s="3011"/>
      <c r="E15" s="3011"/>
      <c r="F15" s="3012"/>
    </row>
    <row r="16" spans="1:18">
      <c r="A16" s="3013" t="s">
        <v>2520</v>
      </c>
      <c r="B16" s="3016"/>
      <c r="C16" s="3016"/>
      <c r="D16" s="3011"/>
      <c r="E16" s="3011"/>
      <c r="F16" s="3012"/>
    </row>
    <row r="17" spans="1:13">
      <c r="A17" s="3013" t="s">
        <v>2519</v>
      </c>
      <c r="B17" s="3022">
        <v>4810</v>
      </c>
      <c r="C17" s="3015"/>
      <c r="D17" s="3011"/>
      <c r="E17" s="3011"/>
      <c r="F17" s="3012"/>
    </row>
    <row r="18" spans="1:13" ht="14.25" thickBot="1">
      <c r="A18" s="3024" t="s">
        <v>2518</v>
      </c>
      <c r="B18" s="3025">
        <f>ROUND(B17*F11/F12,2)</f>
        <v>5541.87</v>
      </c>
      <c r="C18" s="3025">
        <f>ROUND(F11/F12,4)</f>
        <v>1.1521999999999999</v>
      </c>
      <c r="D18" s="3026"/>
      <c r="E18" s="3026"/>
      <c r="F18" s="3027"/>
    </row>
    <row r="19" spans="1:13" ht="14.25" thickBot="1"/>
    <row r="20" spans="1:13" s="3062" customFormat="1" ht="14.25" thickTop="1">
      <c r="A20" s="3059" t="s">
        <v>2521</v>
      </c>
      <c r="B20" s="3060"/>
      <c r="C20" s="3060"/>
      <c r="D20" s="3060"/>
      <c r="E20" s="3060"/>
      <c r="F20" s="3060"/>
      <c r="G20" s="3061"/>
      <c r="I20" s="3063" t="s">
        <v>2566</v>
      </c>
      <c r="J20" s="3063" t="s">
        <v>2571</v>
      </c>
      <c r="K20" s="3063"/>
      <c r="L20" s="3063"/>
      <c r="M20" s="3063"/>
    </row>
    <row r="21" spans="1:13">
      <c r="A21" s="3028"/>
      <c r="B21" s="3029" t="s">
        <v>2522</v>
      </c>
      <c r="C21" s="3029" t="s">
        <v>2523</v>
      </c>
      <c r="D21" s="3029" t="s">
        <v>2524</v>
      </c>
      <c r="E21" s="3029" t="s">
        <v>2525</v>
      </c>
      <c r="F21" s="3029" t="s">
        <v>2526</v>
      </c>
      <c r="G21" s="3030" t="s">
        <v>2527</v>
      </c>
      <c r="I21" s="3051">
        <v>5</v>
      </c>
      <c r="J21" s="3051">
        <v>54.2</v>
      </c>
    </row>
    <row r="22" spans="1:13">
      <c r="A22" s="3028" t="s">
        <v>2528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2569</v>
      </c>
      <c r="M23" s="3051" t="s">
        <v>2570</v>
      </c>
    </row>
    <row r="24" spans="1:13">
      <c r="A24" s="3028" t="s">
        <v>2530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2568</v>
      </c>
      <c r="M24" s="3051">
        <v>10</v>
      </c>
    </row>
    <row r="25" spans="1:13">
      <c r="A25" s="3028" t="s">
        <v>2531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2572</v>
      </c>
      <c r="M25" s="3051">
        <v>8</v>
      </c>
    </row>
    <row r="26" spans="1:13">
      <c r="A26" s="3033"/>
      <c r="B26" s="3034"/>
      <c r="C26" s="3034"/>
      <c r="D26" s="3034"/>
      <c r="E26" s="3034"/>
      <c r="F26" s="3034"/>
      <c r="G26" s="3035"/>
      <c r="I26" s="3051">
        <v>30</v>
      </c>
      <c r="J26" s="3051">
        <v>90.5</v>
      </c>
      <c r="K26" s="3051">
        <f t="shared" si="2"/>
        <v>4.2000000000000028</v>
      </c>
      <c r="L26" s="3051" t="s">
        <v>2573</v>
      </c>
      <c r="M26" s="3051">
        <v>5</v>
      </c>
    </row>
    <row r="27" spans="1:13">
      <c r="A27" s="3033" t="s">
        <v>2532</v>
      </c>
      <c r="B27" s="3034"/>
      <c r="C27" s="3034"/>
      <c r="D27" s="3034"/>
      <c r="E27" s="3034"/>
      <c r="F27" s="3034"/>
      <c r="G27" s="3035"/>
      <c r="I27" s="3051">
        <v>35</v>
      </c>
      <c r="J27" s="3051">
        <v>93.8</v>
      </c>
      <c r="K27" s="3051">
        <f t="shared" si="2"/>
        <v>3.2999999999999972</v>
      </c>
      <c r="L27" s="3051" t="s">
        <v>2574</v>
      </c>
      <c r="M27" s="3051">
        <v>3</v>
      </c>
    </row>
    <row r="28" spans="1:13">
      <c r="A28" s="3033" t="s">
        <v>2533</v>
      </c>
      <c r="B28" s="3034"/>
      <c r="C28" s="3034"/>
      <c r="D28" s="3034"/>
      <c r="E28" s="3034"/>
      <c r="F28" s="3034"/>
      <c r="G28" s="3035"/>
      <c r="I28" s="3051">
        <v>40</v>
      </c>
      <c r="J28" s="3051">
        <v>96.4</v>
      </c>
      <c r="K28" s="3051">
        <f t="shared" si="2"/>
        <v>2.6000000000000085</v>
      </c>
      <c r="L28" s="3051" t="s">
        <v>2575</v>
      </c>
      <c r="M28" s="3051">
        <v>2</v>
      </c>
    </row>
    <row r="29" spans="1:13">
      <c r="A29" s="3033" t="s">
        <v>2534</v>
      </c>
      <c r="B29" s="3034"/>
      <c r="C29" s="3034"/>
      <c r="D29" s="3034"/>
      <c r="E29" s="3034"/>
      <c r="F29" s="3034"/>
      <c r="G29" s="3035"/>
      <c r="I29" s="3051">
        <v>45</v>
      </c>
      <c r="J29" s="3051">
        <v>98.4</v>
      </c>
      <c r="K29" s="3051">
        <f t="shared" si="2"/>
        <v>2</v>
      </c>
    </row>
    <row r="30" spans="1:13">
      <c r="A30" s="3033" t="s">
        <v>2535</v>
      </c>
      <c r="B30" s="3034"/>
      <c r="C30" s="3034"/>
      <c r="D30" s="3034"/>
      <c r="E30" s="3034"/>
      <c r="F30" s="3034"/>
      <c r="G30" s="3035"/>
      <c r="I30" s="3051">
        <v>50</v>
      </c>
      <c r="J30" s="3051">
        <v>100</v>
      </c>
      <c r="K30" s="3051">
        <f t="shared" si="2"/>
        <v>1.5999999999999943</v>
      </c>
    </row>
    <row r="31" spans="1:13">
      <c r="A31" s="3033" t="s">
        <v>2536</v>
      </c>
      <c r="B31" s="3034"/>
      <c r="C31" s="3034"/>
      <c r="D31" s="3034"/>
      <c r="E31" s="3034"/>
      <c r="F31" s="3034"/>
      <c r="G31" s="3035"/>
      <c r="I31" s="3051" t="s">
        <v>2567</v>
      </c>
    </row>
    <row r="32" spans="1:13">
      <c r="A32" s="3033" t="s">
        <v>2537</v>
      </c>
      <c r="B32" s="3034"/>
      <c r="C32" s="3034"/>
      <c r="D32" s="3034"/>
      <c r="E32" s="3034"/>
      <c r="F32" s="3034"/>
      <c r="G32" s="3035"/>
    </row>
    <row r="33" spans="1:13">
      <c r="A33" s="3033" t="s">
        <v>2538</v>
      </c>
      <c r="B33" s="3034"/>
      <c r="C33" s="3034"/>
      <c r="D33" s="3034"/>
      <c r="E33" s="3034"/>
      <c r="F33" s="3034"/>
      <c r="G33" s="3035"/>
      <c r="I33" s="3051" t="s">
        <v>2566</v>
      </c>
      <c r="J33" s="3051" t="s">
        <v>2576</v>
      </c>
    </row>
    <row r="34" spans="1:13">
      <c r="A34" s="3033" t="s">
        <v>2539</v>
      </c>
      <c r="B34" s="3034"/>
      <c r="C34" s="3034"/>
      <c r="D34" s="3034"/>
      <c r="E34" s="3034"/>
      <c r="F34" s="3034"/>
      <c r="G34" s="3035"/>
      <c r="I34" s="3051">
        <v>5</v>
      </c>
      <c r="J34" s="3051">
        <v>55.1</v>
      </c>
    </row>
    <row r="35" spans="1:13">
      <c r="A35" s="3033" t="s">
        <v>2540</v>
      </c>
      <c r="B35" s="3034"/>
      <c r="C35" s="3034"/>
      <c r="D35" s="3034"/>
      <c r="E35" s="3034"/>
      <c r="F35" s="3034"/>
      <c r="G35" s="3035"/>
      <c r="I35" s="3051">
        <v>10</v>
      </c>
      <c r="J35" s="3051">
        <v>67</v>
      </c>
      <c r="K35" s="3051">
        <f>J35-J34</f>
        <v>11.899999999999999</v>
      </c>
    </row>
    <row r="36" spans="1:13">
      <c r="A36" s="3033" t="s">
        <v>2541</v>
      </c>
      <c r="B36" s="3034"/>
      <c r="C36" s="3034"/>
      <c r="D36" s="3034"/>
      <c r="E36" s="3034"/>
      <c r="F36" s="3034"/>
      <c r="G36" s="3035"/>
      <c r="I36" s="3051">
        <v>15</v>
      </c>
      <c r="J36" s="3051">
        <v>76.3</v>
      </c>
      <c r="K36" s="3051">
        <f t="shared" ref="K36:K41" si="3">J36-J35</f>
        <v>9.2999999999999972</v>
      </c>
      <c r="L36" s="3051" t="s">
        <v>2569</v>
      </c>
      <c r="M36" s="3051" t="s">
        <v>2570</v>
      </c>
    </row>
    <row r="37" spans="1:13">
      <c r="A37" s="3033" t="s">
        <v>2542</v>
      </c>
      <c r="B37" s="3034"/>
      <c r="C37" s="3034"/>
      <c r="D37" s="3034"/>
      <c r="E37" s="3034"/>
      <c r="F37" s="3034"/>
      <c r="G37" s="3035"/>
      <c r="I37" s="3051">
        <v>20</v>
      </c>
      <c r="J37" s="3051">
        <v>83.6</v>
      </c>
      <c r="K37" s="3051">
        <f t="shared" si="3"/>
        <v>7.2999999999999972</v>
      </c>
      <c r="L37" s="3051" t="s">
        <v>2568</v>
      </c>
      <c r="M37" s="3051">
        <v>10</v>
      </c>
    </row>
    <row r="38" spans="1:13">
      <c r="A38" s="3033" t="s">
        <v>2543</v>
      </c>
      <c r="B38" s="3034"/>
      <c r="C38" s="3034"/>
      <c r="D38" s="3034"/>
      <c r="E38" s="3034"/>
      <c r="F38" s="3034"/>
      <c r="G38" s="3035"/>
      <c r="I38" s="3051">
        <v>25</v>
      </c>
      <c r="J38" s="3051">
        <v>89.3</v>
      </c>
      <c r="K38" s="3051">
        <f t="shared" si="3"/>
        <v>5.7000000000000028</v>
      </c>
      <c r="L38" s="3051" t="s">
        <v>2572</v>
      </c>
      <c r="M38" s="3051">
        <v>8</v>
      </c>
    </row>
    <row r="39" spans="1:13">
      <c r="A39" s="3033"/>
      <c r="B39" s="3034"/>
      <c r="C39" s="3034"/>
      <c r="D39" s="3034"/>
      <c r="E39" s="3034"/>
      <c r="F39" s="3034"/>
      <c r="G39" s="3035"/>
      <c r="I39" s="3051">
        <v>30</v>
      </c>
      <c r="J39" s="3051">
        <v>93.8</v>
      </c>
      <c r="K39" s="3051">
        <f t="shared" si="3"/>
        <v>4.5</v>
      </c>
      <c r="L39" s="3051" t="s">
        <v>2573</v>
      </c>
      <c r="M39" s="3051">
        <v>6</v>
      </c>
    </row>
    <row r="40" spans="1:13">
      <c r="A40" s="3036" t="s">
        <v>2544</v>
      </c>
      <c r="B40" s="3037"/>
      <c r="C40" s="3037"/>
      <c r="D40" s="3037"/>
      <c r="E40" s="3037"/>
      <c r="F40" s="3037"/>
      <c r="G40" s="3038"/>
      <c r="I40" s="3051">
        <v>35</v>
      </c>
      <c r="J40" s="3051">
        <v>97.2</v>
      </c>
      <c r="K40" s="3051">
        <f t="shared" si="3"/>
        <v>3.4000000000000057</v>
      </c>
      <c r="L40" s="3051" t="s">
        <v>2574</v>
      </c>
      <c r="M40" s="3051">
        <v>3</v>
      </c>
    </row>
    <row r="41" spans="1:13">
      <c r="A41" s="3039" t="s">
        <v>2545</v>
      </c>
      <c r="B41" s="3040" t="s">
        <v>2546</v>
      </c>
      <c r="C41" s="3041" t="s">
        <v>2547</v>
      </c>
      <c r="D41" s="3041" t="s">
        <v>2548</v>
      </c>
      <c r="E41" s="3042"/>
      <c r="F41" s="3043"/>
      <c r="G41" s="3044"/>
      <c r="I41" s="3051">
        <v>40</v>
      </c>
      <c r="J41" s="3051">
        <v>100</v>
      </c>
      <c r="K41" s="3051">
        <f t="shared" si="3"/>
        <v>2.7999999999999972</v>
      </c>
    </row>
    <row r="42" spans="1:13">
      <c r="A42" s="3039" t="s">
        <v>2549</v>
      </c>
      <c r="B42" s="3040" t="s">
        <v>2550</v>
      </c>
      <c r="C42" s="3041" t="s">
        <v>2551</v>
      </c>
      <c r="D42" s="3045" t="s">
        <v>2552</v>
      </c>
      <c r="E42" s="3037" t="s">
        <v>2553</v>
      </c>
      <c r="F42" s="3037"/>
      <c r="G42" s="3038"/>
    </row>
    <row r="43" spans="1:13">
      <c r="A43" s="3039" t="s">
        <v>2554</v>
      </c>
      <c r="B43" s="3040" t="s">
        <v>2555</v>
      </c>
      <c r="C43" s="3041" t="s">
        <v>2556</v>
      </c>
      <c r="D43" s="3041" t="s">
        <v>2557</v>
      </c>
      <c r="E43" s="3042" t="s">
        <v>2558</v>
      </c>
      <c r="F43" s="3043"/>
      <c r="G43" s="3044"/>
      <c r="I43" s="3051" t="s">
        <v>2566</v>
      </c>
      <c r="J43" s="3051" t="s">
        <v>2577</v>
      </c>
    </row>
    <row r="44" spans="1:13">
      <c r="A44" s="3039" t="s">
        <v>2559</v>
      </c>
      <c r="B44" s="3040" t="s">
        <v>2560</v>
      </c>
      <c r="C44" s="3041" t="s">
        <v>2561</v>
      </c>
      <c r="D44" s="3045">
        <v>0.5</v>
      </c>
      <c r="E44" s="3042" t="s">
        <v>2562</v>
      </c>
      <c r="F44" s="3043"/>
      <c r="G44" s="3044"/>
      <c r="I44" s="3051">
        <v>30</v>
      </c>
      <c r="J44" s="3051">
        <v>81.7</v>
      </c>
    </row>
    <row r="45" spans="1:13" ht="14.25" thickBot="1">
      <c r="A45" s="3046" t="s">
        <v>2563</v>
      </c>
      <c r="B45" s="3047" t="s">
        <v>2550</v>
      </c>
      <c r="C45" s="3048" t="s">
        <v>2550</v>
      </c>
      <c r="D45" s="3048" t="s">
        <v>2564</v>
      </c>
      <c r="E45" s="3049" t="s">
        <v>2565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4" sqref="G2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65" t="str">
        <f>IF(B10="北京市","北京市",C10)&amp;F10&amp;IF(结果表!G1="在建","出让国有建设用地使用权及在建建筑物",IF(结果表!G1="土地","出让国有建设用地使用权",))&amp;B9&amp;"预评估"</f>
        <v>北京市房地产抵押价值预评估</v>
      </c>
      <c r="C1" s="3566"/>
      <c r="D1" s="3566"/>
      <c r="E1" s="3566"/>
      <c r="F1" s="3566"/>
      <c r="G1" s="3566"/>
      <c r="H1" s="3566"/>
      <c r="I1" s="3567"/>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2169</v>
      </c>
      <c r="B3" s="2371">
        <v>45363</v>
      </c>
      <c r="C3" s="2372" t="s">
        <v>2170</v>
      </c>
      <c r="D3" s="2371">
        <f>B3</f>
        <v>45363</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2173</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2174</v>
      </c>
      <c r="B7" s="2384"/>
      <c r="C7" s="2382"/>
      <c r="D7" s="2383"/>
      <c r="E7" s="2658"/>
      <c r="F7" s="2660"/>
      <c r="G7" s="2660"/>
      <c r="H7" s="2660"/>
      <c r="I7" s="2660"/>
      <c r="J7" s="2436"/>
      <c r="K7" s="2612"/>
      <c r="L7" s="2609"/>
      <c r="M7" s="2609"/>
      <c r="N7" s="2436"/>
      <c r="O7" s="2447"/>
      <c r="P7" s="2436"/>
      <c r="Q7" s="2436"/>
      <c r="R7" s="2436"/>
    </row>
    <row r="8" spans="1:30">
      <c r="A8" s="2385" t="s">
        <v>2175</v>
      </c>
      <c r="B8" s="2386" t="s">
        <v>3379</v>
      </c>
      <c r="C8" s="2387"/>
      <c r="D8" s="3568" t="s">
        <v>2176</v>
      </c>
      <c r="E8" s="2388" t="s">
        <v>3380</v>
      </c>
      <c r="F8" s="2389"/>
      <c r="G8" s="2659"/>
      <c r="H8" s="2659"/>
      <c r="I8" s="2659"/>
      <c r="J8" s="2436"/>
      <c r="K8" s="2610"/>
      <c r="L8" s="2609"/>
      <c r="M8" s="2609"/>
      <c r="N8" s="2436"/>
      <c r="O8" s="2447"/>
      <c r="P8" s="2436"/>
      <c r="Q8" s="2436"/>
      <c r="R8" s="2436"/>
    </row>
    <row r="9" spans="1:30" ht="13.5" thickBot="1">
      <c r="A9" s="2390" t="s">
        <v>2177</v>
      </c>
      <c r="B9" s="2391" t="s">
        <v>3380</v>
      </c>
      <c r="C9" s="2392"/>
      <c r="D9" s="3569"/>
      <c r="E9" s="2391" t="s">
        <v>43</v>
      </c>
      <c r="F9" s="2393"/>
      <c r="G9" s="2661"/>
      <c r="H9" s="2661"/>
      <c r="I9" s="2661"/>
      <c r="J9" s="2436"/>
      <c r="K9" s="2612"/>
      <c r="L9" s="2609"/>
      <c r="M9" s="2609"/>
      <c r="N9" s="2436"/>
      <c r="O9" s="2447"/>
      <c r="P9" s="2436"/>
      <c r="Q9" s="2436"/>
      <c r="R9" s="2436"/>
    </row>
    <row r="10" spans="1:30" ht="13.5" thickTop="1">
      <c r="A10" s="2394" t="s">
        <v>2178</v>
      </c>
      <c r="B10" s="2395" t="s">
        <v>3381</v>
      </c>
      <c r="C10" s="2396"/>
      <c r="D10" s="2379"/>
      <c r="E10" s="2397" t="s">
        <v>2179</v>
      </c>
      <c r="F10" s="3469"/>
      <c r="G10" s="2662"/>
      <c r="H10" s="2663"/>
      <c r="I10" s="2664"/>
      <c r="J10" s="2436"/>
      <c r="K10" s="2612"/>
      <c r="L10" s="2609"/>
      <c r="M10" s="2609"/>
      <c r="N10" s="2436"/>
      <c r="O10" s="2447"/>
      <c r="P10" s="2436"/>
      <c r="Q10" s="2436"/>
      <c r="R10" s="2436"/>
    </row>
    <row r="11" spans="1:30">
      <c r="A11" s="2398" t="s">
        <v>2180</v>
      </c>
      <c r="B11" s="2399" t="s">
        <v>3527</v>
      </c>
      <c r="C11" s="2400"/>
      <c r="D11" s="2401"/>
      <c r="E11" s="2368"/>
      <c r="F11" s="2368"/>
      <c r="G11" s="2368"/>
      <c r="H11" s="2368"/>
      <c r="I11" s="2368"/>
      <c r="J11" s="3054"/>
      <c r="K11" s="3053"/>
      <c r="L11" s="2609"/>
      <c r="M11" s="2609"/>
      <c r="N11" s="2436"/>
      <c r="O11" s="2447"/>
      <c r="P11" s="2436"/>
      <c r="Q11" s="2436"/>
      <c r="R11" s="2436"/>
    </row>
    <row r="12" spans="1:30">
      <c r="A12" s="2402" t="s">
        <v>2181</v>
      </c>
      <c r="B12" s="322" t="s">
        <v>2182</v>
      </c>
      <c r="C12" s="2403" t="s">
        <v>2183</v>
      </c>
      <c r="D12" s="2403" t="s">
        <v>2184</v>
      </c>
      <c r="E12" s="2403" t="s">
        <v>2185</v>
      </c>
      <c r="F12" s="2403" t="s">
        <v>2186</v>
      </c>
      <c r="G12" s="2403" t="s">
        <v>2187</v>
      </c>
      <c r="H12" s="2403" t="s">
        <v>2188</v>
      </c>
      <c r="I12" s="3052" t="s">
        <v>2578</v>
      </c>
      <c r="J12" s="3055"/>
      <c r="K12" s="2609"/>
      <c r="L12" s="2609"/>
      <c r="M12" s="2436"/>
      <c r="N12" s="2447"/>
      <c r="O12" s="2436"/>
      <c r="P12" s="2436"/>
      <c r="Q12" s="2436"/>
      <c r="AD12" s="1743"/>
    </row>
    <row r="13" spans="1:30">
      <c r="A13" s="3416" t="s">
        <v>3333</v>
      </c>
      <c r="B13" s="2404" t="s">
        <v>2189</v>
      </c>
      <c r="C13" s="854"/>
      <c r="D13" s="3482">
        <v>51557</v>
      </c>
      <c r="E13" s="3482"/>
      <c r="F13" s="854"/>
      <c r="G13" s="854"/>
      <c r="H13" s="854"/>
      <c r="I13" s="854"/>
      <c r="J13" s="3055"/>
      <c r="K13" s="2609"/>
      <c r="L13" s="2609"/>
      <c r="M13" s="2436"/>
      <c r="N13" s="2447"/>
      <c r="O13" s="2436"/>
      <c r="P13" s="2436"/>
      <c r="Q13" s="2436"/>
      <c r="AD13" s="1743"/>
    </row>
    <row r="14" spans="1:30">
      <c r="A14" s="1079"/>
      <c r="B14" s="2404" t="s">
        <v>2190</v>
      </c>
      <c r="C14" s="2405"/>
      <c r="D14" s="2405">
        <v>40</v>
      </c>
      <c r="E14" s="2405">
        <v>50</v>
      </c>
      <c r="F14" s="2405"/>
      <c r="G14" s="2405"/>
      <c r="H14" s="2405"/>
      <c r="I14" s="2405"/>
      <c r="J14" s="3056"/>
      <c r="K14" s="2609"/>
      <c r="L14" s="2609"/>
      <c r="M14" s="2436"/>
      <c r="N14" s="2447"/>
      <c r="O14" s="2436"/>
      <c r="P14" s="2436"/>
      <c r="Q14" s="2436"/>
      <c r="AD14" s="1743"/>
    </row>
    <row r="15" spans="1:30">
      <c r="A15" s="319"/>
      <c r="B15" s="2406" t="s">
        <v>2191</v>
      </c>
      <c r="C15" s="2407" t="str">
        <f>IF(A13="出让",IF(C13="","",ROUNDDOWN(MIN((C13-$D$3)/365,C14),2)),C14)</f>
        <v/>
      </c>
      <c r="D15" s="2407">
        <f>IF(A13="出让",IF(D13="","",ROUNDDOWN(MIN((D13-$D$3)/365,D14),2)),D14)</f>
        <v>16.96</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2192</v>
      </c>
      <c r="B16" s="3575"/>
      <c r="C16" s="3576"/>
      <c r="D16" s="3577"/>
      <c r="E16" s="2410" t="s">
        <v>2193</v>
      </c>
      <c r="F16" s="3578"/>
      <c r="G16" s="3579"/>
      <c r="H16" s="3579"/>
      <c r="I16" s="3580"/>
      <c r="J16" s="2436"/>
      <c r="K16" s="2613"/>
      <c r="L16" s="2448"/>
      <c r="M16" s="2448"/>
      <c r="N16" s="2506"/>
      <c r="O16" s="2448"/>
      <c r="P16" s="2506"/>
      <c r="Q16" s="2436"/>
      <c r="R16" s="2436"/>
    </row>
    <row r="17" spans="1:28">
      <c r="A17" s="312" t="s">
        <v>2194</v>
      </c>
      <c r="B17" s="301" t="s">
        <v>2195</v>
      </c>
      <c r="C17" s="8">
        <f>'数据-汇总表'!E3</f>
        <v>61.42</v>
      </c>
      <c r="D17" s="2320" t="s">
        <v>2196</v>
      </c>
      <c r="E17" s="3581" t="s">
        <v>2197</v>
      </c>
      <c r="F17" s="3582"/>
      <c r="G17" s="3582"/>
      <c r="H17" s="3582"/>
      <c r="I17" s="3583"/>
      <c r="J17" s="2436"/>
      <c r="K17" s="2614"/>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84" t="s">
        <v>2201</v>
      </c>
      <c r="F18" s="3585"/>
      <c r="G18" s="3585"/>
      <c r="H18" s="3585"/>
      <c r="I18" s="3586"/>
      <c r="J18" s="2436"/>
      <c r="K18" s="2614"/>
      <c r="L18" s="2448"/>
      <c r="M18" s="2448"/>
      <c r="N18" s="2506"/>
      <c r="O18" s="2448"/>
      <c r="P18" s="2506"/>
      <c r="Q18" s="2436"/>
      <c r="R18" s="2436"/>
      <c r="S18" s="2436"/>
      <c r="T18" s="2436"/>
      <c r="U18" s="2436"/>
      <c r="V18" s="2436"/>
    </row>
    <row r="19" spans="1:28" ht="37.5" thickTop="1" thickBot="1">
      <c r="A19" s="326" t="s">
        <v>1055</v>
      </c>
      <c r="B19" s="306" t="s">
        <v>2202</v>
      </c>
      <c r="C19" s="1561"/>
      <c r="D19" s="1562" t="s">
        <v>2203</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2204</v>
      </c>
      <c r="B20" s="3571" t="s">
        <v>2205</v>
      </c>
      <c r="C20" s="3572"/>
      <c r="D20" s="3573" t="s">
        <v>2206</v>
      </c>
      <c r="E20" s="3574"/>
      <c r="F20" s="2643" t="s">
        <v>1056</v>
      </c>
      <c r="G20" s="2660"/>
      <c r="H20" s="2660"/>
      <c r="I20" s="2660"/>
      <c r="J20" s="2436"/>
      <c r="K20" s="3570"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2208</v>
      </c>
      <c r="C21" s="2630" t="s">
        <v>1057</v>
      </c>
      <c r="D21" s="1566" t="s">
        <v>2209</v>
      </c>
      <c r="E21" s="2631" t="s">
        <v>1057</v>
      </c>
      <c r="F21" s="2644"/>
      <c r="G21" s="2660"/>
      <c r="H21" s="2660"/>
      <c r="I21" s="2660"/>
      <c r="J21" s="2436"/>
      <c r="K21" s="357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2210</v>
      </c>
      <c r="C22" s="2630" t="s">
        <v>1058</v>
      </c>
      <c r="D22" s="2659"/>
      <c r="E22" s="2659"/>
      <c r="F22" s="2659"/>
      <c r="G22" s="2660"/>
      <c r="H22" s="2660"/>
      <c r="I22" s="2660"/>
      <c r="J22" s="2436"/>
      <c r="K22" s="357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2211</v>
      </c>
      <c r="B23" s="2499" t="s">
        <v>2212</v>
      </c>
      <c r="C23" s="2634"/>
      <c r="D23" s="2635" t="s">
        <v>2212</v>
      </c>
      <c r="E23" s="2636"/>
      <c r="F23" s="2659"/>
      <c r="G23" s="2660"/>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58" t="s">
        <v>2213</v>
      </c>
      <c r="B27" s="319" t="s">
        <v>2214</v>
      </c>
      <c r="C27" s="2413" t="s">
        <v>3497</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58"/>
      <c r="B28" s="301" t="s">
        <v>2215</v>
      </c>
      <c r="C28" s="2415" t="s">
        <v>3382</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58"/>
      <c r="B29" s="301" t="s">
        <v>2216</v>
      </c>
      <c r="C29" s="2417" t="s">
        <v>3383</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59"/>
      <c r="B30" s="301" t="s">
        <v>2217</v>
      </c>
      <c r="C30" s="3560"/>
      <c r="D30" s="3561"/>
      <c r="E30" s="2660"/>
      <c r="F30" s="2660"/>
      <c r="G30" s="2660"/>
      <c r="H30" s="2660"/>
      <c r="I30" s="2660"/>
      <c r="J30" s="2436"/>
      <c r="K30" s="2612"/>
      <c r="L30" s="2609"/>
      <c r="M30" s="2609"/>
      <c r="N30" s="2436"/>
      <c r="O30" s="2447"/>
      <c r="P30" s="2436"/>
      <c r="Q30" s="2436"/>
      <c r="R30" s="2436"/>
      <c r="S30" s="2436"/>
      <c r="T30" s="2436"/>
      <c r="U30" s="2436"/>
      <c r="V30" s="2436"/>
    </row>
    <row r="31" spans="1:28">
      <c r="A31" s="3562" t="s">
        <v>2218</v>
      </c>
      <c r="B31" s="2419" t="s">
        <v>3384</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63"/>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63"/>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2219</v>
      </c>
      <c r="B34" s="2024" t="s">
        <v>3385</v>
      </c>
      <c r="C34" s="2024" t="s">
        <v>3386</v>
      </c>
      <c r="D34" s="2024" t="s">
        <v>3387</v>
      </c>
      <c r="E34" s="2024" t="s">
        <v>3388</v>
      </c>
      <c r="F34" s="2024" t="s">
        <v>3389</v>
      </c>
      <c r="G34" s="2024" t="s">
        <v>3390</v>
      </c>
      <c r="H34" s="2024" t="s">
        <v>3391</v>
      </c>
      <c r="I34" s="2660"/>
      <c r="J34" s="2436"/>
      <c r="K34" s="2424">
        <f>COUNTIF(B34:H34,"——")</f>
        <v>0</v>
      </c>
      <c r="L34" s="322" t="s">
        <v>2220</v>
      </c>
      <c r="M34" s="322" t="s">
        <v>2221</v>
      </c>
      <c r="N34" s="322" t="s">
        <v>2222</v>
      </c>
      <c r="O34" s="322" t="s">
        <v>2223</v>
      </c>
      <c r="P34" s="322" t="s">
        <v>2224</v>
      </c>
      <c r="Q34" s="322" t="s">
        <v>2225</v>
      </c>
      <c r="R34" s="322" t="s">
        <v>2226</v>
      </c>
      <c r="S34" s="3557" t="s">
        <v>2227</v>
      </c>
      <c r="T34" s="2425" t="str">
        <f>NUMBERSTRING(7-K34,1)&amp;"通"</f>
        <v>七通</v>
      </c>
      <c r="U34" s="2436"/>
      <c r="V34" s="2436"/>
    </row>
    <row r="35" spans="1:30">
      <c r="A35" s="2426"/>
      <c r="B35" s="3564" t="s">
        <v>2228</v>
      </c>
      <c r="C35" s="3564"/>
      <c r="D35" s="3564"/>
      <c r="E35" s="3564"/>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57"/>
      <c r="T35" s="328" t="str">
        <f>IF(T34="一通",L35,IF(T34="二通",M35,IF(T34="三通",N35,IF(T34="四通",O35,IF(T34="五通",P35,IF(T34="六通",Q35,R35))))))</f>
        <v>通路、通电、通讯、通上水、通下水、通热、燃气</v>
      </c>
      <c r="U35" s="2436"/>
      <c r="V35" s="2436"/>
    </row>
    <row r="36" spans="1:30">
      <c r="A36" s="2427"/>
      <c r="B36" s="662" t="s">
        <v>2184</v>
      </c>
      <c r="C36" s="662" t="s">
        <v>2185</v>
      </c>
      <c r="D36" s="662" t="s">
        <v>2183</v>
      </c>
      <c r="E36" s="662" t="s">
        <v>2188</v>
      </c>
      <c r="F36" s="3058" t="s">
        <v>2581</v>
      </c>
      <c r="G36" s="2660"/>
      <c r="H36" s="2660"/>
      <c r="I36" s="2660"/>
      <c r="J36" s="2436"/>
      <c r="K36" s="2612"/>
      <c r="L36" s="2609"/>
      <c r="M36" s="2609"/>
      <c r="N36" s="2436"/>
      <c r="O36" s="2447"/>
      <c r="P36" s="2436"/>
      <c r="Q36" s="2436"/>
      <c r="R36" s="2436"/>
      <c r="S36" s="2436"/>
      <c r="T36" s="2436"/>
      <c r="U36" s="2436"/>
      <c r="V36" s="2436"/>
    </row>
    <row r="37" spans="1:30">
      <c r="A37" s="2626" t="s">
        <v>2229</v>
      </c>
      <c r="B37" s="2428" t="s">
        <v>296</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2230</v>
      </c>
      <c r="B38" s="2429" t="s">
        <v>176</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1" sqref="M21"/>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292.61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292.61</v>
      </c>
      <c r="H5" s="13">
        <f t="shared" ref="H5:AT5" si="0">SUM(H13:H656)</f>
        <v>292.61</v>
      </c>
      <c r="I5" s="13">
        <f t="shared" si="0"/>
        <v>292.61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61.42</v>
      </c>
      <c r="BA5" s="15">
        <f t="shared" si="1"/>
        <v>61.42</v>
      </c>
      <c r="BB5" s="15">
        <f t="shared" si="1"/>
        <v>61.42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t="s">
        <v>3541</v>
      </c>
      <c r="D13" s="1623" t="s">
        <v>3392</v>
      </c>
      <c r="E13" s="13">
        <f>IF($C$3="是",ROUND($A$3*G13/$B$3,2),ROUND($A$3*(G13-AT13)/$B$3,2))</f>
        <v>0</v>
      </c>
      <c r="F13" s="29"/>
      <c r="G13" s="30">
        <f>H13+AC13+AT13</f>
        <v>61.42</v>
      </c>
      <c r="H13" s="17">
        <f>SUMIF(I$12:AB$12,"总值",I13:AB13)</f>
        <v>61.42</v>
      </c>
      <c r="I13" s="1624">
        <v>61.42</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1043-1</v>
      </c>
      <c r="AY13" s="1347">
        <f>ROUND($AY$6*AZ13/$AZ$5,2)</f>
        <v>0</v>
      </c>
      <c r="AZ13" s="13">
        <f>BA13+BL13</f>
        <v>61.42</v>
      </c>
      <c r="BA13" s="13">
        <f>SUM(BB13:BK13)</f>
        <v>61.42</v>
      </c>
      <c r="BB13" s="13">
        <f>IF($D13="是",I13-J13,0)</f>
        <v>61.42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t="s">
        <v>3542</v>
      </c>
      <c r="D14" s="1623"/>
      <c r="E14" s="13">
        <f>IF($C$3="是",ROUND($A$3*G14/$B$3,2),ROUND($A$3*(G14-AT14)/$B$3,2))</f>
        <v>0</v>
      </c>
      <c r="F14" s="29"/>
      <c r="G14" s="30">
        <f>H14+AC14+AT14</f>
        <v>100.89</v>
      </c>
      <c r="H14" s="17">
        <f>SUMIF(I$12:AB$12,"总值",I14:AB14)</f>
        <v>100.89</v>
      </c>
      <c r="I14" s="1624">
        <v>100.89</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t="str">
        <f t="shared" si="6"/>
        <v>1043-2</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v>1044</v>
      </c>
      <c r="D15" s="1623"/>
      <c r="E15" s="13">
        <f>IF($C$3="是",ROUND($A$3*G15/$B$3,2),ROUND($A$3*(G15-AT15)/$B$3,2))</f>
        <v>0</v>
      </c>
      <c r="F15" s="29"/>
      <c r="G15" s="30">
        <f>H15+AC15+AT15</f>
        <v>66.45</v>
      </c>
      <c r="H15" s="17">
        <f>SUMIF(I$12:AB$12,"总值",I15:AB15)</f>
        <v>66.45</v>
      </c>
      <c r="I15" s="1624">
        <v>66.45</v>
      </c>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1044</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v>1045</v>
      </c>
      <c r="D16" s="1623"/>
      <c r="E16" s="13">
        <f>IF($C$3="是",ROUND($A$3*G16/$B$3,2),ROUND($A$3*(G16-AT16)/$B$3,2))</f>
        <v>0</v>
      </c>
      <c r="F16" s="29"/>
      <c r="G16" s="30">
        <f>H16+AC16+AT16</f>
        <v>63.85</v>
      </c>
      <c r="H16" s="17">
        <f>SUMIF(I$12:AB$12,"总值",I16:AB16)</f>
        <v>63.85</v>
      </c>
      <c r="I16" s="1624">
        <v>63.85</v>
      </c>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1045</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96" t="s">
        <v>1131</v>
      </c>
      <c r="B2" s="3596"/>
      <c r="C2" s="3596"/>
      <c r="D2" s="794" t="s">
        <v>1107</v>
      </c>
      <c r="E2" s="1637" t="s">
        <v>1108</v>
      </c>
      <c r="F2" s="2655"/>
      <c r="G2" s="2646"/>
      <c r="H2" s="2647"/>
      <c r="I2" s="2323" t="s">
        <v>1132</v>
      </c>
      <c r="J2" s="2655"/>
      <c r="K2" s="2655"/>
      <c r="L2" s="2655"/>
      <c r="M2" s="2655"/>
      <c r="N2" s="2657"/>
      <c r="O2" s="2655"/>
      <c r="P2" s="2655"/>
    </row>
    <row r="3" spans="1:16" ht="15.75" thickBot="1">
      <c r="A3" s="3597" t="s">
        <v>1105</v>
      </c>
      <c r="B3" s="3597"/>
      <c r="C3" s="3597"/>
      <c r="D3" s="43">
        <f>'数据-基础表'!AY6</f>
        <v>0</v>
      </c>
      <c r="E3" s="43">
        <f>'数据-基础表'!AZ5</f>
        <v>61.42</v>
      </c>
      <c r="F3" s="2655"/>
      <c r="G3" s="1143"/>
      <c r="H3" s="1024" t="s">
        <v>1106</v>
      </c>
      <c r="I3" s="853" t="e">
        <f>ROUND('数据-基础表'!B3/'数据-基础表'!A3,2)</f>
        <v>#DIV/0!</v>
      </c>
      <c r="J3" s="2655"/>
      <c r="K3" s="2655"/>
      <c r="L3" s="2655"/>
      <c r="M3" s="2655"/>
      <c r="N3" s="2657"/>
      <c r="O3" s="2655"/>
      <c r="P3" s="2655"/>
    </row>
    <row r="4" spans="1:16" ht="15">
      <c r="A4" s="3598"/>
      <c r="B4" s="3599"/>
      <c r="C4" s="3600"/>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601" t="s">
        <v>1110</v>
      </c>
      <c r="C5" s="3601"/>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601" t="s">
        <v>1111</v>
      </c>
      <c r="C6" s="3601"/>
      <c r="D6" s="45">
        <f>ROUND($D$3*E6/$E$3,2)</f>
        <v>0</v>
      </c>
      <c r="E6" s="46">
        <f>E3-E5</f>
        <v>61.42</v>
      </c>
      <c r="F6" s="2655"/>
      <c r="G6" s="2649" t="s">
        <v>1112</v>
      </c>
      <c r="H6" s="1144" t="s">
        <v>1113</v>
      </c>
      <c r="I6" s="2650" t="e">
        <f>ROUND(F31/D31,2)</f>
        <v>#DIV/0!</v>
      </c>
      <c r="J6" s="2655"/>
      <c r="K6" s="2655"/>
      <c r="L6" s="2655"/>
      <c r="M6" s="2655"/>
      <c r="N6" s="2655"/>
      <c r="O6" s="2655"/>
      <c r="P6" s="2655"/>
    </row>
    <row r="7" spans="1:16" ht="15.75" thickBot="1">
      <c r="A7" s="3593"/>
      <c r="B7" s="3594"/>
      <c r="C7" s="3595"/>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61.42</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61.42</v>
      </c>
      <c r="F16" s="2655"/>
      <c r="G16" s="2656"/>
      <c r="H16" s="1646" t="s">
        <v>1135</v>
      </c>
      <c r="I16" s="1647"/>
      <c r="J16" s="1137"/>
      <c r="K16" s="3590" t="s">
        <v>1135</v>
      </c>
      <c r="L16" s="3591"/>
      <c r="M16" s="3591"/>
      <c r="N16" s="3591"/>
      <c r="O16" s="3591"/>
      <c r="P16" s="3592"/>
    </row>
    <row r="17" spans="1:19" ht="15">
      <c r="A17" s="1648" t="s">
        <v>1136</v>
      </c>
      <c r="B17" s="1649" t="s">
        <v>1137</v>
      </c>
      <c r="C17" s="1650" t="s">
        <v>1138</v>
      </c>
      <c r="D17" s="1651" t="s">
        <v>1126</v>
      </c>
      <c r="E17" s="1652" t="s">
        <v>1127</v>
      </c>
      <c r="F17" s="1653"/>
      <c r="G17" s="1654"/>
      <c r="H17" s="1655" t="s">
        <v>1139</v>
      </c>
      <c r="I17" s="1656" t="s">
        <v>1124</v>
      </c>
      <c r="J17" s="1137"/>
      <c r="K17" s="3587" t="s">
        <v>1140</v>
      </c>
      <c r="L17" s="3588"/>
      <c r="M17" s="3589"/>
      <c r="N17" s="3587" t="s">
        <v>1141</v>
      </c>
      <c r="O17" s="3588"/>
      <c r="P17" s="3589"/>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3543</v>
      </c>
      <c r="D19" s="45">
        <f>ROUND($D$3*E19/$E$3,2)</f>
        <v>0</v>
      </c>
      <c r="E19" s="53">
        <f t="shared" ref="E19:E26" si="1">SUM(F19:G19)</f>
        <v>61.42</v>
      </c>
      <c r="F19" s="2789">
        <f>'数据-基础表'!I13</f>
        <v>61.42</v>
      </c>
      <c r="G19" s="2790"/>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61.42</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61.42</v>
      </c>
      <c r="F27" s="1138">
        <f>IF(SUM(F19:F26)=E8,SUM(F19:F26),"地上面积有误")</f>
        <v>61.42</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61.42</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61.42</v>
      </c>
      <c r="F31" s="675">
        <f>F27+F30</f>
        <v>61.42</v>
      </c>
      <c r="G31" s="676">
        <f>G27+G30</f>
        <v>0</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2" activePane="bottomRight" state="frozen"/>
      <selection activeCell="C50" sqref="C50"/>
      <selection pane="topRight" activeCell="C50" sqref="C50"/>
      <selection pane="bottomLeft" activeCell="C50" sqref="C50"/>
      <selection pane="bottomRight" activeCell="AL33" sqref="AL33"/>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45363</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3404</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51557</v>
      </c>
      <c r="F6" s="64">
        <f>SUMIF(项目基本情况!C$12:I$12,C6,项目基本情况!C$15:I$15)</f>
        <v>16.96</v>
      </c>
      <c r="G6" s="65">
        <f>IF(ISERROR(ROUND(POWER(1+H6,D6-F6)*(POWER(1+H6,F6)-1)/(POWER(1+H6,D6)-1),3)),0,ROUND(POWER(1+H6,D6-F6)*(POWER(1+H6,F6)-1)/(POWER(1+H6,D6)-1),3))</f>
        <v>0.65600000000000003</v>
      </c>
      <c r="H6" s="730">
        <v>0.05</v>
      </c>
      <c r="I6" s="730">
        <v>5.5E-2</v>
      </c>
      <c r="J6" s="66">
        <v>7.0000000000000007E-2</v>
      </c>
      <c r="K6" s="1028">
        <f>SUMIF('数据-汇总表'!C$19:C$33,A6,'数据-汇总表'!E$19:E$33)</f>
        <v>61.42</v>
      </c>
      <c r="L6" s="3483">
        <v>4800</v>
      </c>
      <c r="M6" s="67">
        <f t="shared" ref="M6:M14" si="0">ROUND(K6*L6/10000,0)</f>
        <v>29</v>
      </c>
      <c r="N6" s="3487">
        <f>N21</f>
        <v>0.79</v>
      </c>
      <c r="O6" s="67" t="str">
        <f>IF($N$5="成新度","——",ROUND(M6*N6,0))</f>
        <v>——</v>
      </c>
      <c r="P6" s="68" t="str">
        <f>IF($N$5="成新度","——",M6-O6)</f>
        <v>——</v>
      </c>
      <c r="Q6" s="3484">
        <v>0.15</v>
      </c>
      <c r="R6" s="69">
        <f ca="1">SUMIF('数据-汇总表'!C$19:C$33,A6,'数据-汇总表'!R$19:R$27)</f>
        <v>0</v>
      </c>
      <c r="S6" s="51">
        <f>IF('数据-汇总表'!$I$17="按面积比例",SUMIF('数据-汇总表'!C$19:C$33,A6,'数据-汇总表'!K$19:K$33),SUMIF('数据-汇总表'!C$19:C$33,A6,'数据-汇总表'!N$19:N$33))</f>
        <v>0</v>
      </c>
      <c r="T6" s="1170">
        <f>ROUND($L$14*S6/10000,0)</f>
        <v>0</v>
      </c>
      <c r="U6" s="3488">
        <v>3</v>
      </c>
      <c r="V6" s="70">
        <v>2.5000000000000001E-2</v>
      </c>
      <c r="W6" s="70">
        <v>0.1</v>
      </c>
      <c r="X6" s="1038"/>
      <c r="Y6" s="71">
        <f>N6</f>
        <v>0.79</v>
      </c>
      <c r="Z6" s="72"/>
      <c r="AA6" s="66"/>
      <c r="AB6" s="66"/>
      <c r="AC6" s="1038"/>
      <c r="AD6" s="73"/>
      <c r="AE6" s="1039">
        <f ca="1">IF(AN6="",0,SUMIF(INDIRECT("'"&amp;AN6&amp;"'"&amp;"!E:E"),$AE$5,INDIRECT("'"&amp;AN6&amp;"'"&amp;"!F:F")))</f>
        <v>16.96</v>
      </c>
      <c r="AF6" s="1346"/>
      <c r="AG6" s="137">
        <f>IF(AF6="",0,AE6-AF6)</f>
        <v>0</v>
      </c>
      <c r="AH6" s="74"/>
      <c r="AI6" s="76">
        <v>365</v>
      </c>
      <c r="AJ6" s="77"/>
      <c r="AK6" s="3473">
        <v>5.0000000000000001E-3</v>
      </c>
      <c r="AL6" s="3474">
        <v>1E-3</v>
      </c>
      <c r="AM6" s="80">
        <v>5.0000000000000001E-3</v>
      </c>
      <c r="AN6" s="1713" t="s">
        <v>3422</v>
      </c>
      <c r="AO6" s="52">
        <f ca="1">SUMIF(INDIRECT("'"&amp;AN6&amp;"'"&amp;"!A:A"),"总价",INDIRECT("'"&amp;AN6&amp;"'"&amp;"!B:B"))</f>
        <v>74.3583</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0.65600000000000003</v>
      </c>
      <c r="H16" s="90">
        <f>ROUND(SUMPRODUCT(H6:H13,K6:K13)/SUMPRODUCT((H6:H13&gt;0)*(K6:K13)),3)</f>
        <v>0.05</v>
      </c>
      <c r="I16" s="91"/>
      <c r="J16" s="91"/>
      <c r="K16" s="92">
        <f>SUM(K6:K15)</f>
        <v>61.42</v>
      </c>
      <c r="L16" s="93">
        <f>ROUND(M16*10000/SUM(K6:K14),0)</f>
        <v>4722</v>
      </c>
      <c r="M16" s="93">
        <f>SUM(M6:M14)</f>
        <v>29</v>
      </c>
      <c r="N16" s="94">
        <f>ROUND(SUMPRODUCT(M6:M14,N6:N14)/M16,3)</f>
        <v>0.79</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7.4999999999999997E-2</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v>2004</v>
      </c>
      <c r="O18" s="2666"/>
      <c r="P18" s="2666"/>
      <c r="Q18" s="2666"/>
      <c r="R18" s="2666"/>
      <c r="S18" s="2666"/>
      <c r="T18" s="2666"/>
      <c r="U18" s="3455">
        <f>700000/K16/365</f>
        <v>31.22449070625337</v>
      </c>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2304</v>
      </c>
      <c r="D19" s="2671"/>
      <c r="E19" s="2668"/>
      <c r="F19" s="2668"/>
      <c r="G19" s="2668"/>
      <c r="H19" s="2668"/>
      <c r="I19" s="2668"/>
      <c r="J19" s="2668"/>
      <c r="K19" s="2667"/>
      <c r="L19" s="2667"/>
      <c r="M19" s="3455" t="s">
        <v>3442</v>
      </c>
      <c r="N19" s="2666">
        <f>ROUND(1-(1-0%)*(2024-N18)/60,2)</f>
        <v>0.67</v>
      </c>
      <c r="O19" s="2666"/>
      <c r="P19" s="2666"/>
      <c r="Q19" s="2666"/>
      <c r="R19" s="2666"/>
      <c r="S19" s="2666"/>
      <c r="T19" s="3444"/>
      <c r="U19" s="3444"/>
      <c r="V19" s="3444"/>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2302</v>
      </c>
      <c r="D20" s="2671"/>
      <c r="E20" s="2668"/>
      <c r="F20" s="2668"/>
      <c r="G20" s="2668"/>
      <c r="H20" s="2668"/>
      <c r="I20" s="2668"/>
      <c r="J20" s="2668"/>
      <c r="K20" s="2667"/>
      <c r="L20" s="2667"/>
      <c r="M20" s="3455" t="s">
        <v>3443</v>
      </c>
      <c r="N20" s="2666">
        <v>0.9</v>
      </c>
      <c r="O20" s="2666"/>
      <c r="P20" s="2666"/>
      <c r="Q20" s="2666"/>
      <c r="R20" s="2666"/>
      <c r="S20" s="2666"/>
      <c r="T20" s="3444"/>
      <c r="U20" s="3444"/>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3444</v>
      </c>
      <c r="N21" s="2666">
        <f>ROUND((N19+N20)/2,2)</f>
        <v>0.79</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3394</v>
      </c>
      <c r="M24" s="3445" t="s">
        <v>3395</v>
      </c>
      <c r="N24" s="3445" t="s">
        <v>3396</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3397</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3398</v>
      </c>
      <c r="L26" s="3450">
        <f>K16</f>
        <v>61.42</v>
      </c>
      <c r="M26" s="3451">
        <f>N26/L26</f>
        <v>1750</v>
      </c>
      <c r="N26" s="3452">
        <f>N27+N28</f>
        <v>107485</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2306</v>
      </c>
      <c r="D27" s="2674"/>
      <c r="E27" s="2657"/>
      <c r="F27" s="2657"/>
      <c r="G27" s="2668"/>
      <c r="H27" s="2668"/>
      <c r="I27" s="2668"/>
      <c r="J27" s="2668"/>
      <c r="K27" s="3453" t="s">
        <v>3399</v>
      </c>
      <c r="L27" s="3506">
        <f>K6</f>
        <v>61.42</v>
      </c>
      <c r="M27" s="3507">
        <v>1750</v>
      </c>
      <c r="N27" s="3452">
        <f>M27*L27</f>
        <v>107485</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2640</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12284</v>
      </c>
      <c r="C29" s="2796" t="s">
        <v>2293</v>
      </c>
      <c r="D29" s="2674"/>
      <c r="E29" s="2657"/>
      <c r="F29" s="2657"/>
      <c r="G29" s="2668"/>
      <c r="H29" s="2668"/>
      <c r="I29" s="2668"/>
      <c r="J29" s="2668"/>
      <c r="K29" s="3449" t="s">
        <v>3400</v>
      </c>
      <c r="L29" s="3450">
        <f>L26</f>
        <v>61.42</v>
      </c>
      <c r="M29" s="3452">
        <v>700</v>
      </c>
      <c r="N29" s="3452">
        <f t="shared" si="12"/>
        <v>42994</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3401</v>
      </c>
      <c r="L30" s="3450">
        <f>L26</f>
        <v>61.42</v>
      </c>
      <c r="M30" s="3452">
        <v>1085</v>
      </c>
      <c r="N30" s="3452">
        <f t="shared" si="12"/>
        <v>66640.7</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3402</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3403</v>
      </c>
      <c r="L32" s="3454">
        <f>L26</f>
        <v>61.42</v>
      </c>
      <c r="M32" s="3448">
        <f>N32/L32</f>
        <v>3535</v>
      </c>
      <c r="N32" s="3448">
        <f>N26+N29+N30+N31</f>
        <v>217119.7</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2294</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2295</v>
      </c>
      <c r="D34" s="2679" t="s">
        <v>2303</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2296</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1.4999999999999999E-2</v>
      </c>
      <c r="C36" s="2797" t="s">
        <v>2297</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2298</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2298</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2313</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2307</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2299</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2300</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2308</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2299</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2301</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2305</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02" t="s">
        <v>2285</v>
      </c>
      <c r="B1" s="3603"/>
      <c r="C1" s="3603"/>
      <c r="D1" s="3603"/>
      <c r="E1" s="3603"/>
      <c r="F1" s="3603"/>
      <c r="G1" s="360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2" t="s">
        <v>2253</v>
      </c>
      <c r="C4" s="2465" t="s">
        <v>2254</v>
      </c>
      <c r="D4" s="2462"/>
      <c r="E4" s="2466"/>
      <c r="F4" s="1371" t="s">
        <v>2255</v>
      </c>
      <c r="G4" s="2467" t="s">
        <v>2256</v>
      </c>
      <c r="H4" s="797"/>
      <c r="I4" s="797"/>
      <c r="J4" s="797"/>
      <c r="K4" s="797"/>
      <c r="L4" s="797"/>
      <c r="M4" s="797"/>
      <c r="N4" s="797"/>
      <c r="O4" s="797"/>
      <c r="P4" s="797"/>
      <c r="Q4" s="797"/>
      <c r="R4" s="797"/>
    </row>
    <row r="5" spans="1:29" ht="36.75">
      <c r="A5" s="2439"/>
      <c r="B5" s="322" t="s">
        <v>2257</v>
      </c>
      <c r="C5" s="2465" t="s">
        <v>2258</v>
      </c>
      <c r="D5" s="2462"/>
      <c r="E5" s="2466"/>
      <c r="F5" s="322" t="s">
        <v>2259</v>
      </c>
      <c r="G5" s="2467" t="s">
        <v>2260</v>
      </c>
      <c r="H5" s="797"/>
      <c r="I5" s="797"/>
      <c r="J5" s="797"/>
      <c r="K5" s="797"/>
      <c r="L5" s="797"/>
      <c r="M5" s="797"/>
      <c r="N5" s="797"/>
      <c r="O5" s="797"/>
      <c r="P5" s="797"/>
      <c r="Q5" s="797"/>
      <c r="R5" s="797"/>
    </row>
    <row r="6" spans="1:29" ht="36">
      <c r="A6" s="2439"/>
      <c r="B6" s="322" t="s">
        <v>2261</v>
      </c>
      <c r="C6" s="2467" t="s">
        <v>2256</v>
      </c>
      <c r="D6" s="2462"/>
      <c r="E6" s="2466"/>
      <c r="F6" s="322" t="s">
        <v>2262</v>
      </c>
      <c r="G6" s="2467" t="s">
        <v>2263</v>
      </c>
      <c r="H6" s="797"/>
      <c r="I6" s="797"/>
      <c r="J6" s="797"/>
      <c r="K6" s="797"/>
      <c r="L6" s="797"/>
      <c r="M6" s="797"/>
      <c r="N6" s="797"/>
      <c r="O6" s="797"/>
      <c r="P6" s="797"/>
      <c r="Q6" s="797"/>
      <c r="R6" s="797"/>
    </row>
    <row r="7" spans="1:29" ht="24.75" thickBot="1">
      <c r="A7" s="2439"/>
      <c r="B7" s="322" t="s">
        <v>2259</v>
      </c>
      <c r="C7" s="2467" t="s">
        <v>2260</v>
      </c>
      <c r="D7" s="2468"/>
      <c r="E7" s="2469"/>
      <c r="F7" s="2470" t="s">
        <v>2264</v>
      </c>
      <c r="G7" s="2471" t="s">
        <v>2265</v>
      </c>
      <c r="H7" s="797"/>
      <c r="I7" s="797"/>
      <c r="J7" s="797"/>
      <c r="K7" s="797"/>
      <c r="L7" s="797"/>
      <c r="M7" s="797"/>
      <c r="N7" s="797"/>
      <c r="O7" s="797"/>
      <c r="P7" s="797"/>
      <c r="Q7" s="797"/>
      <c r="R7" s="797"/>
    </row>
    <row r="8" spans="1:29">
      <c r="A8" s="2439"/>
      <c r="B8" s="322" t="s">
        <v>2262</v>
      </c>
      <c r="C8" s="2467" t="s">
        <v>2263</v>
      </c>
      <c r="D8" s="2468"/>
      <c r="E8" s="2468"/>
      <c r="F8" s="2472"/>
      <c r="G8" s="2472"/>
      <c r="H8" s="797"/>
      <c r="I8" s="797"/>
      <c r="J8" s="797"/>
      <c r="K8" s="797"/>
      <c r="L8" s="797"/>
      <c r="M8" s="797"/>
      <c r="N8" s="797"/>
      <c r="O8" s="797"/>
      <c r="P8" s="797"/>
      <c r="Q8" s="797"/>
      <c r="R8" s="797"/>
    </row>
    <row r="9" spans="1:29" ht="24">
      <c r="A9" s="2439"/>
      <c r="B9" s="322"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2"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2" t="s">
        <v>2262</v>
      </c>
      <c r="G20" s="2500" t="str">
        <f>G6</f>
        <v>估价对象所在区域基础设施水平</v>
      </c>
    </row>
    <row r="21" spans="1:18" ht="25.5">
      <c r="A21" s="2443"/>
      <c r="B21" s="322" t="s">
        <v>2259</v>
      </c>
      <c r="C21" s="2500" t="str">
        <f>C7</f>
        <v>估价对象所在区域公共配套设施齐备情况</v>
      </c>
      <c r="D21" s="2462"/>
      <c r="E21" s="2444"/>
      <c r="F21" s="2499" t="s">
        <v>2277</v>
      </c>
      <c r="G21" s="2502"/>
    </row>
    <row r="22" spans="1:18" ht="13.5" customHeight="1">
      <c r="A22" s="2443"/>
      <c r="B22" s="322"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D14" sqref="D14"/>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61.42</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45363</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136</v>
      </c>
      <c r="C5" s="2509">
        <f ca="1">IF(B5=D14,结果表!H102,ROUND(B5*10000/$B$1,0))</f>
        <v>22128</v>
      </c>
      <c r="D5" s="2509" t="e">
        <f ca="1">ROUND(B5*10000/$B$2,0)</f>
        <v>#DIV/0!</v>
      </c>
      <c r="E5" s="2681"/>
      <c r="F5" s="2682"/>
      <c r="G5" s="2682"/>
      <c r="H5" s="2683"/>
      <c r="I5" s="2683"/>
      <c r="J5" s="2683"/>
      <c r="K5" s="2683"/>
    </row>
    <row r="6" spans="1:11" ht="16.5">
      <c r="A6" s="2509" t="s">
        <v>656</v>
      </c>
      <c r="B6" s="2509">
        <f ca="1">SUM(G14:G23)</f>
        <v>136</v>
      </c>
      <c r="C6" s="2509">
        <f ca="1">IF(B6=G14,结果表!H108,ROUND(B6*10000/$B$1,0))</f>
        <v>22128</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t="str">
        <f>IF(B8=I14,结果表!H112,ROUND(B8*10000/$B$1,0))</f>
        <v>——</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3356</v>
      </c>
      <c r="D10" s="2509" t="s">
        <v>3357</v>
      </c>
      <c r="E10" s="3434"/>
      <c r="F10" s="3438" t="s">
        <v>3358</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'数据-汇总表'!E3</f>
        <v>61.42</v>
      </c>
      <c r="C14" s="2515">
        <f>'数据-汇总表'!D3</f>
        <v>0</v>
      </c>
      <c r="D14" s="2515">
        <f ca="1">结果表!G19</f>
        <v>136</v>
      </c>
      <c r="E14" s="2515">
        <f ca="1">结果表!G20</f>
        <v>22128</v>
      </c>
      <c r="F14" s="2515" t="e">
        <f ca="1">ROUND(D14*10000/C14,0)</f>
        <v>#DIV/0!</v>
      </c>
      <c r="G14" s="2515">
        <f ca="1">结果表!H107</f>
        <v>136</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5" zoomScaleNormal="100" zoomScaleSheetLayoutView="100" zoomScalePageLayoutView="80" workbookViewId="0">
      <selection activeCell="M38" sqref="M38"/>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673</v>
      </c>
      <c r="D1" s="1745"/>
      <c r="E1" s="1745"/>
      <c r="F1" s="1747" t="s">
        <v>1263</v>
      </c>
      <c r="G1" s="1559"/>
      <c r="H1" s="1748" t="str">
        <f>IF(G1="现房","——","估价对象范围")</f>
        <v>估价对象范围</v>
      </c>
      <c r="I1" s="1749"/>
    </row>
    <row r="2" spans="1:12" ht="21.75" customHeight="1" thickBot="1">
      <c r="A2" s="3638" t="str">
        <f>项目基本情况!S2</f>
        <v>北京市房地产</v>
      </c>
      <c r="B2" s="3639"/>
      <c r="C2" s="3639"/>
      <c r="D2" s="3639"/>
      <c r="E2" s="3639"/>
      <c r="F2" s="3639"/>
      <c r="G2" s="3639"/>
      <c r="H2" s="3639"/>
      <c r="I2" s="3640"/>
    </row>
    <row r="3" spans="1:12" ht="12.75">
      <c r="A3" s="3642" t="s">
        <v>1264</v>
      </c>
      <c r="B3" s="3643"/>
      <c r="C3" s="3643"/>
      <c r="D3" s="3643"/>
      <c r="E3" s="3643"/>
      <c r="F3" s="3643"/>
      <c r="G3" s="3643"/>
      <c r="H3" s="3643"/>
      <c r="I3" s="3643"/>
    </row>
    <row r="4" spans="1:12" ht="14.25">
      <c r="A4" s="1752" t="s">
        <v>1265</v>
      </c>
      <c r="B4" s="1753" t="s">
        <v>1266</v>
      </c>
      <c r="C4" s="1754" t="s">
        <v>3544</v>
      </c>
      <c r="D4" s="1754" t="s">
        <v>3422</v>
      </c>
      <c r="E4" s="3647" t="s">
        <v>1267</v>
      </c>
      <c r="F4" s="3648"/>
      <c r="G4" s="3648"/>
      <c r="H4" s="3648"/>
      <c r="I4" s="3649"/>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18" t="s">
        <v>1268</v>
      </c>
      <c r="B5" s="3605">
        <v>25</v>
      </c>
      <c r="C5" s="3644"/>
      <c r="D5" s="3641"/>
      <c r="E5" s="130" t="s">
        <v>1269</v>
      </c>
      <c r="F5" s="1755"/>
      <c r="G5" s="1755"/>
      <c r="H5" s="1755"/>
      <c r="I5" s="1371"/>
    </row>
    <row r="6" spans="1:12" ht="12.75">
      <c r="A6" s="3618"/>
      <c r="B6" s="3605"/>
      <c r="C6" s="3646"/>
      <c r="D6" s="3641"/>
      <c r="E6" s="130" t="s">
        <v>1270</v>
      </c>
      <c r="F6" s="1755"/>
      <c r="G6" s="1755"/>
      <c r="H6" s="1755"/>
      <c r="I6" s="1371"/>
    </row>
    <row r="7" spans="1:12" ht="12.75">
      <c r="A7" s="3618"/>
      <c r="B7" s="3605"/>
      <c r="C7" s="3645"/>
      <c r="D7" s="3641"/>
      <c r="E7" s="130" t="s">
        <v>1271</v>
      </c>
      <c r="F7" s="1755"/>
      <c r="G7" s="1755"/>
      <c r="H7" s="1755"/>
      <c r="I7" s="1371"/>
    </row>
    <row r="8" spans="1:12" ht="12.75">
      <c r="A8" s="3618" t="s">
        <v>1272</v>
      </c>
      <c r="B8" s="3605">
        <v>15</v>
      </c>
      <c r="C8" s="3644"/>
      <c r="D8" s="3641"/>
      <c r="E8" s="130" t="s">
        <v>1273</v>
      </c>
      <c r="F8" s="1755"/>
      <c r="G8" s="1755"/>
      <c r="H8" s="1755"/>
      <c r="I8" s="1371"/>
    </row>
    <row r="9" spans="1:12" ht="12.75">
      <c r="A9" s="3618"/>
      <c r="B9" s="3605"/>
      <c r="C9" s="3645"/>
      <c r="D9" s="3641"/>
      <c r="E9" s="130" t="s">
        <v>1274</v>
      </c>
      <c r="F9" s="1755"/>
      <c r="G9" s="1755"/>
      <c r="H9" s="1755"/>
      <c r="I9" s="1371"/>
    </row>
    <row r="10" spans="1:12" ht="12.75">
      <c r="A10" s="3618" t="s">
        <v>1275</v>
      </c>
      <c r="B10" s="3605">
        <v>15</v>
      </c>
      <c r="C10" s="3644"/>
      <c r="D10" s="3641"/>
      <c r="E10" s="130" t="s">
        <v>1276</v>
      </c>
      <c r="F10" s="1755"/>
      <c r="G10" s="1755"/>
      <c r="H10" s="1755"/>
      <c r="I10" s="1371"/>
    </row>
    <row r="11" spans="1:12" ht="12.75">
      <c r="A11" s="3618"/>
      <c r="B11" s="3605"/>
      <c r="C11" s="3645"/>
      <c r="D11" s="3641"/>
      <c r="E11" s="130" t="s">
        <v>1277</v>
      </c>
      <c r="F11" s="1755"/>
      <c r="G11" s="1755"/>
      <c r="H11" s="1755"/>
      <c r="I11" s="1371"/>
    </row>
    <row r="12" spans="1:12" ht="12.75">
      <c r="A12" s="3618" t="s">
        <v>1278</v>
      </c>
      <c r="B12" s="3605">
        <v>15</v>
      </c>
      <c r="C12" s="3644"/>
      <c r="D12" s="3641"/>
      <c r="E12" s="130" t="s">
        <v>1279</v>
      </c>
      <c r="F12" s="1755"/>
      <c r="G12" s="1755"/>
      <c r="H12" s="1755"/>
      <c r="I12" s="1371"/>
    </row>
    <row r="13" spans="1:12" ht="12.75">
      <c r="A13" s="3618"/>
      <c r="B13" s="3605"/>
      <c r="C13" s="3645"/>
      <c r="D13" s="3641"/>
      <c r="E13" s="130" t="s">
        <v>1280</v>
      </c>
      <c r="F13" s="1755"/>
      <c r="G13" s="1755"/>
      <c r="H13" s="1755"/>
      <c r="I13" s="1371"/>
    </row>
    <row r="14" spans="1:12" ht="12.75">
      <c r="A14" s="3618" t="s">
        <v>1281</v>
      </c>
      <c r="B14" s="3605">
        <v>30</v>
      </c>
      <c r="C14" s="3621">
        <v>7</v>
      </c>
      <c r="D14" s="3668">
        <v>3</v>
      </c>
      <c r="E14" s="130" t="s">
        <v>1282</v>
      </c>
      <c r="F14" s="1755"/>
      <c r="G14" s="1755"/>
      <c r="H14" s="1755"/>
      <c r="I14" s="1371"/>
    </row>
    <row r="15" spans="1:12" ht="12.75">
      <c r="A15" s="3618"/>
      <c r="B15" s="3605"/>
      <c r="C15" s="3622"/>
      <c r="D15" s="3668"/>
      <c r="E15" s="130" t="s">
        <v>1283</v>
      </c>
      <c r="F15" s="1755"/>
      <c r="G15" s="1755"/>
      <c r="H15" s="1755"/>
      <c r="I15" s="1371"/>
    </row>
    <row r="16" spans="1:12" ht="12.75">
      <c r="A16" s="3618"/>
      <c r="B16" s="3605"/>
      <c r="C16" s="3623"/>
      <c r="D16" s="3668"/>
      <c r="E16" s="130" t="s">
        <v>1284</v>
      </c>
      <c r="F16" s="1755"/>
      <c r="G16" s="1755"/>
      <c r="H16" s="1755"/>
      <c r="I16" s="1371"/>
    </row>
    <row r="17" spans="1:36" ht="15">
      <c r="A17" s="1756" t="s">
        <v>1285</v>
      </c>
      <c r="B17" s="56"/>
      <c r="C17" s="131">
        <f>SUM(C5:C16)</f>
        <v>7</v>
      </c>
      <c r="D17" s="131">
        <f>SUM(D5:D16)</f>
        <v>3</v>
      </c>
      <c r="E17" s="128"/>
      <c r="F17" s="128"/>
      <c r="G17" s="128"/>
      <c r="H17" s="128"/>
      <c r="I17" s="128"/>
      <c r="K17" s="301"/>
      <c r="L17" s="301" t="s">
        <v>1286</v>
      </c>
      <c r="M17" s="301" t="s">
        <v>1287</v>
      </c>
    </row>
    <row r="18" spans="1:36" ht="31.9" customHeight="1" thickBot="1">
      <c r="A18" s="1757" t="s">
        <v>1288</v>
      </c>
      <c r="B18" s="1758"/>
      <c r="C18" s="132">
        <f>ROUND(C17/SUM(C17:D17),2)</f>
        <v>0.7</v>
      </c>
      <c r="D18" s="132">
        <f>1-C18</f>
        <v>0.30000000000000004</v>
      </c>
      <c r="E18" s="3628" t="s">
        <v>2130</v>
      </c>
      <c r="F18" s="3629"/>
      <c r="G18" s="3629"/>
      <c r="H18" s="3629"/>
      <c r="I18" s="3629"/>
      <c r="J18" s="3494"/>
      <c r="K18" s="301" t="s">
        <v>1289</v>
      </c>
      <c r="L18" s="301">
        <f>IF(C1="",'数据-汇总表'!E3,SUMIF(项目类型,C1,'数据-汇总表'!E17:E26)+SUMIF(项目类型,C1,'数据-汇总表'!I17:I26))</f>
        <v>61.42</v>
      </c>
      <c r="M18" s="301">
        <f>IF(C1="",'数据-汇总表'!E3,SUMIF(项目类型,C1,'数据-汇总表'!E17:E26))</f>
        <v>61.42</v>
      </c>
    </row>
    <row r="19" spans="1:36" ht="15">
      <c r="A19" s="1759" t="s">
        <v>1290</v>
      </c>
      <c r="B19" s="1760" t="s">
        <v>1291</v>
      </c>
      <c r="C19" s="133">
        <f ca="1">SUMIF(INDIRECT("'"&amp;C4&amp;"'"&amp;"!A:A"),结果表!B19,INDIRECT("'"&amp;C4&amp;"'"&amp;"!B:B"))</f>
        <v>162.28649999999999</v>
      </c>
      <c r="D19" s="134">
        <f ca="1">SUMIF(INDIRECT("'"&amp;D4&amp;"'"&amp;"!A:A"),结果表!B19,INDIRECT("'"&amp;D4&amp;"'"&amp;"!B:B"))</f>
        <v>74.3583</v>
      </c>
      <c r="E19" s="1759" t="s">
        <v>1292</v>
      </c>
      <c r="F19" s="1760" t="s">
        <v>1291</v>
      </c>
      <c r="G19" s="135">
        <f ca="1">ROUND(C19*$C$18+D19*$D$18,0)</f>
        <v>136</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26422</v>
      </c>
      <c r="D20" s="137">
        <f ca="1">SUMIF(INDIRECT("'"&amp;D4&amp;"'"&amp;"!A:A"),结果表!B20,INDIRECT("'"&amp;D4&amp;"'"&amp;"!B:B"))</f>
        <v>12107</v>
      </c>
      <c r="E20" s="1762"/>
      <c r="F20" s="1024" t="s">
        <v>1295</v>
      </c>
      <c r="G20" s="138">
        <f ca="1">ROUND(C20*$C$18+D20*$D$18,0)</f>
        <v>22128</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1.182493413647165</v>
      </c>
      <c r="E22" s="128"/>
      <c r="F22" s="128"/>
      <c r="G22" s="128"/>
      <c r="H22" s="128"/>
      <c r="I22" s="128"/>
    </row>
    <row r="23" spans="1:36" ht="13.5" thickBot="1">
      <c r="A23" s="1745"/>
      <c r="B23" s="1745"/>
      <c r="C23" s="1745"/>
      <c r="D23" s="1745"/>
      <c r="E23" s="128"/>
      <c r="F23" s="3513"/>
      <c r="G23" s="128"/>
      <c r="H23" s="128"/>
      <c r="I23" s="128"/>
      <c r="J23" s="3504"/>
    </row>
    <row r="24" spans="1:36" ht="14.25">
      <c r="A24" s="3612" t="s">
        <v>1299</v>
      </c>
      <c r="B24" s="1760" t="s">
        <v>1291</v>
      </c>
      <c r="C24" s="135">
        <f>IF(B30=0,0,D30)</f>
        <v>0</v>
      </c>
      <c r="D24" s="1767"/>
      <c r="E24" s="128"/>
      <c r="F24" s="128"/>
      <c r="G24" s="128"/>
      <c r="H24" s="128"/>
      <c r="I24" s="128"/>
    </row>
    <row r="25" spans="1:36" ht="14.25">
      <c r="A25" s="3613"/>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2131</v>
      </c>
      <c r="F30" s="128"/>
      <c r="G30" s="128"/>
      <c r="H30" s="128"/>
      <c r="I30" s="128"/>
    </row>
    <row r="31" spans="1:36" s="2307" customFormat="1" ht="26.45" customHeight="1" thickTop="1" thickBot="1">
      <c r="A31" s="2302"/>
      <c r="B31" s="2303"/>
      <c r="C31" s="2303"/>
      <c r="D31" s="2303"/>
      <c r="E31" s="2303"/>
      <c r="F31" s="2303"/>
      <c r="G31" s="2303"/>
      <c r="H31" s="2303"/>
      <c r="I31" s="2304" t="s">
        <v>2132</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22128</v>
      </c>
      <c r="D32" s="1773" t="s">
        <v>3441</v>
      </c>
      <c r="E32" s="128"/>
      <c r="F32" s="128"/>
      <c r="G32" s="128"/>
      <c r="H32" s="128"/>
      <c r="I32" s="128"/>
    </row>
    <row r="33" spans="1:15" ht="15">
      <c r="A33" s="784" t="s">
        <v>1306</v>
      </c>
      <c r="B33" s="1774"/>
      <c r="C33" s="1775" t="s">
        <v>3531</v>
      </c>
      <c r="D33" s="1776" t="s">
        <v>3422</v>
      </c>
      <c r="E33" s="1777" t="s">
        <v>1307</v>
      </c>
      <c r="F33" s="1778" t="str">
        <f>IF(D32="楼面单价","取值（单价）","取值（总价）")</f>
        <v>取值（单价）</v>
      </c>
      <c r="G33" s="128"/>
      <c r="H33" s="128"/>
      <c r="I33" s="128"/>
    </row>
    <row r="34" spans="1:15" ht="15">
      <c r="A34" s="1779"/>
      <c r="B34" s="1780" t="s">
        <v>1308</v>
      </c>
      <c r="C34" s="147">
        <f ca="1">IF(C33="自定义",F34,C32-C35)</f>
        <v>12591</v>
      </c>
      <c r="D34" s="859">
        <f ca="1">IF(C33="自定义",ROUND(C34/C32,3),IF(C33="收益比率",SUMIF(INDIRECT("'"&amp;D33&amp;"'"&amp;"!b:b"),"土地收益比率",INDIRECT("'"&amp;D33&amp;"'"&amp;"!c:c")),SUMIF(INDIRECT("'"&amp;D33&amp;"'"&amp;"!b:b"),"土地成本比率",INDIRECT("'"&amp;D33&amp;"'"&amp;"!c:c"))))</f>
        <v>0.56899999999999995</v>
      </c>
      <c r="E34" s="1781" t="s">
        <v>1309</v>
      </c>
      <c r="F34" s="1328"/>
      <c r="G34" s="128"/>
      <c r="H34" s="128"/>
      <c r="I34" s="128"/>
    </row>
    <row r="35" spans="1:15" ht="15.75" thickBot="1">
      <c r="A35" s="1782"/>
      <c r="B35" s="1783" t="s">
        <v>1310</v>
      </c>
      <c r="C35" s="1168">
        <f ca="1">IF(C33="自定义",F35,ROUND(C32*D35,0))</f>
        <v>9537</v>
      </c>
      <c r="D35" s="1169">
        <f ca="1">IF(C33="自定义",ROUND(C35/C32,3),IF(C33="收益比率",SUMIF(INDIRECT("'"&amp;D33&amp;"'"&amp;"!b:b"),"建筑物收益比率",INDIRECT("'"&amp;D33&amp;"'"&amp;"!c:c")),SUMIF(INDIRECT("'"&amp;D33&amp;"'"&amp;"!b:b"),"建筑物成本比率",INDIRECT("'"&amp;D33&amp;"'"&amp;"!c:c"))))</f>
        <v>0.43099999999999999</v>
      </c>
      <c r="E35" s="1784" t="s">
        <v>1311</v>
      </c>
      <c r="F35" s="153"/>
      <c r="G35" s="128"/>
      <c r="H35" s="128"/>
      <c r="I35" s="128"/>
    </row>
    <row r="36" spans="1:15" ht="15.75" thickBot="1">
      <c r="A36" s="3632" t="s">
        <v>1312</v>
      </c>
      <c r="B36" s="1785" t="s">
        <v>1313</v>
      </c>
      <c r="C36" s="144"/>
      <c r="D36" s="1786"/>
      <c r="E36" s="1787"/>
      <c r="F36" s="1788"/>
      <c r="G36" s="128"/>
      <c r="H36" s="128"/>
      <c r="I36" s="128"/>
    </row>
    <row r="37" spans="1:15" ht="15.75" thickBot="1">
      <c r="A37" s="3633"/>
      <c r="B37" s="1672" t="s">
        <v>1314</v>
      </c>
      <c r="C37" s="146"/>
      <c r="D37" s="1137"/>
      <c r="E37" s="1137"/>
      <c r="F37" s="1788"/>
      <c r="G37" s="128"/>
      <c r="H37" s="128"/>
      <c r="I37" s="128"/>
    </row>
    <row r="38" spans="1:15" ht="15.75" thickBot="1">
      <c r="A38" s="3634"/>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09" t="s">
        <v>1326</v>
      </c>
      <c r="B45" s="3610"/>
      <c r="C45" s="3611"/>
      <c r="D45" s="154">
        <f ca="1">ROUND(H101*F45,0)</f>
        <v>76</v>
      </c>
      <c r="E45" s="155" t="s">
        <v>1327</v>
      </c>
      <c r="F45" s="156">
        <v>0.56000000000000005</v>
      </c>
      <c r="G45" s="157" t="s">
        <v>1328</v>
      </c>
      <c r="H45" s="128"/>
      <c r="I45" s="128"/>
      <c r="J45" s="3691" t="s">
        <v>1329</v>
      </c>
      <c r="K45" s="3691"/>
      <c r="L45" s="3691"/>
      <c r="M45" s="3691"/>
      <c r="N45" s="3691"/>
      <c r="O45" s="3691"/>
    </row>
    <row r="46" spans="1:15" ht="14.25" customHeight="1">
      <c r="A46" s="3606" t="s">
        <v>1330</v>
      </c>
      <c r="B46" s="3607"/>
      <c r="C46" s="3607"/>
      <c r="D46" s="3607"/>
      <c r="E46" s="3607"/>
      <c r="F46" s="3607"/>
      <c r="G46" s="3608"/>
      <c r="H46" s="1804"/>
      <c r="I46" s="158"/>
      <c r="J46" s="2520">
        <v>1</v>
      </c>
      <c r="K46" s="3672" t="s">
        <v>1331</v>
      </c>
      <c r="L46" s="3672"/>
      <c r="M46" s="3692"/>
      <c r="N46" s="3692"/>
      <c r="O46" s="3692"/>
    </row>
    <row r="47" spans="1:15" ht="12" customHeight="1">
      <c r="A47" s="159" t="s">
        <v>1332</v>
      </c>
      <c r="B47" s="160"/>
      <c r="C47" s="161"/>
      <c r="D47" s="1085" t="s">
        <v>1333</v>
      </c>
      <c r="E47" s="301" t="s">
        <v>1334</v>
      </c>
      <c r="F47" s="162" t="s">
        <v>1335</v>
      </c>
      <c r="G47" s="2543" t="s">
        <v>1336</v>
      </c>
      <c r="H47" s="2544"/>
      <c r="I47" s="158"/>
      <c r="J47" s="2520">
        <v>2</v>
      </c>
      <c r="K47" s="3672" t="s">
        <v>1337</v>
      </c>
      <c r="L47" s="3672"/>
      <c r="M47" s="3693">
        <f>'数据-取费表'!B2</f>
        <v>45363</v>
      </c>
      <c r="N47" s="3693"/>
      <c r="O47" s="3693"/>
    </row>
    <row r="48" spans="1:15" ht="25.5">
      <c r="A48" s="3637" t="s">
        <v>1338</v>
      </c>
      <c r="B48" s="3620"/>
      <c r="C48" s="3620"/>
      <c r="D48" s="2322">
        <f ca="1">IF(H48="情况1",0,IF(H48="情况2",D52,IF(H48="情况3",D53,IF(H48="情况4",D54))))</f>
        <v>0</v>
      </c>
      <c r="E48" s="2332" t="str">
        <f>IF(H48="情况4","(销售额-原购置价)×税（费）率","销售额×税（费）率")</f>
        <v>(销售额-原购置价)×税（费）率</v>
      </c>
      <c r="F48" s="2545">
        <f>IF(H48="情况1","免征",'数据-取费表'!B41)</f>
        <v>5.6000000000000001E-2</v>
      </c>
      <c r="G48" s="2546" t="s">
        <v>1339</v>
      </c>
      <c r="H48" s="2547" t="s">
        <v>3532</v>
      </c>
      <c r="I48" s="1804"/>
      <c r="J48" s="2520">
        <v>3</v>
      </c>
      <c r="K48" s="3672" t="s">
        <v>1340</v>
      </c>
      <c r="L48" s="3672"/>
      <c r="M48" s="3694">
        <f ca="1">H101</f>
        <v>136</v>
      </c>
      <c r="N48" s="3694"/>
      <c r="O48" s="3694"/>
    </row>
    <row r="49" spans="1:35" ht="25.5" customHeight="1">
      <c r="A49" s="2331" t="s">
        <v>1341</v>
      </c>
      <c r="B49" s="3604" t="s">
        <v>1342</v>
      </c>
      <c r="C49" s="3604"/>
      <c r="D49" s="1588">
        <v>0</v>
      </c>
      <c r="E49" s="323" t="s">
        <v>1343</v>
      </c>
      <c r="F49" s="2421" t="s">
        <v>28</v>
      </c>
      <c r="G49" s="3678"/>
      <c r="H49" s="2308" t="s">
        <v>2133</v>
      </c>
      <c r="I49" s="2309"/>
      <c r="J49" s="2520">
        <v>4</v>
      </c>
      <c r="K49" s="3672" t="str">
        <f>IF(项目基本情况!E8="房地产抵押价值","房地产抵押价值","抵押担保权已注销时的房地产抵押价值")</f>
        <v>房地产抵押价值</v>
      </c>
      <c r="L49" s="3672"/>
      <c r="M49" s="3694">
        <f ca="1">IF(项目基本情况!E8="房地产抵押价值",H107,H109)</f>
        <v>136</v>
      </c>
      <c r="N49" s="3694"/>
      <c r="O49" s="3694"/>
    </row>
    <row r="50" spans="1:35" ht="25.5" customHeight="1">
      <c r="A50" s="2548"/>
      <c r="B50" s="3604" t="s">
        <v>1344</v>
      </c>
      <c r="C50" s="3604"/>
      <c r="D50" s="2549"/>
      <c r="E50" s="331"/>
      <c r="F50" s="2421"/>
      <c r="G50" s="3679"/>
      <c r="H50" s="2310" t="s">
        <v>2134</v>
      </c>
      <c r="I50" s="2309"/>
      <c r="J50" s="3691" t="s">
        <v>1345</v>
      </c>
      <c r="K50" s="3691"/>
      <c r="L50" s="3691"/>
      <c r="M50" s="3691"/>
      <c r="N50" s="3691"/>
      <c r="O50" s="3691"/>
    </row>
    <row r="51" spans="1:35" ht="20.45" customHeight="1">
      <c r="A51" s="2550"/>
      <c r="B51" s="3604" t="s">
        <v>1346</v>
      </c>
      <c r="C51" s="3604"/>
      <c r="D51" s="1085"/>
      <c r="E51" s="326"/>
      <c r="F51" s="2421"/>
      <c r="G51" s="3680"/>
      <c r="H51" s="2310" t="s">
        <v>2135</v>
      </c>
      <c r="I51" s="2309"/>
      <c r="J51" s="2521" t="s">
        <v>1347</v>
      </c>
      <c r="K51" s="3672" t="s">
        <v>1348</v>
      </c>
      <c r="L51" s="3672"/>
      <c r="M51" s="2521" t="s">
        <v>1349</v>
      </c>
      <c r="N51" s="2521" t="s">
        <v>1350</v>
      </c>
      <c r="O51" s="2521" t="s">
        <v>1351</v>
      </c>
    </row>
    <row r="52" spans="1:35" ht="24" customHeight="1">
      <c r="A52" s="2333" t="s">
        <v>1352</v>
      </c>
      <c r="B52" s="3604" t="s">
        <v>1353</v>
      </c>
      <c r="C52" s="3604"/>
      <c r="D52" s="1085">
        <f ca="1">ROUND(D45*'数据-取费表'!B41/(1+'数据-取费表'!C42),0)</f>
        <v>4</v>
      </c>
      <c r="E52" s="2332" t="s">
        <v>1354</v>
      </c>
      <c r="F52" s="2551">
        <f>'数据-取费表'!B41</f>
        <v>5.6000000000000001E-2</v>
      </c>
      <c r="G52" s="2552"/>
      <c r="H52" s="2541"/>
      <c r="I52" s="1805"/>
      <c r="J52" s="2520">
        <v>1</v>
      </c>
      <c r="K52" s="3673" t="s">
        <v>1355</v>
      </c>
      <c r="L52" s="3673"/>
      <c r="M52" s="2522">
        <f ca="1">D48</f>
        <v>0</v>
      </c>
      <c r="N52" s="2520" t="str">
        <f>E48</f>
        <v>(销售额-原购置价)×税（费）率</v>
      </c>
      <c r="O52" s="2523">
        <f>F48</f>
        <v>5.6000000000000001E-2</v>
      </c>
    </row>
    <row r="53" spans="1:35" ht="12" customHeight="1">
      <c r="A53" s="2333" t="s">
        <v>1356</v>
      </c>
      <c r="B53" s="3630" t="s">
        <v>2290</v>
      </c>
      <c r="C53" s="3631"/>
      <c r="D53" s="1085">
        <f ca="1">ROUND(D45*'数据-取费表'!B41/(1+'数据-取费表'!C42),0)</f>
        <v>4</v>
      </c>
      <c r="E53" s="2332" t="s">
        <v>1354</v>
      </c>
      <c r="F53" s="2551">
        <f>'数据-取费表'!B41</f>
        <v>5.6000000000000001E-2</v>
      </c>
      <c r="G53" s="2552"/>
      <c r="H53" s="2541"/>
      <c r="I53" s="1805"/>
      <c r="J53" s="2520">
        <v>2</v>
      </c>
      <c r="K53" s="3673" t="s">
        <v>1357</v>
      </c>
      <c r="L53" s="3673"/>
      <c r="M53" s="2522">
        <f t="shared" ref="M53:O54" ca="1" si="0">D55</f>
        <v>0</v>
      </c>
      <c r="N53" s="2520" t="str">
        <f t="shared" si="0"/>
        <v>销售额×税（费）率</v>
      </c>
      <c r="O53" s="2523">
        <f t="shared" si="0"/>
        <v>5.0000000000000001E-4</v>
      </c>
    </row>
    <row r="54" spans="1:35" ht="12" customHeight="1">
      <c r="A54" s="2333" t="s">
        <v>1358</v>
      </c>
      <c r="B54" s="3630" t="s">
        <v>2291</v>
      </c>
      <c r="C54" s="3631"/>
      <c r="D54" s="1085">
        <f ca="1">C68</f>
        <v>0</v>
      </c>
      <c r="E54" s="326" t="s">
        <v>1359</v>
      </c>
      <c r="F54" s="2551">
        <f>'数据-取费表'!B41</f>
        <v>5.6000000000000001E-2</v>
      </c>
      <c r="G54" s="2552"/>
      <c r="H54" s="2553"/>
      <c r="I54" s="1805"/>
      <c r="J54" s="2520">
        <v>3</v>
      </c>
      <c r="K54" s="3673" t="s">
        <v>1360</v>
      </c>
      <c r="L54" s="3673"/>
      <c r="M54" s="2522">
        <f t="shared" ca="1" si="0"/>
        <v>0</v>
      </c>
      <c r="N54" s="2520" t="str">
        <f t="shared" si="0"/>
        <v>增值额×税（费）率</v>
      </c>
      <c r="O54" s="2524" t="str">
        <f t="shared" si="0"/>
        <v>——</v>
      </c>
    </row>
    <row r="55" spans="1:35" ht="24" customHeight="1">
      <c r="A55" s="3619" t="s">
        <v>1361</v>
      </c>
      <c r="B55" s="3620"/>
      <c r="C55" s="3620"/>
      <c r="D55" s="2322">
        <f ca="1">IF(H55="个人住宅",0,ROUND(D45*I55,0))</f>
        <v>0</v>
      </c>
      <c r="E55" s="2332" t="s">
        <v>1362</v>
      </c>
      <c r="F55" s="2551">
        <f>IF(H55="正常",I55,"免征")</f>
        <v>5.0000000000000001E-4</v>
      </c>
      <c r="G55" s="2552"/>
      <c r="H55" s="2547" t="s">
        <v>3427</v>
      </c>
      <c r="I55" s="164">
        <f>'数据-取费表'!B49</f>
        <v>5.0000000000000001E-4</v>
      </c>
      <c r="J55" s="2520">
        <f>IF(H59="非个人房产","",4)</f>
        <v>4</v>
      </c>
      <c r="K55" s="3673" t="str">
        <f>IF(H59="非个人房产","——","个人所得税")</f>
        <v>个人所得税</v>
      </c>
      <c r="L55" s="3673"/>
      <c r="M55" s="2525">
        <f ca="1">D59</f>
        <v>1</v>
      </c>
      <c r="N55" s="2038" t="str">
        <f>E59</f>
        <v>销售额×税（费）率</v>
      </c>
      <c r="O55" s="2526">
        <f>F59</f>
        <v>0.01</v>
      </c>
    </row>
    <row r="56" spans="1:35" ht="24.75">
      <c r="A56" s="3619" t="s">
        <v>1363</v>
      </c>
      <c r="B56" s="3620"/>
      <c r="C56" s="3620"/>
      <c r="D56" s="2322">
        <f ca="1">IF(H56="个人住宅",D57,D58)</f>
        <v>0</v>
      </c>
      <c r="E56" s="2332" t="s">
        <v>1364</v>
      </c>
      <c r="F56" s="2551" t="str">
        <f>IF(H56="正常",F58,"免征")</f>
        <v>——</v>
      </c>
      <c r="G56" s="2554" t="s">
        <v>1365</v>
      </c>
      <c r="H56" s="2555" t="s">
        <v>3427</v>
      </c>
      <c r="I56" s="1806"/>
      <c r="J56" s="2520" t="str">
        <f>IF(项目基本情况!K6="上海银行",IF(J55="",4,J55+1),"")</f>
        <v/>
      </c>
      <c r="K56" s="3696" t="str">
        <f>IF(项目基本情况!K6="上海银行","其他处置费用","")</f>
        <v/>
      </c>
      <c r="L56" s="3697"/>
      <c r="M56" s="2522" t="str">
        <f>IF(项目基本情况!K6="上海银行",M69,"")</f>
        <v/>
      </c>
      <c r="N56" s="3696" t="str">
        <f>IF(项目基本情况!K6="上海银行","包含处置中涉及的律师、诉讼、拍卖、评估等费用","")</f>
        <v/>
      </c>
      <c r="O56" s="3699"/>
    </row>
    <row r="57" spans="1:35" ht="12.75">
      <c r="A57" s="2333" t="s">
        <v>1341</v>
      </c>
      <c r="B57" s="3630" t="s">
        <v>1366</v>
      </c>
      <c r="C57" s="3631"/>
      <c r="D57" s="1588">
        <v>0</v>
      </c>
      <c r="E57" s="323" t="s">
        <v>1343</v>
      </c>
      <c r="F57" s="301"/>
      <c r="G57" s="2552"/>
      <c r="H57" s="2556"/>
      <c r="I57" s="1806"/>
      <c r="J57" s="3673">
        <f>IF(AND(J55="",J56=""),4,IF(项目基本情况!K6="上海银行",结果表!J56+1,结果表!J55+1))</f>
        <v>5</v>
      </c>
      <c r="K57" s="3673" t="s">
        <v>1367</v>
      </c>
      <c r="L57" s="2527" t="s">
        <v>1368</v>
      </c>
      <c r="M57" s="2528"/>
      <c r="N57" s="2529">
        <f ca="1">SUMIF(M52:M56,"&lt;9e307")</f>
        <v>1</v>
      </c>
      <c r="O57" s="2530"/>
      <c r="P57" s="3511"/>
    </row>
    <row r="58" spans="1:35" ht="24.75">
      <c r="A58" s="2333" t="s">
        <v>1352</v>
      </c>
      <c r="B58" s="3630" t="s">
        <v>1369</v>
      </c>
      <c r="C58" s="3604"/>
      <c r="D58" s="2322">
        <f ca="1">IF(H58="转让取得",C81,C97)</f>
        <v>0</v>
      </c>
      <c r="E58" s="2332" t="s">
        <v>1364</v>
      </c>
      <c r="F58" s="301" t="s">
        <v>28</v>
      </c>
      <c r="G58" s="2552"/>
      <c r="H58" s="2555" t="s">
        <v>3533</v>
      </c>
      <c r="I58" s="1806"/>
      <c r="J58" s="3673"/>
      <c r="K58" s="3673"/>
      <c r="L58" s="2527" t="s">
        <v>1370</v>
      </c>
      <c r="M58" s="2531"/>
      <c r="N58" s="2532" t="str">
        <f ca="1">NUMBERSTRING(INT(N57*10000),2)&amp;"元整"</f>
        <v>壹万元整</v>
      </c>
      <c r="O58" s="2533"/>
    </row>
    <row r="59" spans="1:35" ht="26.25" thickBot="1">
      <c r="A59" s="3676" t="s">
        <v>1371</v>
      </c>
      <c r="B59" s="3677"/>
      <c r="C59" s="3677"/>
      <c r="D59" s="2557">
        <f ca="1">IF(H59="非个人房产","——",IF(H59="个人住宅（满五唯一有凭证）",0,IF(H59="个人其他（无凭证）",ROUND(D45*F59,0),ROUND(C67*F59,0))))</f>
        <v>1</v>
      </c>
      <c r="E59" s="2558" t="str">
        <f>IF(H59="非个人房产","——",IF(H59="个人其他（无凭证）","销售额×税（费）率",IF(H59="个人住宅（满五唯一有凭证）","免征","差额计税")))</f>
        <v>销售额×税（费）率</v>
      </c>
      <c r="F59" s="2559">
        <f>IF(OR(H59="非个人房产",H59="个人住宅（满五唯一有凭证）"),"——",IF(H59="个人其他（有凭证）",20%,1%))</f>
        <v>0.01</v>
      </c>
      <c r="G59" s="3512" t="s">
        <v>3536</v>
      </c>
      <c r="H59" s="2312" t="s">
        <v>3534</v>
      </c>
      <c r="I59" s="2311" t="s">
        <v>2136</v>
      </c>
      <c r="J59" s="3674">
        <f>J57+1</f>
        <v>6</v>
      </c>
      <c r="K59" s="3673" t="s">
        <v>1372</v>
      </c>
      <c r="L59" s="2520" t="s">
        <v>1368</v>
      </c>
      <c r="M59" s="2534"/>
      <c r="N59" s="2535">
        <f ca="1">M49-N57</f>
        <v>135</v>
      </c>
      <c r="O59" s="2536"/>
    </row>
    <row r="60" spans="1:35" ht="12" customHeight="1">
      <c r="A60" s="1807"/>
      <c r="B60" s="1745"/>
      <c r="C60" s="1745"/>
      <c r="D60" s="1745"/>
      <c r="E60" s="1576"/>
      <c r="F60" s="1806"/>
      <c r="G60" s="1806"/>
      <c r="H60" s="1808"/>
      <c r="I60" s="128"/>
      <c r="J60" s="3675"/>
      <c r="K60" s="3673"/>
      <c r="L60" s="2527" t="s">
        <v>1370</v>
      </c>
      <c r="M60" s="2531"/>
      <c r="N60" s="2532" t="str">
        <f ca="1">NUMBERSTRING(INT(N59*10000),2)&amp;"元整"</f>
        <v>壹佰叁拾伍万元整</v>
      </c>
      <c r="O60" s="2533"/>
    </row>
    <row r="61" spans="1:35" ht="13.5" thickBot="1">
      <c r="A61" s="3617" t="s">
        <v>1373</v>
      </c>
      <c r="B61" s="3617"/>
      <c r="C61" s="3617"/>
      <c r="D61" s="3617"/>
      <c r="E61" s="3617"/>
      <c r="F61" s="1806"/>
      <c r="G61" s="1806"/>
      <c r="H61" s="1808"/>
      <c r="I61" s="128"/>
      <c r="J61" s="2520">
        <f>J59+1</f>
        <v>7</v>
      </c>
      <c r="K61" s="3673" t="s">
        <v>1374</v>
      </c>
      <c r="L61" s="3673"/>
      <c r="M61" s="2537"/>
      <c r="N61" s="2538">
        <f ca="1">ROUND(N59*10000/'数据-汇总表'!E3,0)</f>
        <v>21980</v>
      </c>
      <c r="O61" s="2539"/>
    </row>
    <row r="62" spans="1:35" ht="12.75">
      <c r="A62" s="3635" t="s">
        <v>1375</v>
      </c>
      <c r="B62" s="3636"/>
      <c r="C62" s="2019"/>
      <c r="D62" s="2019" t="s">
        <v>1376</v>
      </c>
      <c r="E62" s="165" t="s">
        <v>1377</v>
      </c>
      <c r="F62" s="1806"/>
      <c r="G62" s="1806"/>
      <c r="H62" s="1808"/>
      <c r="I62" s="128"/>
    </row>
    <row r="63" spans="1:35" ht="12.75">
      <c r="A63" s="172" t="s">
        <v>330</v>
      </c>
      <c r="B63" s="166" t="s">
        <v>1378</v>
      </c>
      <c r="C63" s="2560">
        <f ca="1">ROUND((C64+C65)/(1+'数据-取费表'!C42),0)</f>
        <v>72</v>
      </c>
      <c r="D63" s="166"/>
      <c r="E63" s="167"/>
      <c r="F63" s="1806"/>
      <c r="G63" s="1806"/>
      <c r="H63" s="1808"/>
      <c r="I63" s="128"/>
      <c r="J63" s="3698" t="s">
        <v>1379</v>
      </c>
      <c r="K63" s="1330" t="s">
        <v>1380</v>
      </c>
      <c r="L63" s="1330">
        <f ca="1">IF(M49&gt;10000,M49*0.5%,IF(AND(M49&gt;1000,M49&lt;=10000),M49*1%,IF(AND(M49&gt;100,M49&lt;=1000),M49*3%,IF(AND(M49&gt;10,M49&lt;=100),M49*5%,M49*8%))))</f>
        <v>4.08</v>
      </c>
      <c r="M63" s="301">
        <f ca="1">ROUND(L63,1)</f>
        <v>4.0999999999999996</v>
      </c>
      <c r="N63" s="2540"/>
      <c r="Z63" s="1750"/>
      <c r="AI63" s="1751"/>
    </row>
    <row r="64" spans="1:35" ht="14.25" customHeight="1">
      <c r="A64" s="168" t="s">
        <v>325</v>
      </c>
      <c r="B64" s="169" t="s">
        <v>1381</v>
      </c>
      <c r="C64" s="2561">
        <f ca="1">D45</f>
        <v>76</v>
      </c>
      <c r="D64" s="169" t="s">
        <v>26</v>
      </c>
      <c r="E64" s="171"/>
      <c r="F64" s="1806"/>
      <c r="G64" s="1806"/>
      <c r="H64" s="1808"/>
      <c r="I64" s="128"/>
      <c r="J64" s="3698"/>
      <c r="K64" s="1330" t="s">
        <v>1382</v>
      </c>
      <c r="L64" s="1330">
        <f ca="1">IF(M49&gt;2000,M49*0.5%,IF(AND(M49&gt;1000,M49&lt;=2000),M49*0.6%,IF(AND(M49&gt;500,M49&lt;=1000),M49*0.7%,IF(AND(M49&gt;200,M49&lt;=500),M49*0.8%,IF(AND(M49&gt;100,M49&lt;=200),M49*0.9%,IF(AND(M49&gt;50,M49&lt;=100),M49*1%,IF(AND(M49&gt;20,M49&lt;=50),M49*1.5%,IF(AND(M49&gt;10,M49&lt;=20),M49*2%,IF(AND(M49&gt;1,M49&lt;=10),M49*2.5%)))))))))</f>
        <v>1.2240000000000002</v>
      </c>
      <c r="M64" s="301">
        <f t="shared" ref="M64:M65" ca="1" si="1">ROUND(L64,1)</f>
        <v>1.2</v>
      </c>
      <c r="N64" s="2541" t="s">
        <v>1383</v>
      </c>
      <c r="Z64" s="1750"/>
      <c r="AI64" s="1751"/>
    </row>
    <row r="65" spans="1:35" ht="14.25" customHeight="1">
      <c r="A65" s="168" t="s">
        <v>326</v>
      </c>
      <c r="B65" s="169" t="s">
        <v>1384</v>
      </c>
      <c r="C65" s="2562"/>
      <c r="D65" s="169"/>
      <c r="E65" s="171"/>
      <c r="F65" s="1806"/>
      <c r="G65" s="1806"/>
      <c r="H65" s="1808"/>
      <c r="I65" s="128"/>
      <c r="J65" s="3698"/>
      <c r="K65" s="1330" t="s">
        <v>1385</v>
      </c>
      <c r="L65" s="1330">
        <f ca="1">IF(M49&gt;1000,M49*0.1%,IF(AND(M49&gt;500,M49&lt;=1000),M49*0.5%,IF(AND(M49&gt;50,M49&lt;=500),M49*1%,IF(AND(M49&gt;1,M49&lt;=50),M49*1.5%))))</f>
        <v>1.36</v>
      </c>
      <c r="M65" s="301">
        <f t="shared" ca="1" si="1"/>
        <v>1.4</v>
      </c>
      <c r="N65" s="2541" t="s">
        <v>1383</v>
      </c>
      <c r="Z65" s="1750"/>
      <c r="AI65" s="1751"/>
    </row>
    <row r="66" spans="1:35" ht="14.25" customHeight="1">
      <c r="A66" s="172" t="s">
        <v>327</v>
      </c>
      <c r="B66" s="173" t="s">
        <v>1386</v>
      </c>
      <c r="C66" s="2563">
        <v>130</v>
      </c>
      <c r="D66" s="173" t="s">
        <v>26</v>
      </c>
      <c r="E66" s="1336" t="s">
        <v>671</v>
      </c>
      <c r="F66" s="1806"/>
      <c r="G66" s="1806"/>
      <c r="H66" s="1808"/>
      <c r="I66" s="128"/>
      <c r="J66" s="3698"/>
      <c r="K66" s="1330" t="s">
        <v>1387</v>
      </c>
      <c r="L66" s="1330">
        <f ca="1">M49*0.5%</f>
        <v>0.68</v>
      </c>
      <c r="M66" s="301">
        <f ca="1">IF(L66&gt;0.5,0.5,ROUND(L66,0))</f>
        <v>0.5</v>
      </c>
      <c r="N66" s="2541" t="s">
        <v>1388</v>
      </c>
      <c r="Z66" s="1750"/>
      <c r="AI66" s="1751"/>
    </row>
    <row r="67" spans="1:35" ht="14.25" customHeight="1">
      <c r="A67" s="172" t="s">
        <v>328</v>
      </c>
      <c r="B67" s="173" t="s">
        <v>1389</v>
      </c>
      <c r="C67" s="2564">
        <f ca="1">C63-C66</f>
        <v>-58</v>
      </c>
      <c r="D67" s="169" t="s">
        <v>26</v>
      </c>
      <c r="E67" s="171"/>
      <c r="F67" s="1806"/>
      <c r="G67" s="1806"/>
      <c r="H67" s="1808"/>
      <c r="I67" s="128"/>
      <c r="J67" s="3698"/>
      <c r="K67" s="1330" t="s">
        <v>1390</v>
      </c>
      <c r="L67" s="1330">
        <f ca="1">IF(M49&gt;=10000,(8.25+(M49-10000)*0.01%),IF(AND(M49&gt;=8000,M49&lt;10000),(7.85+(M49-8000)*0.02%),IF(AND(M49&gt;=5000,M49&lt;8000),(6.65+(M49-5000)*0.04%),IF(AND(M49&gt;=2000,M49&lt;5000),(4.25+(PM49-2000)*0.08%),IF(AND(M49&gt;=1000,M49&lt;2000),(2.75+(M49-1000)*0.15%),IF(AND(M49&gt;=100,M49&lt;1000),(0.5+(M49-100)*0.25%),IF(AND(M49&gt;0,M49&lt;100),M49*0.5%)))))))</f>
        <v>0.59</v>
      </c>
      <c r="M67" s="301">
        <f ca="1">ROUND(L67*0.9,1)</f>
        <v>0.5</v>
      </c>
      <c r="N67" s="2540"/>
      <c r="Z67" s="1750"/>
      <c r="AI67" s="1751"/>
    </row>
    <row r="68" spans="1:35" ht="14.25" customHeight="1" thickBot="1">
      <c r="A68" s="175" t="s">
        <v>329</v>
      </c>
      <c r="B68" s="176" t="s">
        <v>1391</v>
      </c>
      <c r="C68" s="2565">
        <f ca="1">IF(C67&lt;=0,0,ROUND(C67*D68,0))</f>
        <v>0</v>
      </c>
      <c r="D68" s="2566">
        <f>'数据-取费表'!B41</f>
        <v>5.6000000000000001E-2</v>
      </c>
      <c r="E68" s="177"/>
      <c r="F68" s="1806"/>
      <c r="G68" s="1806"/>
      <c r="H68" s="1808"/>
      <c r="I68" s="128"/>
      <c r="J68" s="3698"/>
      <c r="K68" s="1330" t="s">
        <v>1392</v>
      </c>
      <c r="L68" s="1330">
        <f ca="1">IF(M49&gt;10000,M49*0.5%,IF(AND(M49&gt;5000,M49&lt;=10000),M49*1%,IF(AND(M49&gt;1000,M49&lt;=5000),M49*2%,IF(AND(M49&gt;200,M49&lt;=1000),M49*3%,M49*5%))))</f>
        <v>6.8000000000000007</v>
      </c>
      <c r="M68" s="301">
        <f ca="1">ROUND(L68,1)</f>
        <v>6.8</v>
      </c>
      <c r="N68" s="2540"/>
      <c r="Z68" s="1750"/>
      <c r="AI68" s="1751"/>
    </row>
    <row r="69" spans="1:35" s="1770" customFormat="1" ht="16.5" customHeight="1">
      <c r="A69" s="1809"/>
      <c r="B69" s="1810"/>
      <c r="C69" s="1811"/>
      <c r="D69" s="1812"/>
      <c r="E69" s="1813"/>
      <c r="F69" s="1576"/>
      <c r="G69" s="1576"/>
      <c r="H69" s="1575"/>
      <c r="I69" s="1745"/>
      <c r="J69" s="3698"/>
      <c r="K69" s="1330" t="s">
        <v>1393</v>
      </c>
      <c r="L69" s="1330"/>
      <c r="M69" s="301">
        <f ca="1">ROUND(SUM(M63:M68),0)</f>
        <v>15</v>
      </c>
      <c r="N69" s="2542">
        <f ca="1">M69/M49</f>
        <v>0.11029411764705882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59" t="s">
        <v>1394</v>
      </c>
      <c r="B70" s="3660"/>
      <c r="C70" s="3660"/>
      <c r="D70" s="3660"/>
      <c r="E70" s="3660"/>
      <c r="F70" s="3660"/>
      <c r="G70" s="3660"/>
      <c r="H70" s="3660"/>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35" t="s">
        <v>1375</v>
      </c>
      <c r="B71" s="3636"/>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72</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303</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303</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f>C66</f>
        <v>130</v>
      </c>
      <c r="D75" s="169" t="s">
        <v>26</v>
      </c>
      <c r="E75" s="183" t="s">
        <v>1399</v>
      </c>
      <c r="F75" s="2568" t="s">
        <v>3537</v>
      </c>
      <c r="G75" s="183" t="s">
        <v>1400</v>
      </c>
      <c r="H75" s="2569">
        <f>2024-1998</f>
        <v>26</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169</v>
      </c>
      <c r="D76" s="2570">
        <v>0.05</v>
      </c>
      <c r="E76" s="3630" t="s">
        <v>1402</v>
      </c>
      <c r="F76" s="3604"/>
      <c r="G76" s="3604"/>
      <c r="H76" s="3658"/>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4</v>
      </c>
      <c r="D77" s="2571">
        <f>'数据-取费表'!B48+'数据-取费表'!B49</f>
        <v>3.0499999999999999E-2</v>
      </c>
      <c r="E77" s="2322" t="s">
        <v>1404</v>
      </c>
      <c r="F77" s="185"/>
      <c r="G77" s="1820" t="s">
        <v>3535</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0</v>
      </c>
      <c r="D78" s="2573">
        <f>'数据-取费表'!B43</f>
        <v>6.000000000000001E-3</v>
      </c>
      <c r="E78" s="3614" t="s">
        <v>1406</v>
      </c>
      <c r="F78" s="3615"/>
      <c r="G78" s="3615"/>
      <c r="H78" s="3624"/>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-231</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0</v>
      </c>
      <c r="D80" s="169" t="s">
        <v>26</v>
      </c>
      <c r="E80" s="2322" t="str">
        <f ca="1">IF(C80&gt;=200%,"增值额超过扣除项目金额200%",IF(C80&gt;=100%,"增值额超过扣除项目金额100%，未超过200%",IF(C80&gt;=50%,"增值额超过扣除项目金额50%，未超过100%",IF(C80&lt;50%,"增值额未超过扣除项目金额50%"))))</f>
        <v>增值额未超过扣除项目金额50%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0</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9" t="s">
        <v>1410</v>
      </c>
      <c r="B83" s="3660"/>
      <c r="C83" s="3660"/>
      <c r="D83" s="3660"/>
      <c r="E83" s="3660"/>
      <c r="F83" s="3660"/>
      <c r="G83" s="3660"/>
      <c r="H83" s="3660"/>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35" t="s">
        <v>1375</v>
      </c>
      <c r="B84" s="3636"/>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72</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0</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700" t="s">
        <v>2128</v>
      </c>
      <c r="H90" s="3701"/>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14" t="s">
        <v>1419</v>
      </c>
      <c r="F91" s="3615"/>
      <c r="G91" s="361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14" t="s">
        <v>1422</v>
      </c>
      <c r="F92" s="3615"/>
      <c r="G92" s="3615"/>
      <c r="H92" s="3624"/>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0</v>
      </c>
      <c r="D93" s="2573">
        <f>'数据-取费表'!B43</f>
        <v>6.000000000000001E-3</v>
      </c>
      <c r="E93" s="3614" t="s">
        <v>1406</v>
      </c>
      <c r="F93" s="3615"/>
      <c r="G93" s="3615"/>
      <c r="H93" s="3624"/>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25" t="s">
        <v>1426</v>
      </c>
      <c r="F94" s="3626"/>
      <c r="G94" s="3626"/>
      <c r="H94" s="362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72</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t="e">
        <f ca="1">IF(C95&lt;=0,0,C95/C86)</f>
        <v>#DIV/0!</v>
      </c>
      <c r="D96" s="169"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t="e">
        <f ca="1">ROUND(IF(C95&lt;=0,0,IF(C96&gt;=200%,C95*60%-C86*35%,IF(C96&gt;=100%,C95*50%-C86*15%,IF(C96&gt;=50%,C95*40%-C86*5%,IF(C96&lt;50%,C95*30%,0))))),0)</f>
        <v>#DIV/0!</v>
      </c>
      <c r="D97" s="2576" t="s">
        <v>26</v>
      </c>
      <c r="E97" s="1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8" t="s">
        <v>1428</v>
      </c>
      <c r="B100" s="3599"/>
      <c r="C100" s="3599"/>
      <c r="D100" s="3616"/>
      <c r="E100" s="3599" t="s">
        <v>1429</v>
      </c>
      <c r="F100" s="3599"/>
      <c r="G100" s="3599"/>
      <c r="H100" s="3616"/>
      <c r="I100" s="128"/>
    </row>
    <row r="101" spans="1:35" ht="18.75" customHeight="1">
      <c r="A101" s="3681" t="s">
        <v>1430</v>
      </c>
      <c r="B101" s="3682"/>
      <c r="C101" s="2581" t="str">
        <f>C4</f>
        <v>成本法 (元)</v>
      </c>
      <c r="D101" s="2582" t="str">
        <f>D4</f>
        <v>收益法 (元)</v>
      </c>
      <c r="E101" s="3695" t="s">
        <v>1431</v>
      </c>
      <c r="F101" s="3651"/>
      <c r="G101" s="1825" t="s">
        <v>1432</v>
      </c>
      <c r="H101" s="2591">
        <f ca="1">H118</f>
        <v>136</v>
      </c>
      <c r="I101" s="128"/>
    </row>
    <row r="102" spans="1:35" ht="18.75" customHeight="1">
      <c r="A102" s="3653" t="s">
        <v>1433</v>
      </c>
      <c r="B102" s="2580" t="s">
        <v>1432</v>
      </c>
      <c r="C102" s="2581">
        <f ca="1">IF(D32="楼面单价",ROUND(C19,0),C19)</f>
        <v>162</v>
      </c>
      <c r="D102" s="2582">
        <f ca="1">IF(D32="楼面单价",ROUND(D19,0),D19)</f>
        <v>74</v>
      </c>
      <c r="E102" s="3695"/>
      <c r="F102" s="3651"/>
      <c r="G102" s="1825" t="s">
        <v>1434</v>
      </c>
      <c r="H102" s="2552">
        <f ca="1">I118</f>
        <v>22128</v>
      </c>
      <c r="I102" s="128"/>
    </row>
    <row r="103" spans="1:35" ht="42.75" customHeight="1">
      <c r="A103" s="3653"/>
      <c r="B103" s="2580" t="s">
        <v>1434</v>
      </c>
      <c r="C103" s="2583">
        <f ca="1">C20</f>
        <v>26422</v>
      </c>
      <c r="D103" s="2584">
        <f ca="1">D20</f>
        <v>12107</v>
      </c>
      <c r="E103" s="3689" t="s">
        <v>1435</v>
      </c>
      <c r="F103" s="3690"/>
      <c r="G103" s="1826" t="s">
        <v>1436</v>
      </c>
      <c r="H103" s="2591">
        <f>IF(D36="正常操作",H104+H105+H106,H105+H106)</f>
        <v>0</v>
      </c>
      <c r="I103" s="128"/>
    </row>
    <row r="104" spans="1:35" ht="18.75" customHeight="1">
      <c r="A104" s="3653" t="s">
        <v>1437</v>
      </c>
      <c r="B104" s="2585" t="s">
        <v>1432</v>
      </c>
      <c r="C104" s="2586">
        <f ca="1">H118</f>
        <v>136</v>
      </c>
      <c r="D104" s="2587"/>
      <c r="E104" s="1672" t="s">
        <v>1438</v>
      </c>
      <c r="F104" s="1664"/>
      <c r="G104" s="1826" t="s">
        <v>1436</v>
      </c>
      <c r="H104" s="2592">
        <f>IF(D36="同一抵押权人同一抵押物续贷",C36&amp;"（续贷，未扣减，详见特别提示）",C36)</f>
        <v>0</v>
      </c>
      <c r="I104" s="128"/>
    </row>
    <row r="105" spans="1:35" ht="18.75" customHeight="1" thickBot="1">
      <c r="A105" s="3654"/>
      <c r="B105" s="2588" t="s">
        <v>1434</v>
      </c>
      <c r="C105" s="2589">
        <f ca="1">I118</f>
        <v>22128</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50" t="str">
        <f>IF(项目基本情况!E8="已注销","——","3.房地产抵押价值")</f>
        <v>3.房地产抵押价值</v>
      </c>
      <c r="F107" s="3651"/>
      <c r="G107" s="1825" t="s">
        <v>1432</v>
      </c>
      <c r="H107" s="2591">
        <f ca="1">IF(E107="——","——",H101-H103)</f>
        <v>136</v>
      </c>
      <c r="I107" s="128"/>
    </row>
    <row r="108" spans="1:35" ht="18.75" customHeight="1">
      <c r="A108" s="128"/>
      <c r="B108" s="128"/>
      <c r="C108" s="128"/>
      <c r="D108" s="128">
        <f ca="1">ROUND(H108*B118,0)</f>
        <v>1359102</v>
      </c>
      <c r="E108" s="3650"/>
      <c r="F108" s="3651"/>
      <c r="G108" s="1825" t="s">
        <v>1434</v>
      </c>
      <c r="H108" s="2552">
        <f ca="1">IF(H107=H101,H102,ROUND(H107*10000/'数据-汇总表'!E3,0))</f>
        <v>22128</v>
      </c>
      <c r="I108" s="128"/>
    </row>
    <row r="109" spans="1:35" ht="18.75" customHeight="1">
      <c r="A109" s="128"/>
      <c r="B109" s="128"/>
      <c r="C109" s="128"/>
      <c r="D109" s="128"/>
      <c r="E109" s="3650" t="str">
        <f>IF(项目基本情况!E8="已注销及未注销","4.抵押担保权已注销时的房地产抵押价值",IF(项目基本情况!E8="已注销","3.抵押担保权已注销时的房地产抵押价值","——"))</f>
        <v>——</v>
      </c>
      <c r="F109" s="3651"/>
      <c r="G109" s="1825" t="s">
        <v>1432</v>
      </c>
      <c r="H109" s="2594" t="str">
        <f>IF(E109="——","——",H101-H105-H106)</f>
        <v>——</v>
      </c>
      <c r="I109" s="128"/>
    </row>
    <row r="110" spans="1:35" ht="18.75" customHeight="1">
      <c r="A110" s="128"/>
      <c r="B110" s="128"/>
      <c r="C110" s="128"/>
      <c r="D110" s="128"/>
      <c r="E110" s="3650"/>
      <c r="F110" s="3651"/>
      <c r="G110" s="1825" t="s">
        <v>1434</v>
      </c>
      <c r="H110" s="2552" t="str">
        <f>IF(H109="——","——",ROUND(H109*10000/'数据-汇总表'!E3,0))</f>
        <v>——</v>
      </c>
      <c r="I110" s="128"/>
    </row>
    <row r="111" spans="1:35" ht="18.75" customHeight="1">
      <c r="A111" s="128"/>
      <c r="B111" s="128"/>
      <c r="C111" s="128"/>
      <c r="D111" s="128"/>
      <c r="E111" s="3683" t="str">
        <f>IF(项目基本情况!E9="抵押净值",IF(OR(项目基本情况!E8="已注销",项目基本情况!E8="房地产抵押价值"),"4.抵押净值","5.抵押净值"),"——")</f>
        <v>——</v>
      </c>
      <c r="F111" s="3652"/>
      <c r="G111" s="1825" t="s">
        <v>1432</v>
      </c>
      <c r="H111" s="2591" t="str">
        <f>IF(E111="——","——",N59)</f>
        <v>——</v>
      </c>
      <c r="I111" s="128"/>
    </row>
    <row r="112" spans="1:35" ht="18.75" customHeight="1" thickBot="1">
      <c r="A112" s="128"/>
      <c r="B112" s="128"/>
      <c r="C112" s="128"/>
      <c r="D112" s="128" t="e">
        <f>ROUND(H112*B118,0)</f>
        <v>#VALUE!</v>
      </c>
      <c r="E112" s="3684"/>
      <c r="F112" s="3685"/>
      <c r="G112" s="1828" t="s">
        <v>1434</v>
      </c>
      <c r="H112" s="2595" t="str">
        <f>IF(E111="——","——",N61)</f>
        <v>——</v>
      </c>
      <c r="I112" s="128"/>
    </row>
    <row r="113" spans="1:27" ht="18.75" customHeight="1">
      <c r="A113" s="128"/>
      <c r="B113" s="128"/>
      <c r="C113" s="128"/>
      <c r="D113" s="128"/>
      <c r="E113" s="3655" t="s">
        <v>1440</v>
      </c>
      <c r="F113" s="3655"/>
      <c r="G113" s="3655"/>
      <c r="H113" s="3655"/>
      <c r="I113" s="128"/>
    </row>
    <row r="114" spans="1:27" ht="3.75" customHeight="1">
      <c r="A114" s="1745"/>
      <c r="B114" s="1745"/>
      <c r="C114" s="1745"/>
      <c r="D114" s="1745"/>
      <c r="E114" s="1807"/>
      <c r="F114" s="1807"/>
      <c r="G114" s="1807"/>
      <c r="H114" s="1807"/>
      <c r="I114" s="1745"/>
    </row>
    <row r="115" spans="1:27" ht="18.75" customHeight="1">
      <c r="A115" s="3665" t="s">
        <v>1442</v>
      </c>
      <c r="B115" s="3666"/>
      <c r="C115" s="3666"/>
      <c r="D115" s="3666"/>
      <c r="E115" s="3666"/>
      <c r="F115" s="3666"/>
      <c r="G115" s="3666"/>
      <c r="H115" s="3666"/>
      <c r="I115" s="3667"/>
    </row>
    <row r="116" spans="1:27" ht="27" customHeight="1">
      <c r="A116" s="3618" t="s">
        <v>1443</v>
      </c>
      <c r="B116" s="3656" t="s">
        <v>1444</v>
      </c>
      <c r="C116" s="3656" t="s">
        <v>1445</v>
      </c>
      <c r="D116" s="3670" t="s">
        <v>1446</v>
      </c>
      <c r="E116" s="3671"/>
      <c r="F116" s="3664" t="s">
        <v>1447</v>
      </c>
      <c r="G116" s="3664"/>
      <c r="H116" s="3618" t="s">
        <v>1448</v>
      </c>
      <c r="I116" s="3618"/>
    </row>
    <row r="117" spans="1:27" ht="18.75" customHeight="1">
      <c r="A117" s="3618"/>
      <c r="B117" s="3657"/>
      <c r="C117" s="3657"/>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61.42</v>
      </c>
      <c r="C118" s="2327">
        <f>M19</f>
        <v>0</v>
      </c>
      <c r="D118" s="2327">
        <f ca="1">ROUND(IF(D32="总价",C34,E118*B118/10000),0)</f>
        <v>77</v>
      </c>
      <c r="E118" s="2327">
        <f ca="1">ROUND(IF(C33="自定义",IF(D32="楼面单价",C34,D118*10000/B118),I118-G118),0)</f>
        <v>12591</v>
      </c>
      <c r="F118" s="2327">
        <f ca="1">ROUND(IF(D32="总价",C35,G118*B118/10000),0)</f>
        <v>59</v>
      </c>
      <c r="G118" s="2327">
        <f ca="1">ROUND(IF(D32="楼面单价",C35,F118*10000/B118),0)</f>
        <v>9537</v>
      </c>
      <c r="H118" s="2327">
        <f ca="1">ROUND(IF(D32="总价",C32,I118*B118/10000),0)</f>
        <v>136</v>
      </c>
      <c r="I118" s="2327">
        <f ca="1">ROUND(IF(D32="楼面单价",C32,H118*10000/B118),0)</f>
        <v>22128</v>
      </c>
    </row>
    <row r="119" spans="1:27" ht="18.75" customHeight="1">
      <c r="A119" s="3618" t="s">
        <v>1452</v>
      </c>
      <c r="B119" s="3618"/>
      <c r="C119" s="3618"/>
      <c r="D119" s="3661" t="str">
        <f ca="1">NUMBERSTRING(INT(D118*10000),2)&amp;"元整"</f>
        <v>柒拾柒万元整</v>
      </c>
      <c r="E119" s="3663"/>
      <c r="F119" s="3661" t="str">
        <f ca="1">NUMBERSTRING(INT(F118*10000),2)&amp;"元整"</f>
        <v>伍拾玖万元整</v>
      </c>
      <c r="G119" s="3663"/>
      <c r="H119" s="3661" t="str">
        <f ca="1">NUMBERSTRING(INT(H118*10000),2)&amp;"元整"</f>
        <v>壹佰叁拾陆万元整</v>
      </c>
      <c r="I119" s="3663"/>
    </row>
    <row r="120" spans="1:27" ht="18.75" customHeight="1">
      <c r="A120" s="3686" t="str">
        <f>IF(项目基本情况!B9="房地产市场价值","",MID(E103,3,LEN(E103)-2))</f>
        <v>估价师知悉的法定优先受偿款</v>
      </c>
      <c r="B120" s="3687"/>
      <c r="C120" s="3688"/>
      <c r="D120" s="3686">
        <f>H103</f>
        <v>0</v>
      </c>
      <c r="E120" s="3687"/>
      <c r="F120" s="3687"/>
      <c r="G120" s="3687"/>
      <c r="H120" s="3687"/>
      <c r="I120" s="368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61" t="s">
        <v>1452</v>
      </c>
      <c r="B121" s="3662"/>
      <c r="C121" s="3663"/>
      <c r="D121" s="3661" t="str">
        <f>IF(D120=0,"零元整",NUMBERSTRING(INT(D120*10000),2)&amp;"元整")</f>
        <v>零元整</v>
      </c>
      <c r="E121" s="3662"/>
      <c r="F121" s="3662"/>
      <c r="G121" s="3662"/>
      <c r="H121" s="3662"/>
      <c r="I121" s="3663"/>
      <c r="AA121" s="723"/>
    </row>
    <row r="122" spans="1:27" ht="18.75" customHeight="1">
      <c r="A122" s="3652" t="str">
        <f>IF(项目基本情况!B9="房地产市场价值","",MID(E107,3,LEN(E107)-2))</f>
        <v>房地产抵押价值</v>
      </c>
      <c r="B122" s="3652"/>
      <c r="C122" s="3652"/>
      <c r="D122" s="3686">
        <f ca="1">H107</f>
        <v>136</v>
      </c>
      <c r="E122" s="3687"/>
      <c r="F122" s="3687"/>
      <c r="G122" s="3687"/>
      <c r="H122" s="3687"/>
      <c r="I122" s="3688"/>
      <c r="AA122" s="723"/>
    </row>
    <row r="123" spans="1:27" ht="18.75" customHeight="1">
      <c r="A123" s="3618" t="s">
        <v>1452</v>
      </c>
      <c r="B123" s="3618"/>
      <c r="C123" s="3618"/>
      <c r="D123" s="3661" t="str">
        <f ca="1">NUMBERSTRING(INT(D122*10000),2)&amp;"元整"</f>
        <v>壹佰叁拾陆万元整</v>
      </c>
      <c r="E123" s="3662"/>
      <c r="F123" s="3662"/>
      <c r="G123" s="3662"/>
      <c r="H123" s="3662"/>
      <c r="I123" s="3663"/>
      <c r="AA123" s="723"/>
    </row>
    <row r="124" spans="1:27" ht="18.75" customHeight="1">
      <c r="A124" s="3652" t="str">
        <f>IF(项目基本情况!B9="房地产市场价值","",MID(E109,3,LEN(E109)-2))</f>
        <v/>
      </c>
      <c r="B124" s="3652"/>
      <c r="C124" s="3652"/>
      <c r="D124" s="3686" t="str">
        <f>H109</f>
        <v>——</v>
      </c>
      <c r="E124" s="3687"/>
      <c r="F124" s="3687"/>
      <c r="G124" s="3687"/>
      <c r="H124" s="3687"/>
      <c r="I124" s="3688"/>
      <c r="AA124" s="723"/>
    </row>
    <row r="125" spans="1:27" ht="18.75" customHeight="1">
      <c r="A125" s="3618" t="s">
        <v>1452</v>
      </c>
      <c r="B125" s="3618"/>
      <c r="C125" s="3618"/>
      <c r="D125" s="3661" t="e">
        <f>NUMBERSTRING(INT(D124*10000),2)&amp;"元整"</f>
        <v>#VALUE!</v>
      </c>
      <c r="E125" s="3662"/>
      <c r="F125" s="3662"/>
      <c r="G125" s="3662"/>
      <c r="H125" s="3662"/>
      <c r="I125" s="3663"/>
      <c r="AA125" s="723"/>
    </row>
    <row r="126" spans="1:27" ht="18.75" customHeight="1">
      <c r="A126" s="3652" t="str">
        <f>IF(项目基本情况!B9="房地产市场价值","",MID(E111,3,LEN(E111)-2))</f>
        <v/>
      </c>
      <c r="B126" s="3652"/>
      <c r="C126" s="3652"/>
      <c r="D126" s="3686" t="str">
        <f>H111</f>
        <v>——</v>
      </c>
      <c r="E126" s="3687"/>
      <c r="F126" s="3687"/>
      <c r="G126" s="3687"/>
      <c r="H126" s="3687"/>
      <c r="I126" s="3688"/>
      <c r="AA126" s="723"/>
    </row>
    <row r="127" spans="1:27" ht="18.75" customHeight="1">
      <c r="A127" s="3618" t="s">
        <v>1452</v>
      </c>
      <c r="B127" s="3618"/>
      <c r="C127" s="3618"/>
      <c r="D127" s="3661" t="e">
        <f>NUMBERSTRING(INT(D126*10000),2)&amp;"元整"</f>
        <v>#VALUE!</v>
      </c>
      <c r="E127" s="3662"/>
      <c r="F127" s="3662"/>
      <c r="G127" s="3662"/>
      <c r="H127" s="3662"/>
      <c r="I127" s="3663"/>
      <c r="AA127" s="723"/>
    </row>
    <row r="128" spans="1:27" ht="21.75" customHeight="1">
      <c r="A128" s="3669" t="s">
        <v>1453</v>
      </c>
      <c r="B128" s="3669"/>
      <c r="C128" s="3669"/>
      <c r="D128" s="3669"/>
      <c r="E128" s="3669"/>
      <c r="F128" s="3669"/>
      <c r="G128" s="3669"/>
      <c r="H128" s="3669"/>
      <c r="I128" s="3669"/>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16716</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2721589</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12379</v>
      </c>
      <c r="D5" s="210" t="s">
        <v>1469</v>
      </c>
      <c r="E5" s="211" t="s">
        <v>1470</v>
      </c>
      <c r="F5" s="211" t="s">
        <v>1471</v>
      </c>
      <c r="G5" s="212"/>
    </row>
    <row r="6" spans="1:9" s="213" customFormat="1" ht="13.5" customHeight="1">
      <c r="A6" s="776" t="s">
        <v>1472</v>
      </c>
      <c r="B6" s="214" t="s">
        <v>1473</v>
      </c>
      <c r="C6" s="215">
        <f>基准地价修正!B2</f>
        <v>92</v>
      </c>
      <c r="D6" s="216"/>
      <c r="E6" s="217"/>
      <c r="F6" s="217"/>
      <c r="G6" s="218"/>
    </row>
    <row r="7" spans="1:9" s="213" customFormat="1" ht="13.5" customHeight="1">
      <c r="A7" s="776" t="s">
        <v>1474</v>
      </c>
      <c r="B7" s="214" t="s">
        <v>1475</v>
      </c>
      <c r="C7" s="219">
        <f>ROUND(C6*F7,0)</f>
        <v>3</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12284</v>
      </c>
      <c r="D8" s="221"/>
      <c r="E8" s="219"/>
      <c r="F8" s="220"/>
      <c r="G8" s="1854" t="s">
        <v>3413</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3414</v>
      </c>
      <c r="H9" s="1135"/>
      <c r="I9" s="1856" t="s">
        <v>1479</v>
      </c>
    </row>
    <row r="10" spans="1:9" s="213" customFormat="1" ht="13.5" customHeight="1">
      <c r="A10" s="777" t="s">
        <v>356</v>
      </c>
      <c r="B10" s="223" t="s">
        <v>1480</v>
      </c>
      <c r="C10" s="224">
        <f ca="1">ROUND(D10*E10/10000,0)</f>
        <v>1</v>
      </c>
      <c r="D10" s="843">
        <f ca="1">IF(B1="",'数据-汇总表'!E6,IF(INDIRECT("'数据-取费表'!c"&amp;$G$1)="住宅",INDIRECT("'数据-取费表'!s"&amp;$G$1),INDIRECT("'数据-取费表'!k"&amp;$G$1)+INDIRECT("'数据-取费表'!s"&amp;$G$1)))</f>
        <v>61.42</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61.42</v>
      </c>
      <c r="E19" s="210">
        <f>'数据-取费表'!B31</f>
        <v>200</v>
      </c>
      <c r="F19" s="230"/>
      <c r="G19" s="1854" t="s">
        <v>3415</v>
      </c>
    </row>
    <row r="20" spans="1:7" s="213" customFormat="1" ht="13.5" customHeight="1">
      <c r="A20" s="254" t="s">
        <v>1493</v>
      </c>
      <c r="B20" s="209" t="s">
        <v>1494</v>
      </c>
      <c r="C20" s="231">
        <f ca="1">ROUND((C5+C19)*F20,0)</f>
        <v>248</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878</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869</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9</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1894</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ROUND((C5+C19+C20)*F27*'数据-取费表'!B21/'数据-取费表'!B20,0)</f>
        <v>1894</v>
      </c>
      <c r="D28" s="234"/>
      <c r="E28" s="235"/>
      <c r="F28" s="245"/>
      <c r="G28" s="246"/>
    </row>
    <row r="29" spans="1:7" s="213" customFormat="1" ht="13.5" customHeight="1">
      <c r="A29" s="778"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16684</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31</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29</v>
      </c>
      <c r="D34" s="216"/>
      <c r="E34" s="219"/>
      <c r="F34" s="256">
        <f ca="1">IF('数据-取费表'!B24=0,1,IF(B1="",'数据-取费表'!N16,INDIRECT("'数据-取费表'!n"&amp;$G$1)))</f>
        <v>1</v>
      </c>
      <c r="G34" s="218" t="s">
        <v>1526</v>
      </c>
    </row>
    <row r="35" spans="1:7" ht="13.5" customHeight="1">
      <c r="A35" s="778" t="s">
        <v>351</v>
      </c>
      <c r="B35" s="214" t="s">
        <v>1527</v>
      </c>
      <c r="C35" s="219">
        <f ca="1">ROUND(C34*F35,0)</f>
        <v>1</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1</v>
      </c>
      <c r="D37" s="216">
        <f ca="1">D19</f>
        <v>61.42</v>
      </c>
      <c r="E37" s="248">
        <f>'数据-取费表'!B35</f>
        <v>200</v>
      </c>
      <c r="F37" s="258"/>
      <c r="G37" s="260" t="s">
        <v>1532</v>
      </c>
    </row>
    <row r="38" spans="1:7" ht="13.5" customHeight="1">
      <c r="A38" s="778" t="s">
        <v>354</v>
      </c>
      <c r="B38" s="214" t="s">
        <v>1533</v>
      </c>
      <c r="C38" s="219">
        <f ca="1">ROUND(C34*F38,0)</f>
        <v>0</v>
      </c>
      <c r="D38" s="219"/>
      <c r="E38" s="219"/>
      <c r="F38" s="258">
        <f>'数据-取费表'!B36</f>
        <v>1.4999999999999999E-2</v>
      </c>
      <c r="G38" s="218" t="s">
        <v>1528</v>
      </c>
    </row>
    <row r="39" spans="1:7" s="213" customFormat="1" ht="13.5" customHeight="1">
      <c r="A39" s="254" t="s">
        <v>1534</v>
      </c>
      <c r="B39" s="209" t="s">
        <v>1535</v>
      </c>
      <c r="C39" s="231">
        <f ca="1">ROUND(C33*F20,0)</f>
        <v>1</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1</v>
      </c>
      <c r="D42" s="237"/>
      <c r="E42" s="237"/>
      <c r="F42" s="238"/>
      <c r="G42" s="3702" t="s">
        <v>1544</v>
      </c>
    </row>
    <row r="43" spans="1:7" ht="13.5" customHeight="1">
      <c r="A43" s="778" t="s">
        <v>347</v>
      </c>
      <c r="B43" s="214" t="s">
        <v>1545</v>
      </c>
      <c r="C43" s="237">
        <f ca="1">ROUND(IF('数据-取费表'!B22&lt;=1,C39*F22*'数据-取费表'!B21/2,C39*(POWER((1+F22),'数据-取费表'!B21/2)-1)),0)</f>
        <v>0</v>
      </c>
      <c r="D43" s="237"/>
      <c r="E43" s="237"/>
      <c r="F43" s="238"/>
      <c r="G43" s="3703"/>
    </row>
    <row r="44" spans="1:7" ht="13.5" customHeight="1">
      <c r="A44" s="778" t="s">
        <v>348</v>
      </c>
      <c r="B44" s="214" t="s">
        <v>1546</v>
      </c>
      <c r="C44" s="237">
        <f ca="1">ROUND(IF('数据-取费表'!B22&lt;=1,C40*F22*'数据-取费表'!B21/2,C40*(POWER((1+F22),'数据-取费表'!B21/2)-1)),4)</f>
        <v>6.9999999999999999E-4</v>
      </c>
      <c r="D44" s="237"/>
      <c r="E44" s="237"/>
      <c r="F44" s="238"/>
      <c r="G44" s="3704"/>
    </row>
    <row r="45" spans="1:7" s="213" customFormat="1" ht="13.5" customHeight="1">
      <c r="A45" s="254" t="s">
        <v>1547</v>
      </c>
      <c r="B45" s="243" t="s">
        <v>1513</v>
      </c>
      <c r="C45" s="244">
        <f ca="1">C46</f>
        <v>5</v>
      </c>
      <c r="D45" s="234">
        <f ca="1">C47</f>
        <v>3.0000000000000001E-3</v>
      </c>
      <c r="E45" s="235" t="s">
        <v>1539</v>
      </c>
      <c r="F45" s="245">
        <f ca="1">F27</f>
        <v>0.15</v>
      </c>
      <c r="G45" s="246" t="s">
        <v>1548</v>
      </c>
    </row>
    <row r="46" spans="1:7" s="213" customFormat="1" ht="13.5" customHeight="1">
      <c r="A46" s="778" t="s">
        <v>346</v>
      </c>
      <c r="B46" s="247" t="s">
        <v>1549</v>
      </c>
      <c r="C46" s="248">
        <f ca="1">ROUND((C33+C39)*F27,0)</f>
        <v>5</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41</v>
      </c>
      <c r="D49" s="231"/>
      <c r="E49" s="231"/>
      <c r="F49" s="263"/>
      <c r="G49" s="233" t="s">
        <v>1554</v>
      </c>
    </row>
    <row r="50" spans="1:7" s="257" customFormat="1" ht="24">
      <c r="A50" s="254" t="s">
        <v>1555</v>
      </c>
      <c r="B50" s="209" t="s">
        <v>1556</v>
      </c>
      <c r="C50" s="231"/>
      <c r="D50" s="231"/>
      <c r="E50" s="231"/>
      <c r="F50" s="263">
        <f>IF('数据-取费表'!B24=0,'数据-取费表'!N16,1)</f>
        <v>0.79</v>
      </c>
      <c r="G50" s="246" t="s">
        <v>1557</v>
      </c>
    </row>
    <row r="51" spans="1:7" ht="16.5" customHeight="1">
      <c r="A51" s="254" t="s">
        <v>1558</v>
      </c>
      <c r="B51" s="209" t="s">
        <v>1559</v>
      </c>
      <c r="C51" s="231">
        <f ca="1">ROUND(C49*F50,0)</f>
        <v>32</v>
      </c>
      <c r="D51" s="231"/>
      <c r="E51" s="231"/>
      <c r="F51" s="263"/>
      <c r="G51" s="233" t="s">
        <v>1560</v>
      </c>
    </row>
    <row r="52" spans="1:7" s="207" customFormat="1" ht="16.5" thickBot="1">
      <c r="A52" s="264" t="s">
        <v>1561</v>
      </c>
      <c r="B52" s="265"/>
      <c r="C52" s="266">
        <f ca="1">C31+C51</f>
        <v>16716</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H27" zoomScale="90" zoomScaleNormal="70" zoomScaleSheetLayoutView="90" workbookViewId="0">
      <selection activeCell="C25" sqref="C25"/>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3493</v>
      </c>
      <c r="E1" s="3419" t="s">
        <v>3423</v>
      </c>
      <c r="F1" s="1877" t="s">
        <v>3419</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39254</v>
      </c>
      <c r="C3" s="353" t="s">
        <v>1768</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19" t="s">
        <v>1772</v>
      </c>
      <c r="AC4" s="3721" t="s">
        <v>1773</v>
      </c>
    </row>
    <row r="5" spans="1:29" ht="15">
      <c r="A5" s="357"/>
      <c r="B5" s="358"/>
      <c r="C5" s="3742" t="s">
        <v>3528</v>
      </c>
      <c r="D5" s="3743"/>
      <c r="E5" s="3742" t="s">
        <v>3538</v>
      </c>
      <c r="F5" s="3743"/>
      <c r="G5" s="3742" t="s">
        <v>3539</v>
      </c>
      <c r="H5" s="3743"/>
      <c r="I5" s="3742" t="s">
        <v>3540</v>
      </c>
      <c r="J5" s="3743"/>
      <c r="K5" s="558"/>
      <c r="L5" s="2709"/>
      <c r="M5" s="2710"/>
      <c r="N5" s="2710"/>
      <c r="O5" s="2710"/>
      <c r="P5" s="3730"/>
      <c r="Q5" s="3731"/>
      <c r="R5" s="3736"/>
      <c r="S5" s="3737"/>
      <c r="T5" s="3736"/>
      <c r="U5" s="3737"/>
      <c r="V5" s="3719"/>
      <c r="W5" s="3719"/>
      <c r="X5" s="1353"/>
      <c r="Y5" s="3736"/>
      <c r="Z5" s="3737"/>
      <c r="AA5" s="3722"/>
      <c r="AB5" s="3719"/>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19"/>
      <c r="AC6" s="3723"/>
    </row>
    <row r="7" spans="1:29" s="107" customFormat="1" ht="15.75" thickBot="1">
      <c r="A7" s="361" t="s">
        <v>1679</v>
      </c>
      <c r="B7" s="362"/>
      <c r="C7" s="363">
        <f>'数据-取费表'!B2</f>
        <v>45363</v>
      </c>
      <c r="D7" s="364">
        <v>100</v>
      </c>
      <c r="E7" s="365">
        <f>C7</f>
        <v>45363</v>
      </c>
      <c r="F7" s="366">
        <f>SUMIF(58:58,YEAR(E7)&amp;"-"&amp;MONTH(E7),59:59)</f>
        <v>100</v>
      </c>
      <c r="G7" s="365">
        <f>C7</f>
        <v>45363</v>
      </c>
      <c r="H7" s="364">
        <f>SUMIF(58:58,YEAR(G7)&amp;"-"&amp;MONTH(G7),59:59)</f>
        <v>100</v>
      </c>
      <c r="I7" s="365">
        <f>C7</f>
        <v>45363</v>
      </c>
      <c r="J7" s="364">
        <f>SUMIF(58:58,YEAR(I7)&amp;"-"&amp;MONTH(I7),59:59)</f>
        <v>100</v>
      </c>
      <c r="K7" s="559"/>
      <c r="L7" s="2711"/>
      <c r="M7" s="2712"/>
      <c r="N7" s="2712"/>
      <c r="O7" s="2712"/>
      <c r="P7" s="3744" t="s">
        <v>1680</v>
      </c>
      <c r="Q7" s="3746"/>
      <c r="R7" s="699" t="s">
        <v>14</v>
      </c>
      <c r="S7" s="700">
        <f t="shared" ref="S7:S15" si="0">F7</f>
        <v>100</v>
      </c>
      <c r="T7" s="699" t="s">
        <v>14</v>
      </c>
      <c r="U7" s="700">
        <f t="shared" ref="U7:U15" si="1">H7</f>
        <v>100</v>
      </c>
      <c r="V7" s="699" t="s">
        <v>14</v>
      </c>
      <c r="W7" s="700">
        <f t="shared" ref="W7:W15" si="2">J7</f>
        <v>100</v>
      </c>
      <c r="X7" s="701"/>
      <c r="Y7" s="3744" t="s">
        <v>1680</v>
      </c>
      <c r="Z7" s="3745"/>
      <c r="AA7" s="702">
        <f>D7/F7</f>
        <v>1</v>
      </c>
      <c r="AB7" s="702">
        <f>D7/H7</f>
        <v>1</v>
      </c>
      <c r="AC7" s="702">
        <f>D7/J7</f>
        <v>1</v>
      </c>
    </row>
    <row r="8" spans="1:29" s="107" customFormat="1" ht="15.75" thickBot="1">
      <c r="A8" s="361" t="s">
        <v>1681</v>
      </c>
      <c r="B8" s="362"/>
      <c r="C8" s="367" t="s">
        <v>3427</v>
      </c>
      <c r="D8" s="364">
        <v>100</v>
      </c>
      <c r="E8" s="367" t="s">
        <v>3428</v>
      </c>
      <c r="F8" s="366">
        <f>SUMIF(61:61,E8,62:62)-SUMIF(61:61,C8,62:62)+100</f>
        <v>103</v>
      </c>
      <c r="G8" s="367" t="s">
        <v>3428</v>
      </c>
      <c r="H8" s="364">
        <f>SUMIF(61:61,G8,62:62)-SUMIF(61:61,C8,62:62)+100</f>
        <v>103</v>
      </c>
      <c r="I8" s="367" t="s">
        <v>3428</v>
      </c>
      <c r="J8" s="364">
        <f>SUMIF(61:61,I8,62:62)-SUMIF(61:61,C8,62:62)+100</f>
        <v>103</v>
      </c>
      <c r="K8" s="559"/>
      <c r="L8" s="2711"/>
      <c r="M8" s="2712"/>
      <c r="N8" s="2712"/>
      <c r="O8" s="2712"/>
      <c r="P8" s="3744" t="s">
        <v>1683</v>
      </c>
      <c r="Q8" s="3745"/>
      <c r="R8" s="699" t="s">
        <v>14</v>
      </c>
      <c r="S8" s="700">
        <f t="shared" si="0"/>
        <v>103</v>
      </c>
      <c r="T8" s="699" t="s">
        <v>14</v>
      </c>
      <c r="U8" s="700">
        <f t="shared" si="1"/>
        <v>103</v>
      </c>
      <c r="V8" s="699" t="s">
        <v>14</v>
      </c>
      <c r="W8" s="700">
        <f t="shared" si="2"/>
        <v>103</v>
      </c>
      <c r="X8" s="701"/>
      <c r="Y8" s="3744" t="s">
        <v>1683</v>
      </c>
      <c r="Z8" s="3745"/>
      <c r="AA8" s="702">
        <f t="shared" ref="AA8:AA46" si="3">D8/F8</f>
        <v>0.970873786407767</v>
      </c>
      <c r="AB8" s="702">
        <f t="shared" ref="AB8:AB46" si="4">D8/H8</f>
        <v>0.970873786407767</v>
      </c>
      <c r="AC8" s="702">
        <f t="shared" ref="AC8:AC46" si="5">D8/J8</f>
        <v>0.970873786407767</v>
      </c>
    </row>
    <row r="9" spans="1:29" s="107" customFormat="1">
      <c r="A9" s="368" t="s">
        <v>1684</v>
      </c>
      <c r="B9" s="63" t="s">
        <v>1685</v>
      </c>
      <c r="C9" s="3476" t="s">
        <v>3447</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20"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75" thickBot="1">
      <c r="A10" s="373"/>
      <c r="B10" s="374" t="s">
        <v>1688</v>
      </c>
      <c r="C10" s="3427" t="s">
        <v>3523</v>
      </c>
      <c r="D10" s="126">
        <v>100</v>
      </c>
      <c r="E10" s="3427" t="s">
        <v>3523</v>
      </c>
      <c r="F10" s="375">
        <f>SUMIF(65:65,E10,66:66)-SUMIF(65:65,C10,66:66)+100</f>
        <v>100</v>
      </c>
      <c r="G10" s="3427" t="s">
        <v>3523</v>
      </c>
      <c r="H10" s="126">
        <f>SUMIF(65:65,G10,66:66)-SUMIF(65:65,C10,66:66)+100</f>
        <v>100</v>
      </c>
      <c r="I10" s="3427" t="s">
        <v>3523</v>
      </c>
      <c r="J10" s="126">
        <f>SUMIF(65:65,I10,66:66)-SUMIF(65:65,C10,66:66)+100</f>
        <v>100</v>
      </c>
      <c r="K10" s="559"/>
      <c r="L10" s="2713"/>
      <c r="M10" s="2714"/>
      <c r="N10" s="2714"/>
      <c r="O10" s="2714"/>
      <c r="P10" s="3720"/>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20"/>
      <c r="Q11" s="1341" t="str">
        <f t="shared" si="6"/>
        <v>容积率</v>
      </c>
      <c r="R11" s="699" t="s">
        <v>14</v>
      </c>
      <c r="S11" s="700">
        <f t="shared" si="0"/>
        <v>100</v>
      </c>
      <c r="T11" s="699" t="s">
        <v>14</v>
      </c>
      <c r="U11" s="700">
        <f t="shared" si="1"/>
        <v>100</v>
      </c>
      <c r="V11" s="699" t="s">
        <v>14</v>
      </c>
      <c r="W11" s="700">
        <f t="shared" si="2"/>
        <v>100</v>
      </c>
      <c r="X11" s="701"/>
      <c r="Y11" s="3605"/>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20"/>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20"/>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20"/>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10" t="s">
        <v>1691</v>
      </c>
      <c r="Q15" s="1350" t="str">
        <f t="shared" si="6"/>
        <v>商业繁华度</v>
      </c>
      <c r="R15" s="703" t="s">
        <v>14</v>
      </c>
      <c r="S15" s="704">
        <f t="shared" si="0"/>
        <v>100</v>
      </c>
      <c r="T15" s="703" t="s">
        <v>14</v>
      </c>
      <c r="U15" s="704">
        <f t="shared" si="1"/>
        <v>100</v>
      </c>
      <c r="V15" s="703" t="s">
        <v>14</v>
      </c>
      <c r="W15" s="704">
        <f t="shared" si="2"/>
        <v>100</v>
      </c>
      <c r="X15" s="1353"/>
      <c r="Y15" s="3712" t="s">
        <v>1691</v>
      </c>
      <c r="Z15" s="1354" t="str">
        <f t="shared" si="7"/>
        <v>商业繁华度</v>
      </c>
      <c r="AA15" s="1351">
        <f t="shared" si="3"/>
        <v>1</v>
      </c>
      <c r="AB15" s="1351">
        <f t="shared" si="4"/>
        <v>1</v>
      </c>
      <c r="AC15" s="1351">
        <f t="shared" si="5"/>
        <v>1</v>
      </c>
    </row>
    <row r="16" spans="1:29" ht="15">
      <c r="A16" s="378"/>
      <c r="B16" s="396"/>
      <c r="C16" s="397" t="s">
        <v>3410</v>
      </c>
      <c r="D16" s="398"/>
      <c r="E16" s="397" t="s">
        <v>3410</v>
      </c>
      <c r="F16" s="399"/>
      <c r="G16" s="397" t="s">
        <v>3410</v>
      </c>
      <c r="H16" s="400"/>
      <c r="I16" s="397" t="s">
        <v>3410</v>
      </c>
      <c r="J16" s="398"/>
      <c r="K16" s="563"/>
      <c r="L16" s="2716"/>
      <c r="M16" s="2710"/>
      <c r="N16" s="2710"/>
      <c r="O16" s="2710"/>
      <c r="P16" s="3711"/>
      <c r="Q16" s="1350"/>
      <c r="R16" s="703"/>
      <c r="S16" s="704"/>
      <c r="T16" s="703"/>
      <c r="U16" s="704"/>
      <c r="V16" s="703"/>
      <c r="W16" s="704"/>
      <c r="X16" s="1353"/>
      <c r="Y16" s="3713"/>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11"/>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351">
        <f t="shared" si="5"/>
        <v>1</v>
      </c>
    </row>
    <row r="18" spans="1:29" ht="15">
      <c r="A18" s="378"/>
      <c r="B18" s="406"/>
      <c r="C18" s="397" t="s">
        <v>3411</v>
      </c>
      <c r="D18" s="400"/>
      <c r="E18" s="1901" t="s">
        <v>3411</v>
      </c>
      <c r="F18" s="403"/>
      <c r="G18" s="1900" t="s">
        <v>3411</v>
      </c>
      <c r="H18" s="398"/>
      <c r="I18" s="397" t="s">
        <v>3411</v>
      </c>
      <c r="J18" s="398"/>
      <c r="K18" s="563"/>
      <c r="L18" s="2716"/>
      <c r="M18" s="2710"/>
      <c r="N18" s="2710"/>
      <c r="O18" s="2710"/>
      <c r="P18" s="3711"/>
      <c r="Q18" s="1350"/>
      <c r="R18" s="703"/>
      <c r="S18" s="704"/>
      <c r="T18" s="703"/>
      <c r="U18" s="704"/>
      <c r="V18" s="703"/>
      <c r="W18" s="704"/>
      <c r="X18" s="1353"/>
      <c r="Y18" s="3713"/>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11"/>
      <c r="Q19" s="1350" t="str">
        <f>B19</f>
        <v>公共配套设施</v>
      </c>
      <c r="R19" s="703" t="s">
        <v>14</v>
      </c>
      <c r="S19" s="704">
        <f>F19</f>
        <v>100</v>
      </c>
      <c r="T19" s="703" t="s">
        <v>14</v>
      </c>
      <c r="U19" s="704">
        <f>H19</f>
        <v>100</v>
      </c>
      <c r="V19" s="703" t="s">
        <v>14</v>
      </c>
      <c r="W19" s="704">
        <f>J19</f>
        <v>100</v>
      </c>
      <c r="X19" s="1353"/>
      <c r="Y19" s="3713"/>
      <c r="Z19" s="1354" t="str">
        <f>Q19</f>
        <v>公共配套设施</v>
      </c>
      <c r="AA19" s="1351">
        <f t="shared" si="3"/>
        <v>1</v>
      </c>
      <c r="AB19" s="1351">
        <f t="shared" si="4"/>
        <v>1</v>
      </c>
      <c r="AC19" s="1351">
        <f t="shared" si="5"/>
        <v>1</v>
      </c>
    </row>
    <row r="20" spans="1:29" ht="15">
      <c r="A20" s="378"/>
      <c r="B20" s="406"/>
      <c r="C20" s="397" t="s">
        <v>3410</v>
      </c>
      <c r="D20" s="398"/>
      <c r="E20" s="397" t="s">
        <v>3410</v>
      </c>
      <c r="F20" s="399"/>
      <c r="G20" s="397" t="s">
        <v>3410</v>
      </c>
      <c r="H20" s="398"/>
      <c r="I20" s="397" t="s">
        <v>3410</v>
      </c>
      <c r="J20" s="398"/>
      <c r="K20" s="563"/>
      <c r="L20" s="2716"/>
      <c r="M20" s="2710"/>
      <c r="N20" s="2710"/>
      <c r="O20" s="2710"/>
      <c r="P20" s="3711"/>
      <c r="Q20" s="1350"/>
      <c r="R20" s="703"/>
      <c r="S20" s="704"/>
      <c r="T20" s="703"/>
      <c r="U20" s="704"/>
      <c r="V20" s="703"/>
      <c r="W20" s="704"/>
      <c r="X20" s="1353"/>
      <c r="Y20" s="3713"/>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11"/>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351">
        <f t="shared" ref="AC21" si="10">D21/J21</f>
        <v>1</v>
      </c>
    </row>
    <row r="22" spans="1:29" ht="15">
      <c r="A22" s="378"/>
      <c r="B22" s="1129"/>
      <c r="C22" s="1899" t="s">
        <v>3463</v>
      </c>
      <c r="D22" s="398"/>
      <c r="E22" s="1899" t="s">
        <v>3463</v>
      </c>
      <c r="F22" s="399"/>
      <c r="G22" s="1899" t="s">
        <v>3463</v>
      </c>
      <c r="H22" s="398"/>
      <c r="I22" s="1899" t="s">
        <v>3463</v>
      </c>
      <c r="J22" s="398"/>
      <c r="K22" s="1128"/>
      <c r="L22" s="2716"/>
      <c r="M22" s="2710"/>
      <c r="N22" s="2710"/>
      <c r="O22" s="2710"/>
      <c r="P22" s="3711"/>
      <c r="Q22" s="1350"/>
      <c r="R22" s="703"/>
      <c r="S22" s="704"/>
      <c r="T22" s="703"/>
      <c r="U22" s="704"/>
      <c r="V22" s="703"/>
      <c r="W22" s="704"/>
      <c r="X22" s="1353"/>
      <c r="Y22" s="3713"/>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11"/>
      <c r="Q23" s="1350" t="str">
        <f>B23</f>
        <v>自然及人文环境</v>
      </c>
      <c r="R23" s="703" t="s">
        <v>14</v>
      </c>
      <c r="S23" s="704">
        <f>F23</f>
        <v>100</v>
      </c>
      <c r="T23" s="703" t="s">
        <v>14</v>
      </c>
      <c r="U23" s="704">
        <f>H23</f>
        <v>100</v>
      </c>
      <c r="V23" s="703" t="s">
        <v>14</v>
      </c>
      <c r="W23" s="704">
        <f>J23</f>
        <v>100</v>
      </c>
      <c r="X23" s="1353"/>
      <c r="Y23" s="3713"/>
      <c r="Z23" s="1354" t="str">
        <f>Q23</f>
        <v>自然及人文环境</v>
      </c>
      <c r="AA23" s="1351">
        <f t="shared" si="3"/>
        <v>1</v>
      </c>
      <c r="AB23" s="1351">
        <f t="shared" si="4"/>
        <v>1</v>
      </c>
      <c r="AC23" s="1351">
        <f t="shared" si="5"/>
        <v>1</v>
      </c>
    </row>
    <row r="24" spans="1:29" ht="15">
      <c r="A24" s="378"/>
      <c r="B24" s="406"/>
      <c r="C24" s="397" t="s">
        <v>3411</v>
      </c>
      <c r="D24" s="398"/>
      <c r="E24" s="397" t="s">
        <v>3411</v>
      </c>
      <c r="F24" s="399"/>
      <c r="G24" s="397" t="s">
        <v>3411</v>
      </c>
      <c r="H24" s="398"/>
      <c r="I24" s="397" t="s">
        <v>3411</v>
      </c>
      <c r="J24" s="398"/>
      <c r="K24" s="563"/>
      <c r="L24" s="2716"/>
      <c r="M24" s="2710"/>
      <c r="N24" s="2710"/>
      <c r="O24" s="2710"/>
      <c r="P24" s="3711"/>
      <c r="Q24" s="1350"/>
      <c r="R24" s="703"/>
      <c r="S24" s="704"/>
      <c r="T24" s="703"/>
      <c r="U24" s="704"/>
      <c r="V24" s="703"/>
      <c r="W24" s="704"/>
      <c r="X24" s="1353"/>
      <c r="Y24" s="3713"/>
      <c r="Z24" s="1354"/>
      <c r="AA24" s="1351">
        <v>1</v>
      </c>
      <c r="AB24" s="1351">
        <v>1</v>
      </c>
      <c r="AC24" s="1351">
        <v>1</v>
      </c>
    </row>
    <row r="25" spans="1:29" ht="15">
      <c r="A25" s="378"/>
      <c r="B25" s="374" t="s">
        <v>1780</v>
      </c>
      <c r="C25" s="564" t="s">
        <v>3521</v>
      </c>
      <c r="D25" s="385">
        <v>100</v>
      </c>
      <c r="E25" s="564" t="s">
        <v>3521</v>
      </c>
      <c r="F25" s="411">
        <f>SUMIF(86:86,E25,87:87)-SUMIF(86:86,C25,87:87)+100</f>
        <v>100</v>
      </c>
      <c r="G25" s="564" t="s">
        <v>3521</v>
      </c>
      <c r="H25" s="385">
        <f>SUMIF(86:86,G25,87:87)-SUMIF(86:86,C25,87:87)+100</f>
        <v>100</v>
      </c>
      <c r="I25" s="564" t="s">
        <v>3521</v>
      </c>
      <c r="J25" s="385">
        <f>SUMIF(86:86,I25,87:87)-SUMIF(86:86,C25,87:87)+100</f>
        <v>100</v>
      </c>
      <c r="K25" s="560">
        <v>0</v>
      </c>
      <c r="L25" s="2716"/>
      <c r="M25" s="2710"/>
      <c r="N25" s="2710"/>
      <c r="O25" s="2710"/>
      <c r="P25" s="3711"/>
      <c r="Q25" s="1350" t="str">
        <f t="shared" ref="Q25:Q46" si="11">B25</f>
        <v>临街状况</v>
      </c>
      <c r="R25" s="703" t="s">
        <v>14</v>
      </c>
      <c r="S25" s="704">
        <f>F25</f>
        <v>100</v>
      </c>
      <c r="T25" s="703" t="s">
        <v>14</v>
      </c>
      <c r="U25" s="704">
        <f>H25</f>
        <v>100</v>
      </c>
      <c r="V25" s="703" t="s">
        <v>14</v>
      </c>
      <c r="W25" s="704">
        <f>J25</f>
        <v>100</v>
      </c>
      <c r="X25" s="1353"/>
      <c r="Y25" s="3713"/>
      <c r="Z25" s="1354" t="str">
        <f>Q25</f>
        <v>临街状况</v>
      </c>
      <c r="AA25" s="1351">
        <f t="shared" si="3"/>
        <v>1</v>
      </c>
      <c r="AB25" s="1351">
        <f t="shared" si="4"/>
        <v>1</v>
      </c>
      <c r="AC25" s="1351">
        <f t="shared" si="5"/>
        <v>1</v>
      </c>
    </row>
    <row r="26" spans="1:29" ht="15">
      <c r="A26" s="378"/>
      <c r="B26" s="1131" t="s">
        <v>1781</v>
      </c>
      <c r="C26" s="3480" t="s">
        <v>3518</v>
      </c>
      <c r="D26" s="385">
        <v>100</v>
      </c>
      <c r="E26" s="3480" t="s">
        <v>3518</v>
      </c>
      <c r="F26" s="411">
        <f>SUMIF(88:88,E26,89:89)-SUMIF(88:88,C26,89:89)+100</f>
        <v>100</v>
      </c>
      <c r="G26" s="3480" t="s">
        <v>3518</v>
      </c>
      <c r="H26" s="385">
        <f>SUMIF(88:88,G26,89:89)-SUMIF(88:88,C26,89:89)+100</f>
        <v>100</v>
      </c>
      <c r="I26" s="3480" t="s">
        <v>3518</v>
      </c>
      <c r="J26" s="385">
        <f>SUMIF(88:88,I26,89:89)-SUMIF(88:88,C26,89:89)+100</f>
        <v>100</v>
      </c>
      <c r="K26" s="561"/>
      <c r="L26" s="2716"/>
      <c r="M26" s="2710"/>
      <c r="N26" s="2710"/>
      <c r="O26" s="2710"/>
      <c r="P26" s="3711"/>
      <c r="Q26" s="1350" t="str">
        <f t="shared" si="11"/>
        <v>平面位置/可视性</v>
      </c>
      <c r="R26" s="703" t="s">
        <v>14</v>
      </c>
      <c r="S26" s="704">
        <f>F26</f>
        <v>100</v>
      </c>
      <c r="T26" s="703" t="s">
        <v>14</v>
      </c>
      <c r="U26" s="704">
        <f>H26</f>
        <v>100</v>
      </c>
      <c r="V26" s="703" t="s">
        <v>14</v>
      </c>
      <c r="W26" s="704">
        <f>J26</f>
        <v>100</v>
      </c>
      <c r="X26" s="1353"/>
      <c r="Y26" s="3713"/>
      <c r="Z26" s="1354" t="str">
        <f>Q26</f>
        <v>平面位置/可视性</v>
      </c>
      <c r="AA26" s="1351">
        <f t="shared" si="3"/>
        <v>1</v>
      </c>
      <c r="AB26" s="1351">
        <f t="shared" si="4"/>
        <v>1</v>
      </c>
      <c r="AC26" s="1351">
        <f t="shared" si="5"/>
        <v>1</v>
      </c>
    </row>
    <row r="27" spans="1:29" s="107" customFormat="1" ht="15">
      <c r="A27" s="381"/>
      <c r="B27" s="401" t="s">
        <v>1782</v>
      </c>
      <c r="C27" s="1954" t="s">
        <v>3410</v>
      </c>
      <c r="D27" s="412">
        <v>100</v>
      </c>
      <c r="E27" s="1954" t="s">
        <v>3410</v>
      </c>
      <c r="F27" s="414">
        <f>SUMIF(90:90,E27,91:91)-SUMIF(90:90,C27,91:91)+100</f>
        <v>100</v>
      </c>
      <c r="G27" s="1954" t="s">
        <v>3524</v>
      </c>
      <c r="H27" s="412">
        <f>SUMIF(90:90,G27,91:91)-SUMIF(90:90,C27,91:91)+100</f>
        <v>103</v>
      </c>
      <c r="I27" s="1954" t="s">
        <v>3410</v>
      </c>
      <c r="J27" s="412">
        <f>SUMIF(90:90,I27,91:91)-SUMIF(90:90,C27,91:91)+100</f>
        <v>100</v>
      </c>
      <c r="K27" s="560">
        <v>3</v>
      </c>
      <c r="L27" s="2711"/>
      <c r="M27" s="2712"/>
      <c r="N27" s="2712"/>
      <c r="O27" s="2712"/>
      <c r="P27" s="3711"/>
      <c r="Q27" s="1341" t="str">
        <f t="shared" si="11"/>
        <v>人流量</v>
      </c>
      <c r="R27" s="699" t="s">
        <v>14</v>
      </c>
      <c r="S27" s="700">
        <f>F27</f>
        <v>100</v>
      </c>
      <c r="T27" s="699" t="s">
        <v>14</v>
      </c>
      <c r="U27" s="700">
        <f>H27</f>
        <v>103</v>
      </c>
      <c r="V27" s="699" t="s">
        <v>14</v>
      </c>
      <c r="W27" s="700">
        <f>J27</f>
        <v>100</v>
      </c>
      <c r="X27" s="701"/>
      <c r="Y27" s="3713"/>
      <c r="Z27" s="52" t="str">
        <f>Q27</f>
        <v>人流量</v>
      </c>
      <c r="AA27" s="1351">
        <f>D27/F27</f>
        <v>1</v>
      </c>
      <c r="AB27" s="1351">
        <f>D27/H27</f>
        <v>0.970873786407767</v>
      </c>
      <c r="AC27" s="1351">
        <f>D27/J27</f>
        <v>1</v>
      </c>
    </row>
    <row r="28" spans="1:29" ht="15.75" thickBot="1">
      <c r="A28" s="378"/>
      <c r="B28" s="374" t="s">
        <v>1783</v>
      </c>
      <c r="C28" s="564" t="s">
        <v>3494</v>
      </c>
      <c r="D28" s="385">
        <v>100</v>
      </c>
      <c r="E28" s="564" t="s">
        <v>3494</v>
      </c>
      <c r="F28" s="411">
        <f>SUMIF(92:92,E28,93:93)-SUMIF(92:92,C28,93:93)+100</f>
        <v>100</v>
      </c>
      <c r="G28" s="564" t="s">
        <v>3494</v>
      </c>
      <c r="H28" s="385">
        <f>SUMIF(92:92,G28,93:93)-SUMIF(92:92,C28,93:93)+100</f>
        <v>100</v>
      </c>
      <c r="I28" s="564" t="s">
        <v>3494</v>
      </c>
      <c r="J28" s="385">
        <f>SUMIF(92:92,I28,93:93)-SUMIF(92:92,C28,93:93)+100</f>
        <v>100</v>
      </c>
      <c r="K28" s="561"/>
      <c r="L28" s="2716"/>
      <c r="M28" s="2710"/>
      <c r="N28" s="2710"/>
      <c r="O28" s="2710"/>
      <c r="P28" s="3711"/>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13"/>
      <c r="Z28" s="1354" t="str">
        <f t="shared" ref="Z28:Z46" si="15">Q28</f>
        <v>楼层</v>
      </c>
      <c r="AA28" s="1351">
        <f t="shared" si="3"/>
        <v>1</v>
      </c>
      <c r="AB28" s="1351">
        <f t="shared" si="4"/>
        <v>1</v>
      </c>
      <c r="AC28" s="1351">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11"/>
      <c r="Q29" s="1350">
        <f t="shared" si="11"/>
        <v>0</v>
      </c>
      <c r="R29" s="703" t="s">
        <v>14</v>
      </c>
      <c r="S29" s="704">
        <f t="shared" si="12"/>
        <v>100</v>
      </c>
      <c r="T29" s="703" t="s">
        <v>14</v>
      </c>
      <c r="U29" s="704">
        <f t="shared" si="13"/>
        <v>100</v>
      </c>
      <c r="V29" s="703" t="s">
        <v>14</v>
      </c>
      <c r="W29" s="704">
        <f t="shared" si="14"/>
        <v>100</v>
      </c>
      <c r="X29" s="1353"/>
      <c r="Y29" s="3713"/>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11"/>
      <c r="Q30" s="1350">
        <f t="shared" si="11"/>
        <v>111</v>
      </c>
      <c r="R30" s="703" t="s">
        <v>14</v>
      </c>
      <c r="S30" s="704">
        <f t="shared" si="12"/>
        <v>100</v>
      </c>
      <c r="T30" s="703" t="s">
        <v>14</v>
      </c>
      <c r="U30" s="704">
        <f t="shared" si="13"/>
        <v>100</v>
      </c>
      <c r="V30" s="703" t="s">
        <v>14</v>
      </c>
      <c r="W30" s="704">
        <f t="shared" si="14"/>
        <v>100</v>
      </c>
      <c r="X30" s="1353"/>
      <c r="Y30" s="3713"/>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11"/>
      <c r="Q31" s="1350">
        <f t="shared" si="11"/>
        <v>111</v>
      </c>
      <c r="R31" s="703" t="s">
        <v>14</v>
      </c>
      <c r="S31" s="704">
        <f t="shared" si="12"/>
        <v>100</v>
      </c>
      <c r="T31" s="703" t="s">
        <v>14</v>
      </c>
      <c r="U31" s="704">
        <f t="shared" si="13"/>
        <v>100</v>
      </c>
      <c r="V31" s="703" t="s">
        <v>14</v>
      </c>
      <c r="W31" s="704">
        <f t="shared" si="14"/>
        <v>100</v>
      </c>
      <c r="X31" s="1353"/>
      <c r="Y31" s="3713"/>
      <c r="Z31" s="1354">
        <f t="shared" si="15"/>
        <v>111</v>
      </c>
      <c r="AA31" s="1351">
        <f t="shared" si="3"/>
        <v>1</v>
      </c>
      <c r="AB31" s="1351">
        <f t="shared" si="4"/>
        <v>1</v>
      </c>
      <c r="AC31" s="1351">
        <f t="shared" si="5"/>
        <v>1</v>
      </c>
    </row>
    <row r="32" spans="1:29" ht="15">
      <c r="A32" s="390" t="s">
        <v>1694</v>
      </c>
      <c r="B32" s="63" t="s">
        <v>1784</v>
      </c>
      <c r="C32" s="1908" t="s">
        <v>3501</v>
      </c>
      <c r="D32" s="417">
        <v>100</v>
      </c>
      <c r="E32" s="1908" t="s">
        <v>3501</v>
      </c>
      <c r="F32" s="411">
        <f>SUMIF(100:100,E32,101:101)-SUMIF(100:100,C32,101:101)+100</f>
        <v>100</v>
      </c>
      <c r="G32" s="1908" t="s">
        <v>3501</v>
      </c>
      <c r="H32" s="385">
        <f>SUMIF(100:100,G32,101:101)-SUMIF(100:100,C32,101:101)+100</f>
        <v>100</v>
      </c>
      <c r="I32" s="1908" t="s">
        <v>3501</v>
      </c>
      <c r="J32" s="417">
        <f>SUMIF(100:100,I32,101:101)-SUMIF(100:100,C32,101:101)+100</f>
        <v>100</v>
      </c>
      <c r="K32" s="560">
        <v>5</v>
      </c>
      <c r="L32" s="2716"/>
      <c r="M32" s="2710"/>
      <c r="N32" s="2710"/>
      <c r="O32" s="2710"/>
      <c r="P32" s="3714" t="s">
        <v>1696</v>
      </c>
      <c r="Q32" s="1350" t="str">
        <f t="shared" si="11"/>
        <v>商业类型</v>
      </c>
      <c r="R32" s="703" t="s">
        <v>14</v>
      </c>
      <c r="S32" s="704">
        <f t="shared" si="12"/>
        <v>100</v>
      </c>
      <c r="T32" s="703" t="s">
        <v>14</v>
      </c>
      <c r="U32" s="704">
        <f t="shared" si="13"/>
        <v>100</v>
      </c>
      <c r="V32" s="703" t="s">
        <v>14</v>
      </c>
      <c r="W32" s="704">
        <f t="shared" si="14"/>
        <v>100</v>
      </c>
      <c r="X32" s="1353"/>
      <c r="Y32" s="3717" t="s">
        <v>1696</v>
      </c>
      <c r="Z32" s="1354" t="str">
        <f t="shared" si="15"/>
        <v>商业类型</v>
      </c>
      <c r="AA32" s="1351">
        <f t="shared" si="3"/>
        <v>1</v>
      </c>
      <c r="AB32" s="1351">
        <f t="shared" si="4"/>
        <v>1</v>
      </c>
      <c r="AC32" s="1351">
        <f t="shared" si="5"/>
        <v>1</v>
      </c>
    </row>
    <row r="33" spans="1:29" s="421" customFormat="1" ht="15">
      <c r="A33" s="418"/>
      <c r="B33" s="374" t="s">
        <v>1697</v>
      </c>
      <c r="C33" s="419">
        <f>'数据-汇总表'!E3</f>
        <v>61.42</v>
      </c>
      <c r="D33" s="126">
        <v>100</v>
      </c>
      <c r="E33" s="380">
        <v>255.66</v>
      </c>
      <c r="F33" s="375">
        <f>LOOKUP(E33,103:103,104:104)-LOOKUP(C33,103:103,104:104)+100</f>
        <v>99</v>
      </c>
      <c r="G33" s="379">
        <v>123.85</v>
      </c>
      <c r="H33" s="126">
        <f>LOOKUP(G33,103:103,104:104)-LOOKUP(C33,103:103,104:104)+100</f>
        <v>100</v>
      </c>
      <c r="I33" s="379">
        <v>224.42</v>
      </c>
      <c r="J33" s="126">
        <f>LOOKUP(I33,103:103,104:104)-LOOKUP(C33,103:103,104:104)+100</f>
        <v>99</v>
      </c>
      <c r="K33" s="561"/>
      <c r="L33" s="2715"/>
      <c r="M33" s="2717"/>
      <c r="N33" s="2717"/>
      <c r="O33" s="2717"/>
      <c r="P33" s="3715"/>
      <c r="Q33" s="705" t="str">
        <f t="shared" si="11"/>
        <v>项目建筑规模</v>
      </c>
      <c r="R33" s="706" t="s">
        <v>14</v>
      </c>
      <c r="S33" s="707">
        <f t="shared" si="12"/>
        <v>99</v>
      </c>
      <c r="T33" s="706" t="s">
        <v>14</v>
      </c>
      <c r="U33" s="707">
        <f t="shared" si="13"/>
        <v>100</v>
      </c>
      <c r="V33" s="706" t="s">
        <v>14</v>
      </c>
      <c r="W33" s="707">
        <f t="shared" si="14"/>
        <v>99</v>
      </c>
      <c r="X33" s="708"/>
      <c r="Y33" s="3717"/>
      <c r="Z33" s="709" t="str">
        <f t="shared" si="15"/>
        <v>项目建筑规模</v>
      </c>
      <c r="AA33" s="1351">
        <f t="shared" si="3"/>
        <v>1.0101010101010102</v>
      </c>
      <c r="AB33" s="1351">
        <f t="shared" si="4"/>
        <v>1</v>
      </c>
      <c r="AC33" s="1351">
        <f t="shared" si="5"/>
        <v>1.0101010101010102</v>
      </c>
    </row>
    <row r="34" spans="1:29" ht="15">
      <c r="A34" s="422"/>
      <c r="B34" s="374" t="s">
        <v>1698</v>
      </c>
      <c r="C34" s="1910" t="s">
        <v>3435</v>
      </c>
      <c r="D34" s="385">
        <v>100</v>
      </c>
      <c r="E34" s="1910" t="s">
        <v>3435</v>
      </c>
      <c r="F34" s="411">
        <f>SUMIF(105:105,E34,106:106)-SUMIF(105:105,C34,106:106)+100</f>
        <v>100</v>
      </c>
      <c r="G34" s="1910" t="s">
        <v>3435</v>
      </c>
      <c r="H34" s="385">
        <f>SUMIF(105:105,G34,106:106)-SUMIF(105:105,C34,106:106)+100</f>
        <v>100</v>
      </c>
      <c r="I34" s="1910" t="s">
        <v>3435</v>
      </c>
      <c r="J34" s="385">
        <f>SUMIF(105:105,I34,106:106)-SUMIF(105:105,C34,106:106)+100</f>
        <v>100</v>
      </c>
      <c r="K34" s="560">
        <v>1</v>
      </c>
      <c r="L34" s="2716"/>
      <c r="M34" s="2710"/>
      <c r="N34" s="2710"/>
      <c r="O34" s="2710"/>
      <c r="P34" s="3715"/>
      <c r="Q34" s="1350" t="str">
        <f t="shared" si="11"/>
        <v>建筑结构</v>
      </c>
      <c r="R34" s="703" t="s">
        <v>14</v>
      </c>
      <c r="S34" s="704">
        <f t="shared" si="12"/>
        <v>100</v>
      </c>
      <c r="T34" s="703" t="s">
        <v>14</v>
      </c>
      <c r="U34" s="704">
        <f t="shared" si="13"/>
        <v>100</v>
      </c>
      <c r="V34" s="703" t="s">
        <v>14</v>
      </c>
      <c r="W34" s="704">
        <f t="shared" si="14"/>
        <v>100</v>
      </c>
      <c r="X34" s="1353"/>
      <c r="Y34" s="3717"/>
      <c r="Z34" s="1354" t="str">
        <f t="shared" si="15"/>
        <v>建筑结构</v>
      </c>
      <c r="AA34" s="1351">
        <f t="shared" si="3"/>
        <v>1</v>
      </c>
      <c r="AB34" s="1351">
        <f t="shared" si="4"/>
        <v>1</v>
      </c>
      <c r="AC34" s="1351">
        <f t="shared" si="5"/>
        <v>1</v>
      </c>
    </row>
    <row r="35" spans="1:29" ht="15">
      <c r="A35" s="422"/>
      <c r="B35" s="374" t="s">
        <v>1785</v>
      </c>
      <c r="C35" s="1904" t="s">
        <v>3454</v>
      </c>
      <c r="D35" s="385">
        <v>100</v>
      </c>
      <c r="E35" s="1904" t="s">
        <v>3454</v>
      </c>
      <c r="F35" s="411">
        <f>SUMIF(107:107,E35,108:108)-SUMIF(107:107,C35,108:108)+100</f>
        <v>100</v>
      </c>
      <c r="G35" s="1904" t="s">
        <v>3454</v>
      </c>
      <c r="H35" s="385">
        <f>SUMIF(107:107,G35,108:108)-SUMIF(107:107,C35,108:108)+100</f>
        <v>100</v>
      </c>
      <c r="I35" s="1904" t="s">
        <v>3454</v>
      </c>
      <c r="J35" s="385">
        <f>SUMIF(107:107,I35,108:108)-SUMIF(107:107,C35,108:108)+100</f>
        <v>100</v>
      </c>
      <c r="K35" s="560">
        <v>2</v>
      </c>
      <c r="L35" s="2716"/>
      <c r="M35" s="2710"/>
      <c r="N35" s="2710"/>
      <c r="O35" s="2710"/>
      <c r="P35" s="3715"/>
      <c r="Q35" s="1350" t="str">
        <f t="shared" si="11"/>
        <v>公共部分装修</v>
      </c>
      <c r="R35" s="703" t="s">
        <v>14</v>
      </c>
      <c r="S35" s="704">
        <f t="shared" si="12"/>
        <v>100</v>
      </c>
      <c r="T35" s="703" t="s">
        <v>14</v>
      </c>
      <c r="U35" s="704">
        <f t="shared" si="13"/>
        <v>100</v>
      </c>
      <c r="V35" s="703" t="s">
        <v>14</v>
      </c>
      <c r="W35" s="704">
        <f t="shared" si="14"/>
        <v>100</v>
      </c>
      <c r="X35" s="1353"/>
      <c r="Y35" s="3717"/>
      <c r="Z35" s="1354" t="str">
        <f t="shared" si="15"/>
        <v>公共部分装修</v>
      </c>
      <c r="AA35" s="1351">
        <f t="shared" si="3"/>
        <v>1</v>
      </c>
      <c r="AB35" s="1351">
        <f t="shared" si="4"/>
        <v>1</v>
      </c>
      <c r="AC35" s="1351">
        <f t="shared" si="5"/>
        <v>1</v>
      </c>
    </row>
    <row r="36" spans="1:29" ht="15">
      <c r="A36" s="422"/>
      <c r="B36" s="374" t="s">
        <v>1786</v>
      </c>
      <c r="C36" s="424">
        <f>'数据-取费表'!N6</f>
        <v>0.79</v>
      </c>
      <c r="D36" s="385">
        <v>100</v>
      </c>
      <c r="E36" s="424">
        <f>C36</f>
        <v>0.79</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15"/>
      <c r="Q36" s="1350" t="str">
        <f t="shared" si="11"/>
        <v>成新度</v>
      </c>
      <c r="R36" s="703" t="s">
        <v>14</v>
      </c>
      <c r="S36" s="704">
        <f t="shared" si="12"/>
        <v>100</v>
      </c>
      <c r="T36" s="703" t="s">
        <v>14</v>
      </c>
      <c r="U36" s="704">
        <f t="shared" si="13"/>
        <v>102</v>
      </c>
      <c r="V36" s="703" t="s">
        <v>14</v>
      </c>
      <c r="W36" s="704">
        <f t="shared" si="14"/>
        <v>102</v>
      </c>
      <c r="X36" s="1353"/>
      <c r="Y36" s="3717"/>
      <c r="Z36" s="1354" t="str">
        <f t="shared" si="15"/>
        <v>成新度</v>
      </c>
      <c r="AA36" s="1351">
        <f t="shared" si="3"/>
        <v>1</v>
      </c>
      <c r="AB36" s="1351">
        <f t="shared" si="4"/>
        <v>0.98039215686274506</v>
      </c>
      <c r="AC36" s="1351">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5"/>
      <c r="Q37" s="1341" t="str">
        <f t="shared" si="11"/>
        <v>市政基础设施</v>
      </c>
      <c r="R37" s="699" t="s">
        <v>14</v>
      </c>
      <c r="S37" s="700">
        <f t="shared" si="12"/>
        <v>100</v>
      </c>
      <c r="T37" s="699" t="s">
        <v>14</v>
      </c>
      <c r="U37" s="700">
        <f t="shared" si="13"/>
        <v>100</v>
      </c>
      <c r="V37" s="699" t="s">
        <v>14</v>
      </c>
      <c r="W37" s="700">
        <f t="shared" si="14"/>
        <v>100</v>
      </c>
      <c r="X37" s="701"/>
      <c r="Y37" s="3717"/>
      <c r="Z37" s="52" t="str">
        <f t="shared" si="15"/>
        <v>市政基础设施</v>
      </c>
      <c r="AA37" s="702">
        <f t="shared" si="3"/>
        <v>1</v>
      </c>
      <c r="AB37" s="702">
        <f t="shared" si="4"/>
        <v>1</v>
      </c>
      <c r="AC37" s="702">
        <f t="shared" si="5"/>
        <v>1</v>
      </c>
    </row>
    <row r="38" spans="1:29" ht="15">
      <c r="A38" s="422"/>
      <c r="B38" s="374" t="s">
        <v>1788</v>
      </c>
      <c r="C38" s="1904" t="s">
        <v>3515</v>
      </c>
      <c r="D38" s="385">
        <v>100</v>
      </c>
      <c r="E38" s="1904" t="s">
        <v>3515</v>
      </c>
      <c r="F38" s="411">
        <f>SUMIF(114:114,E38,115:115)-SUMIF(114:114,C38,115:115)+100</f>
        <v>100</v>
      </c>
      <c r="G38" s="1904" t="s">
        <v>3515</v>
      </c>
      <c r="H38" s="385">
        <f>SUMIF(114:114,G38,115:115)-SUMIF(114:114,C38,115:115)+100</f>
        <v>100</v>
      </c>
      <c r="I38" s="1904" t="s">
        <v>3515</v>
      </c>
      <c r="J38" s="385">
        <f>SUMIF(114:114,I38,115:115)-SUMIF(114:114,C38,115:115)+100</f>
        <v>100</v>
      </c>
      <c r="K38" s="560">
        <v>2</v>
      </c>
      <c r="L38" s="2716"/>
      <c r="M38" s="2710"/>
      <c r="N38" s="2710"/>
      <c r="O38" s="2710"/>
      <c r="P38" s="3715" t="s">
        <v>1696</v>
      </c>
      <c r="Q38" s="1350" t="str">
        <f t="shared" si="11"/>
        <v>业态</v>
      </c>
      <c r="R38" s="703" t="s">
        <v>14</v>
      </c>
      <c r="S38" s="704">
        <f t="shared" si="12"/>
        <v>100</v>
      </c>
      <c r="T38" s="703" t="s">
        <v>14</v>
      </c>
      <c r="U38" s="704">
        <f t="shared" si="13"/>
        <v>100</v>
      </c>
      <c r="V38" s="703" t="s">
        <v>14</v>
      </c>
      <c r="W38" s="704">
        <f t="shared" si="14"/>
        <v>100</v>
      </c>
      <c r="X38" s="1353"/>
      <c r="Y38" s="3717" t="s">
        <v>1696</v>
      </c>
      <c r="Z38" s="1354" t="str">
        <f t="shared" si="15"/>
        <v>业态</v>
      </c>
      <c r="AA38" s="1351">
        <f t="shared" si="3"/>
        <v>1</v>
      </c>
      <c r="AB38" s="1351">
        <f t="shared" si="4"/>
        <v>1</v>
      </c>
      <c r="AC38" s="1351">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5"/>
      <c r="Q39" s="1350" t="str">
        <f t="shared" si="11"/>
        <v>层高</v>
      </c>
      <c r="R39" s="703" t="s">
        <v>14</v>
      </c>
      <c r="S39" s="704">
        <f t="shared" si="12"/>
        <v>100</v>
      </c>
      <c r="T39" s="703" t="s">
        <v>14</v>
      </c>
      <c r="U39" s="704">
        <f t="shared" si="13"/>
        <v>100</v>
      </c>
      <c r="V39" s="703" t="s">
        <v>14</v>
      </c>
      <c r="W39" s="704">
        <f t="shared" si="14"/>
        <v>100</v>
      </c>
      <c r="X39" s="1353"/>
      <c r="Y39" s="3717"/>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5"/>
      <c r="Q40" s="1350" t="str">
        <f t="shared" si="11"/>
        <v>单套建筑面积</v>
      </c>
      <c r="R40" s="703" t="s">
        <v>14</v>
      </c>
      <c r="S40" s="704">
        <f t="shared" si="12"/>
        <v>100</v>
      </c>
      <c r="T40" s="703" t="s">
        <v>14</v>
      </c>
      <c r="U40" s="704">
        <f t="shared" si="13"/>
        <v>100</v>
      </c>
      <c r="V40" s="703" t="s">
        <v>14</v>
      </c>
      <c r="W40" s="704">
        <f t="shared" si="14"/>
        <v>100</v>
      </c>
      <c r="X40" s="1353"/>
      <c r="Y40" s="3717"/>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5"/>
      <c r="Q41" s="705" t="str">
        <f t="shared" si="11"/>
        <v>进深比</v>
      </c>
      <c r="R41" s="706" t="s">
        <v>14</v>
      </c>
      <c r="S41" s="707">
        <f t="shared" si="12"/>
        <v>100</v>
      </c>
      <c r="T41" s="706" t="s">
        <v>14</v>
      </c>
      <c r="U41" s="707">
        <f t="shared" si="13"/>
        <v>100</v>
      </c>
      <c r="V41" s="706" t="s">
        <v>14</v>
      </c>
      <c r="W41" s="707">
        <f t="shared" si="14"/>
        <v>100</v>
      </c>
      <c r="X41" s="708"/>
      <c r="Y41" s="3717"/>
      <c r="Z41" s="709" t="str">
        <f t="shared" si="15"/>
        <v>进深比</v>
      </c>
      <c r="AA41" s="1351">
        <f t="shared" si="3"/>
        <v>1</v>
      </c>
      <c r="AB41" s="1351">
        <f t="shared" si="4"/>
        <v>1</v>
      </c>
      <c r="AC41" s="1351">
        <f t="shared" si="5"/>
        <v>1</v>
      </c>
    </row>
    <row r="42" spans="1:29" ht="15">
      <c r="A42" s="422"/>
      <c r="B42" s="374" t="s">
        <v>1792</v>
      </c>
      <c r="C42" s="1904" t="s">
        <v>3456</v>
      </c>
      <c r="D42" s="385">
        <v>100</v>
      </c>
      <c r="E42" s="1904" t="s">
        <v>3456</v>
      </c>
      <c r="F42" s="411">
        <f>SUMIF(122:122,E42,123:123)-SUMIF(122:122,C42,123:123)+100</f>
        <v>100</v>
      </c>
      <c r="G42" s="1904" t="s">
        <v>3456</v>
      </c>
      <c r="H42" s="385">
        <f>SUMIF(122:122,G42,123:123)-SUMIF(122:122,C42,123:123)+100</f>
        <v>100</v>
      </c>
      <c r="I42" s="1904" t="s">
        <v>3456</v>
      </c>
      <c r="J42" s="385">
        <f>SUMIF(122:122,I42,123:123)-SUMIF(122:122,C42,123:123)+100</f>
        <v>100</v>
      </c>
      <c r="K42" s="560">
        <v>1</v>
      </c>
      <c r="L42" s="2716"/>
      <c r="M42" s="2710"/>
      <c r="N42" s="2710"/>
      <c r="O42" s="2710"/>
      <c r="P42" s="3715"/>
      <c r="Q42" s="1350" t="str">
        <f t="shared" si="11"/>
        <v>内部装修</v>
      </c>
      <c r="R42" s="703" t="s">
        <v>14</v>
      </c>
      <c r="S42" s="704">
        <f t="shared" si="12"/>
        <v>100</v>
      </c>
      <c r="T42" s="703" t="s">
        <v>14</v>
      </c>
      <c r="U42" s="704">
        <f t="shared" si="13"/>
        <v>100</v>
      </c>
      <c r="V42" s="703" t="s">
        <v>14</v>
      </c>
      <c r="W42" s="704">
        <f t="shared" si="14"/>
        <v>100</v>
      </c>
      <c r="X42" s="1353"/>
      <c r="Y42" s="3717"/>
      <c r="Z42" s="1354" t="str">
        <f t="shared" si="15"/>
        <v>内部装修</v>
      </c>
      <c r="AA42" s="1351">
        <f t="shared" si="3"/>
        <v>1</v>
      </c>
      <c r="AB42" s="1351">
        <f t="shared" si="4"/>
        <v>1</v>
      </c>
      <c r="AC42" s="1351">
        <f t="shared" si="5"/>
        <v>1</v>
      </c>
    </row>
    <row r="43" spans="1:29" ht="15">
      <c r="A43" s="422"/>
      <c r="B43" s="374" t="s">
        <v>1707</v>
      </c>
      <c r="C43" s="1904" t="s">
        <v>3411</v>
      </c>
      <c r="D43" s="385">
        <v>100</v>
      </c>
      <c r="E43" s="1904" t="s">
        <v>3411</v>
      </c>
      <c r="F43" s="411">
        <f>SUMIF(124:124,E43,125:125)-SUMIF(124:124,C43,125:125)+100</f>
        <v>100</v>
      </c>
      <c r="G43" s="1904" t="s">
        <v>3411</v>
      </c>
      <c r="H43" s="385">
        <f>SUMIF(124:124,G43,125:125)-SUMIF(124:124,C43,125:125)+100</f>
        <v>100</v>
      </c>
      <c r="I43" s="1904" t="s">
        <v>3411</v>
      </c>
      <c r="J43" s="385">
        <f>SUMIF(124:124,I43,125:125)-SUMIF(124:124,C43,125:125)+100</f>
        <v>100</v>
      </c>
      <c r="K43" s="560">
        <v>1</v>
      </c>
      <c r="L43" s="2716"/>
      <c r="M43" s="2710"/>
      <c r="N43" s="2710"/>
      <c r="O43" s="2710"/>
      <c r="P43" s="3715"/>
      <c r="Q43" s="1350" t="str">
        <f t="shared" si="11"/>
        <v>内部装修维护情况</v>
      </c>
      <c r="R43" s="703" t="s">
        <v>14</v>
      </c>
      <c r="S43" s="704">
        <f t="shared" si="12"/>
        <v>100</v>
      </c>
      <c r="T43" s="703" t="s">
        <v>14</v>
      </c>
      <c r="U43" s="704">
        <f t="shared" si="13"/>
        <v>100</v>
      </c>
      <c r="V43" s="703" t="s">
        <v>14</v>
      </c>
      <c r="W43" s="704">
        <f t="shared" si="14"/>
        <v>100</v>
      </c>
      <c r="X43" s="1353"/>
      <c r="Y43" s="3717"/>
      <c r="Z43" s="1354" t="str">
        <f t="shared" si="15"/>
        <v>内部装修维护情况</v>
      </c>
      <c r="AA43" s="1351">
        <f t="shared" si="3"/>
        <v>1</v>
      </c>
      <c r="AB43" s="1351">
        <f t="shared" si="4"/>
        <v>1</v>
      </c>
      <c r="AC43" s="1351">
        <f t="shared" si="5"/>
        <v>1</v>
      </c>
    </row>
    <row r="44" spans="1:29" s="107" customFormat="1" ht="15">
      <c r="A44" s="423"/>
      <c r="B44" s="3471" t="s">
        <v>3525</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5"/>
      <c r="Q44" s="1341" t="str">
        <f t="shared" si="11"/>
        <v>使用率</v>
      </c>
      <c r="R44" s="699" t="s">
        <v>14</v>
      </c>
      <c r="S44" s="700">
        <f t="shared" si="12"/>
        <v>100</v>
      </c>
      <c r="T44" s="699" t="s">
        <v>14</v>
      </c>
      <c r="U44" s="700">
        <f t="shared" si="13"/>
        <v>100</v>
      </c>
      <c r="V44" s="699" t="s">
        <v>14</v>
      </c>
      <c r="W44" s="700">
        <f t="shared" si="14"/>
        <v>100</v>
      </c>
      <c r="X44" s="701"/>
      <c r="Y44" s="3717"/>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5"/>
      <c r="Q45" s="1350">
        <f t="shared" si="11"/>
        <v>0</v>
      </c>
      <c r="R45" s="703" t="s">
        <v>14</v>
      </c>
      <c r="S45" s="704">
        <f t="shared" si="12"/>
        <v>100</v>
      </c>
      <c r="T45" s="703" t="s">
        <v>14</v>
      </c>
      <c r="U45" s="704">
        <f t="shared" si="13"/>
        <v>100</v>
      </c>
      <c r="V45" s="703" t="s">
        <v>14</v>
      </c>
      <c r="W45" s="704">
        <f t="shared" si="14"/>
        <v>100</v>
      </c>
      <c r="X45" s="1353"/>
      <c r="Y45" s="3717"/>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6"/>
      <c r="Q46" s="1350">
        <f t="shared" si="11"/>
        <v>0</v>
      </c>
      <c r="R46" s="703" t="s">
        <v>14</v>
      </c>
      <c r="S46" s="704">
        <f t="shared" si="12"/>
        <v>100</v>
      </c>
      <c r="T46" s="703" t="s">
        <v>14</v>
      </c>
      <c r="U46" s="704">
        <f t="shared" si="13"/>
        <v>100</v>
      </c>
      <c r="V46" s="703" t="s">
        <v>14</v>
      </c>
      <c r="W46" s="704">
        <f t="shared" si="14"/>
        <v>100</v>
      </c>
      <c r="X46" s="1353"/>
      <c r="Y46" s="3718"/>
      <c r="Z46" s="1354">
        <f t="shared" si="15"/>
        <v>0</v>
      </c>
      <c r="AA46" s="1351">
        <f t="shared" si="3"/>
        <v>1</v>
      </c>
      <c r="AB46" s="1351">
        <f t="shared" si="4"/>
        <v>1</v>
      </c>
      <c r="AC46" s="1351">
        <f t="shared" si="5"/>
        <v>1</v>
      </c>
    </row>
    <row r="47" spans="1:29" ht="15">
      <c r="A47" s="429" t="s">
        <v>1708</v>
      </c>
      <c r="B47" s="430"/>
      <c r="C47" s="1152" t="s">
        <v>0</v>
      </c>
      <c r="D47" s="1153"/>
      <c r="E47" s="1154">
        <v>39114</v>
      </c>
      <c r="F47" s="1155"/>
      <c r="G47" s="1156">
        <v>39564</v>
      </c>
      <c r="H47" s="1157"/>
      <c r="I47" s="1154">
        <v>44559</v>
      </c>
      <c r="J47" s="1157"/>
      <c r="K47" s="712"/>
      <c r="L47" s="2718"/>
      <c r="M47" s="2719"/>
      <c r="N47" s="2710"/>
      <c r="O47" s="2719"/>
      <c r="P47" s="3705" t="str">
        <f>A47</f>
        <v>成交单价（元/平方米）</v>
      </c>
      <c r="Q47" s="3705"/>
      <c r="R47" s="3719">
        <f>E47</f>
        <v>39114</v>
      </c>
      <c r="S47" s="3719"/>
      <c r="T47" s="3719">
        <f>G47</f>
        <v>39564</v>
      </c>
      <c r="U47" s="3719"/>
      <c r="V47" s="3719">
        <f>I47</f>
        <v>44559</v>
      </c>
      <c r="W47" s="3719"/>
      <c r="X47" s="688"/>
      <c r="Y47" s="710"/>
      <c r="Z47" s="688"/>
      <c r="AA47" s="688"/>
      <c r="AB47" s="688"/>
      <c r="AC47" s="688"/>
    </row>
    <row r="48" spans="1:29" ht="15.75" thickBot="1">
      <c r="A48" s="436" t="s">
        <v>1793</v>
      </c>
      <c r="B48" s="437"/>
      <c r="C48" s="1158">
        <f>R49</f>
        <v>39254</v>
      </c>
      <c r="D48" s="2315" t="s">
        <v>2137</v>
      </c>
      <c r="E48" s="1159">
        <f>R48</f>
        <v>38358</v>
      </c>
      <c r="F48" s="2316"/>
      <c r="G48" s="1158">
        <f>T48</f>
        <v>36562</v>
      </c>
      <c r="H48" s="2316"/>
      <c r="I48" s="1159">
        <f>V48</f>
        <v>42841</v>
      </c>
      <c r="J48" s="2316"/>
      <c r="K48" s="2318">
        <f>F48+H48+J48</f>
        <v>0</v>
      </c>
      <c r="L48" s="2718"/>
      <c r="M48" s="2719"/>
      <c r="N48" s="2710"/>
      <c r="O48" s="2719"/>
      <c r="P48" s="3705" t="str">
        <f>A48</f>
        <v>比较价值（元/平方米）</v>
      </c>
      <c r="Q48" s="3705"/>
      <c r="R48" s="3706">
        <f>IF(F1="售价",ROUND(PRODUCT(R47,AA7:AA46),0),ROUND(PRODUCT(R47,AA7:AA46),1))</f>
        <v>38358</v>
      </c>
      <c r="S48" s="3706"/>
      <c r="T48" s="3706">
        <f>IF(F1="售价",ROUND(PRODUCT(T47,AB7:AB46),0),ROUND(PRODUCT(T47,AB7:AB46),1))</f>
        <v>36562</v>
      </c>
      <c r="U48" s="3706"/>
      <c r="V48" s="3706">
        <f>IF(F1="售价",ROUND(PRODUCT(V47,AC7:AC46),0),ROUND(PRODUCT(V47,AC7:AC46),1))</f>
        <v>42841</v>
      </c>
      <c r="W48" s="3706"/>
      <c r="X48" s="688"/>
      <c r="Y48" s="688"/>
      <c r="Z48" s="688"/>
      <c r="AA48" s="688"/>
      <c r="AB48" s="688"/>
      <c r="AC48" s="688"/>
    </row>
    <row r="49" spans="1:29" ht="15.75" thickBot="1">
      <c r="A49" s="440" t="s">
        <v>1794</v>
      </c>
      <c r="B49" s="441"/>
      <c r="C49" s="1161">
        <f>R49</f>
        <v>39254</v>
      </c>
      <c r="D49" s="1161"/>
      <c r="E49" s="1161"/>
      <c r="F49" s="1161"/>
      <c r="G49" s="1161"/>
      <c r="H49" s="1161"/>
      <c r="I49" s="1161"/>
      <c r="J49" s="1161"/>
      <c r="K49" s="713"/>
      <c r="L49" s="2718"/>
      <c r="M49" s="2719"/>
      <c r="N49" s="2710"/>
      <c r="O49" s="2719"/>
      <c r="P49" s="3707" t="str">
        <f>A49</f>
        <v>估价对象XX用房的比较价值（楼面单价，元/平方米）</v>
      </c>
      <c r="Q49" s="3708"/>
      <c r="R49" s="3709">
        <f>IF(F1="售价",ROUND(IF(D48="简单平均",AVERAGE(R48:V48),R48*F48+T48*H48+V48*J48),0),ROUND(IF(D48="简单平均",AVERAGE(R48:V48),R48*F48+T48*H48+V48*J48),1))</f>
        <v>39254</v>
      </c>
      <c r="S49" s="3709"/>
      <c r="T49" s="3709"/>
      <c r="U49" s="3709"/>
      <c r="V49" s="3709"/>
      <c r="W49" s="3709"/>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1.9709056780853995E-2</v>
      </c>
      <c r="F52" s="448" t="str">
        <f>IF(OR(E52&gt;=0.3,E52&lt;=-0.3),"超过30%","")</f>
        <v/>
      </c>
      <c r="G52" s="447">
        <f>IF(G47&lt;G48,G48/G47-1,G47/G48-1)</f>
        <v>8.2107105738198127E-2</v>
      </c>
      <c r="H52" s="448" t="str">
        <f>IF(OR(G52&gt;=0.3,G52&lt;=-0.3),"超过30%","")</f>
        <v/>
      </c>
      <c r="I52" s="447">
        <f>IF(I47&lt;I48,I48/I47-1,I47/I48-1)</f>
        <v>4.0101771667327979E-2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4.9122039275750762E-2</v>
      </c>
      <c r="F53" s="448" t="str">
        <f>IF(OR(E53&gt;=0.2,E53&lt;=-0.2),"超过20%","")</f>
        <v/>
      </c>
      <c r="G53" s="447">
        <f>IF(G48&lt;I48,I48/G48-1,G48/I48-1)</f>
        <v>0.17173568185547827</v>
      </c>
      <c r="H53" s="448" t="str">
        <f>IF(OR(G53&gt;=0.2,G53&lt;=-0.2),"超过20%","")</f>
        <v/>
      </c>
      <c r="I53" s="447">
        <f>IF(I48&lt;E48,E48/I48-1,I48/E48-1)</f>
        <v>0.1168726210959905</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1.1504832029452405E-2</v>
      </c>
      <c r="F54" s="448" t="str">
        <f>IF(OR(E54&gt;=0.3,E54&lt;=-0.3),"超过30%","")</f>
        <v/>
      </c>
      <c r="G54" s="447">
        <f>IF(G47&lt;I47,I47/G47-1,G47/I47-1)</f>
        <v>0.12625113739763427</v>
      </c>
      <c r="H54" s="448" t="str">
        <f>IF(OR(G54&gt;=0.3,G54&lt;=-0.3),"超过30%","")</f>
        <v/>
      </c>
      <c r="I54" s="447">
        <f>IF(I47&lt;E47,E47/I47-1,I47/E47-1)</f>
        <v>0.13920846755637362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2024-3</v>
      </c>
      <c r="D58" s="1183">
        <f>EDATE(C58,-1)</f>
        <v>45323</v>
      </c>
      <c r="E58" s="1183">
        <f t="shared" ref="E58:N58" si="16">EDATE(D58,-1)</f>
        <v>45292</v>
      </c>
      <c r="F58" s="1183">
        <f t="shared" si="16"/>
        <v>45261</v>
      </c>
      <c r="G58" s="1183">
        <f t="shared" si="16"/>
        <v>45231</v>
      </c>
      <c r="H58" s="1183">
        <f t="shared" si="16"/>
        <v>45200</v>
      </c>
      <c r="I58" s="1183">
        <f t="shared" si="16"/>
        <v>45170</v>
      </c>
      <c r="J58" s="1183">
        <f t="shared" si="16"/>
        <v>45139</v>
      </c>
      <c r="K58" s="1183">
        <f t="shared" si="16"/>
        <v>45108</v>
      </c>
      <c r="L58" s="1183">
        <f t="shared" si="16"/>
        <v>45078</v>
      </c>
      <c r="M58" s="1183">
        <f t="shared" si="16"/>
        <v>45047</v>
      </c>
      <c r="N58" s="1183">
        <f t="shared" si="16"/>
        <v>45017</v>
      </c>
      <c r="O58" s="1183">
        <f>EDATE(N58,-1)</f>
        <v>44986</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3429</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103</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3430</v>
      </c>
      <c r="D65" s="531" t="s">
        <v>3431</v>
      </c>
      <c r="E65" s="531" t="s">
        <v>3432</v>
      </c>
      <c r="F65" s="531" t="s">
        <v>3433</v>
      </c>
      <c r="G65" s="531" t="s">
        <v>3434</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3437</v>
      </c>
      <c r="D86" s="3475" t="s">
        <v>3438</v>
      </c>
      <c r="E86" s="3475" t="s">
        <v>3439</v>
      </c>
      <c r="F86" s="3475" t="s">
        <v>3440</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3499</v>
      </c>
      <c r="D88" s="3475" t="s">
        <v>3498</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3503</v>
      </c>
      <c r="D90" s="3475" t="s">
        <v>3504</v>
      </c>
      <c r="E90" s="3475" t="s">
        <v>3505</v>
      </c>
      <c r="F90" s="3475" t="s">
        <v>3506</v>
      </c>
      <c r="G90" s="3475" t="s">
        <v>3507</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3424</v>
      </c>
      <c r="D92" s="502" t="s">
        <v>3425</v>
      </c>
      <c r="E92" s="502" t="s">
        <v>3426</v>
      </c>
      <c r="F92" s="3475" t="s">
        <v>3495</v>
      </c>
      <c r="G92" s="3475" t="s">
        <v>3496</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3500</v>
      </c>
      <c r="D100" s="3477" t="s">
        <v>3502</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3436</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3508</v>
      </c>
      <c r="D107" s="3475" t="s">
        <v>3509</v>
      </c>
      <c r="E107" s="3475" t="s">
        <v>3510</v>
      </c>
      <c r="F107" s="3478" t="s">
        <v>3511</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3512</v>
      </c>
      <c r="D112" s="3475" t="s">
        <v>3513</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3514</v>
      </c>
      <c r="D114" s="3475" t="s">
        <v>3516</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3508</v>
      </c>
      <c r="D122" s="3475" t="s">
        <v>3509</v>
      </c>
      <c r="E122" s="3475" t="s">
        <v>3510</v>
      </c>
      <c r="F122" s="3478" t="s">
        <v>3511</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54" sqref="V54"/>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752" t="s">
        <v>2084</v>
      </c>
      <c r="D1" s="3753"/>
      <c r="E1" s="3753"/>
      <c r="F1" s="3753"/>
      <c r="G1" s="3753"/>
      <c r="H1" s="3753"/>
      <c r="I1" s="3753"/>
      <c r="J1" s="3753"/>
      <c r="K1" s="3753"/>
      <c r="L1" s="3753"/>
      <c r="M1" s="3753"/>
      <c r="N1" s="3753"/>
      <c r="O1" s="3753"/>
      <c r="P1" s="3753"/>
      <c r="Q1" s="3753"/>
      <c r="R1" s="3753"/>
      <c r="S1" s="3754"/>
      <c r="T1" s="981" t="s">
        <v>2085</v>
      </c>
    </row>
    <row r="2" spans="1:45" s="654" customFormat="1" ht="38.25">
      <c r="A2" s="982"/>
      <c r="B2" s="650" t="s">
        <v>2086</v>
      </c>
      <c r="C2" s="651" t="str">
        <f t="shared" ref="C2:L2" si="0">C3&amp;"(含)"&amp;"-"&amp;D3</f>
        <v>0(含)-200</v>
      </c>
      <c r="D2" s="652" t="str">
        <f t="shared" si="0"/>
        <v>200(含)-400</v>
      </c>
      <c r="E2" s="652" t="str">
        <f t="shared" si="0"/>
        <v>400(含)-600</v>
      </c>
      <c r="F2" s="652" t="str">
        <f t="shared" si="0"/>
        <v>600(含)-800</v>
      </c>
      <c r="G2" s="652" t="str">
        <f t="shared" si="0"/>
        <v>800(含)-1000</v>
      </c>
      <c r="H2" s="652" t="str">
        <f t="shared" si="0"/>
        <v>1000(含)-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f>'比较法-商业'!D103</f>
        <v>200</v>
      </c>
      <c r="E3" s="656">
        <f>'比较法-商业'!E103</f>
        <v>400</v>
      </c>
      <c r="F3" s="656">
        <f>'比较法-商业'!F103</f>
        <v>600</v>
      </c>
      <c r="G3" s="656">
        <f>'比较法-商业'!G103</f>
        <v>800</v>
      </c>
      <c r="H3" s="656">
        <f>'比较法-商业'!H103</f>
        <v>1000</v>
      </c>
      <c r="I3" s="656"/>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f>'比较法-商业'!C104</f>
        <v>100</v>
      </c>
      <c r="D4" s="987">
        <f>'比较法-商业'!D104</f>
        <v>99</v>
      </c>
      <c r="E4" s="987">
        <f>'比较法-商业'!E104</f>
        <v>98</v>
      </c>
      <c r="F4" s="987">
        <f>'比较法-商业'!F104</f>
        <v>97</v>
      </c>
      <c r="G4" s="987">
        <f>'比较法-商业'!G104</f>
        <v>96</v>
      </c>
      <c r="H4" s="987">
        <f>'比较法-商业'!H104</f>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2093</v>
      </c>
      <c r="B17" s="2147" t="s">
        <v>2094</v>
      </c>
      <c r="C17" s="1008" t="str">
        <f>'比较法-商业'!C92</f>
        <v>1层</v>
      </c>
      <c r="D17" s="1008" t="str">
        <f>'比较法-商业'!D92</f>
        <v>2层</v>
      </c>
      <c r="E17" s="1008" t="str">
        <f>'比较法-商业'!E92</f>
        <v>1-2层</v>
      </c>
      <c r="F17" s="1008" t="str">
        <f>'比较法-商业'!F92</f>
        <v>3层</v>
      </c>
      <c r="G17" s="1008" t="str">
        <f>'比较法-商业'!G92</f>
        <v>4层</v>
      </c>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100</v>
      </c>
      <c r="D18" s="1020">
        <f>'比较法-商业'!D93</f>
        <v>70</v>
      </c>
      <c r="E18" s="1020">
        <f>'比较法-商业'!E93</f>
        <v>85</v>
      </c>
      <c r="F18" s="1020">
        <f>'比较法-商业'!F93</f>
        <v>60</v>
      </c>
      <c r="G18" s="1020">
        <f>'比较法-商业'!G93</f>
        <v>55</v>
      </c>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0" t="s">
        <v>2096</v>
      </c>
      <c r="B20" s="293">
        <f ca="1">IF(D20="——",S22,S22-F20)</f>
        <v>647</v>
      </c>
      <c r="C20" s="158"/>
      <c r="D20" s="2149" t="s">
        <v>43</v>
      </c>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0" t="s">
        <v>2098</v>
      </c>
      <c r="B21" s="293">
        <f ca="1">ROUND(B20*10000/B22,0)</f>
        <v>22111</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292.61</v>
      </c>
      <c r="C22" s="3749" t="s">
        <v>27</v>
      </c>
      <c r="D22" s="3750"/>
      <c r="E22" s="3750"/>
      <c r="F22" s="3750"/>
      <c r="G22" s="3750"/>
      <c r="H22" s="3750"/>
      <c r="I22" s="3750"/>
      <c r="J22" s="3750"/>
      <c r="K22" s="3750"/>
      <c r="L22" s="3750"/>
      <c r="M22" s="3750"/>
      <c r="N22" s="3750"/>
      <c r="O22" s="3750"/>
      <c r="P22" s="3750"/>
      <c r="Q22" s="3751"/>
      <c r="R22" s="661">
        <f ca="1">ROUND(S22*10000/B22,0)</f>
        <v>22111</v>
      </c>
      <c r="S22" s="21">
        <f ca="1">SUM(S24:S10000)</f>
        <v>647</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t="str">
        <f>'数据-基础表'!C13</f>
        <v>1043-1</v>
      </c>
      <c r="B24" s="663">
        <f>'数据-基础表'!I13</f>
        <v>61.42</v>
      </c>
      <c r="C24" s="2804">
        <v>1</v>
      </c>
      <c r="D24" s="2805"/>
      <c r="E24" s="2804">
        <v>1</v>
      </c>
      <c r="F24" s="2805"/>
      <c r="G24" s="2804">
        <v>1</v>
      </c>
      <c r="H24" s="2805"/>
      <c r="I24" s="2804">
        <v>1</v>
      </c>
      <c r="J24" s="2805"/>
      <c r="K24" s="2804">
        <v>1</v>
      </c>
      <c r="L24" s="2805"/>
      <c r="M24" s="2804">
        <v>1</v>
      </c>
      <c r="N24" s="2805"/>
      <c r="O24" s="2804">
        <v>1</v>
      </c>
      <c r="P24" s="2805"/>
      <c r="Q24" s="2804">
        <v>1</v>
      </c>
      <c r="R24" s="666">
        <f ca="1">结果表!C32</f>
        <v>22128</v>
      </c>
      <c r="S24" s="664">
        <f t="shared" ref="S24:S54" ca="1" si="11">ROUND(R24*B24/10000,0)</f>
        <v>136</v>
      </c>
      <c r="T24" s="728">
        <v>149</v>
      </c>
      <c r="U24" s="3514">
        <f ca="1">(T24-S24)/T24</f>
        <v>8.7248322147651006E-2</v>
      </c>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90" t="str">
        <f>'数据-基础表'!C14</f>
        <v>1043-2</v>
      </c>
      <c r="B25" s="663">
        <f>'数据-基础表'!I14</f>
        <v>100.89</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22128</v>
      </c>
      <c r="S25" s="315">
        <f t="shared" ca="1" si="11"/>
        <v>223</v>
      </c>
      <c r="T25" s="723">
        <v>237</v>
      </c>
      <c r="U25" s="3514">
        <f t="shared" ref="U25:U27" ca="1" si="12">(T25-S25)/T25</f>
        <v>5.9071729957805907E-2</v>
      </c>
    </row>
    <row r="26" spans="1:45">
      <c r="A26" s="3490">
        <f>'数据-基础表'!C15</f>
        <v>1044</v>
      </c>
      <c r="B26" s="663">
        <f>'数据-基础表'!I15</f>
        <v>66.45</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f t="shared" ref="R26:R89" ca="1" si="21">IF(B26="",0,ROUND($R$24*C26*E26*G26*I26*K26*M26*O26*Q26,0))</f>
        <v>22128</v>
      </c>
      <c r="S26" s="315">
        <f t="shared" ca="1" si="11"/>
        <v>147</v>
      </c>
      <c r="T26" s="723">
        <v>160</v>
      </c>
      <c r="U26" s="3514">
        <f t="shared" ca="1" si="12"/>
        <v>8.1250000000000003E-2</v>
      </c>
    </row>
    <row r="27" spans="1:45">
      <c r="A27" s="3490">
        <f>'数据-基础表'!C16</f>
        <v>1045</v>
      </c>
      <c r="B27" s="663">
        <f>'数据-基础表'!I16</f>
        <v>63.85</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f t="shared" ca="1" si="21"/>
        <v>22128</v>
      </c>
      <c r="S27" s="315">
        <f t="shared" ca="1" si="11"/>
        <v>141</v>
      </c>
      <c r="T27" s="723">
        <v>155</v>
      </c>
      <c r="U27" s="3514">
        <f t="shared" ca="1" si="12"/>
        <v>9.0322580645161285E-2</v>
      </c>
    </row>
    <row r="28" spans="1:45">
      <c r="A28" s="149"/>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f t="shared" si="21"/>
        <v>0</v>
      </c>
      <c r="S28" s="315">
        <f t="shared" si="11"/>
        <v>0</v>
      </c>
      <c r="T28" s="723">
        <f>T24/1.1</f>
        <v>135.45454545454544</v>
      </c>
    </row>
    <row r="29" spans="1:45">
      <c r="A29" s="149"/>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f t="shared" si="21"/>
        <v>0</v>
      </c>
      <c r="S29" s="315">
        <f t="shared" si="11"/>
        <v>0</v>
      </c>
    </row>
    <row r="30" spans="1:45">
      <c r="A30" s="149"/>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5">
        <f t="shared" si="11"/>
        <v>0</v>
      </c>
    </row>
    <row r="31" spans="1:45">
      <c r="A31" s="149"/>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5">
        <f t="shared" si="11"/>
        <v>0</v>
      </c>
    </row>
    <row r="32" spans="1:45">
      <c r="A32" s="149"/>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5">
        <f t="shared" si="11"/>
        <v>0</v>
      </c>
    </row>
    <row r="33" spans="1:19">
      <c r="A33" s="149"/>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5">
        <f t="shared" si="11"/>
        <v>0</v>
      </c>
    </row>
    <row r="34" spans="1:19">
      <c r="A34" s="149"/>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5">
        <f t="shared" si="11"/>
        <v>0</v>
      </c>
    </row>
    <row r="35" spans="1:19">
      <c r="A35" s="149"/>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5">
        <f t="shared" si="11"/>
        <v>0</v>
      </c>
    </row>
    <row r="36" spans="1:19">
      <c r="A36" s="149"/>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5">
        <f t="shared" si="11"/>
        <v>0</v>
      </c>
    </row>
    <row r="37" spans="1:19">
      <c r="A37" s="149"/>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5">
        <f t="shared" si="11"/>
        <v>0</v>
      </c>
    </row>
    <row r="38" spans="1:19">
      <c r="A38" s="149"/>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5">
        <f t="shared" si="11"/>
        <v>0</v>
      </c>
    </row>
    <row r="39" spans="1:19">
      <c r="A39" s="149"/>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5">
        <f t="shared" si="11"/>
        <v>0</v>
      </c>
    </row>
    <row r="40" spans="1:19">
      <c r="A40" s="149"/>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5">
        <f t="shared" si="11"/>
        <v>0</v>
      </c>
    </row>
    <row r="41" spans="1:19">
      <c r="A41" s="149"/>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5">
        <f t="shared" si="11"/>
        <v>0</v>
      </c>
    </row>
    <row r="42" spans="1:19">
      <c r="A42" s="149"/>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5">
        <f t="shared" si="11"/>
        <v>0</v>
      </c>
    </row>
    <row r="43" spans="1:19">
      <c r="A43" s="149"/>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5">
        <f t="shared" si="11"/>
        <v>0</v>
      </c>
    </row>
    <row r="44" spans="1:19">
      <c r="A44" s="149"/>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5">
        <f t="shared" si="11"/>
        <v>0</v>
      </c>
    </row>
    <row r="45" spans="1:19">
      <c r="A45" s="149"/>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5">
        <f t="shared" si="11"/>
        <v>0</v>
      </c>
    </row>
    <row r="46" spans="1:19">
      <c r="A46" s="149"/>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5">
        <f t="shared" si="11"/>
        <v>0</v>
      </c>
    </row>
    <row r="47" spans="1:19">
      <c r="A47" s="149"/>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5">
        <f t="shared" si="11"/>
        <v>0</v>
      </c>
    </row>
    <row r="48" spans="1:19">
      <c r="A48" s="149"/>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5">
        <f t="shared" si="11"/>
        <v>0</v>
      </c>
    </row>
    <row r="49" spans="1:19">
      <c r="A49" s="149"/>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5">
        <f t="shared" si="11"/>
        <v>0</v>
      </c>
    </row>
    <row r="50" spans="1:19">
      <c r="A50" s="149"/>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5">
        <f t="shared" si="11"/>
        <v>0</v>
      </c>
    </row>
    <row r="51" spans="1:19">
      <c r="A51" s="149"/>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5">
        <f t="shared" si="11"/>
        <v>0</v>
      </c>
    </row>
    <row r="52" spans="1:19">
      <c r="A52" s="149"/>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5">
        <f t="shared" si="11"/>
        <v>0</v>
      </c>
    </row>
    <row r="53" spans="1:19">
      <c r="A53" s="149"/>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5">
        <f t="shared" si="11"/>
        <v>0</v>
      </c>
    </row>
    <row r="54" spans="1:19">
      <c r="A54" s="149"/>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5">
        <f t="shared" si="11"/>
        <v>0</v>
      </c>
    </row>
    <row r="55" spans="1:19">
      <c r="A55" s="149"/>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5">
        <f t="shared" ref="S55:S77" si="22">ROUND(R55*B55/10000,0)</f>
        <v>0</v>
      </c>
    </row>
    <row r="56" spans="1:19">
      <c r="A56" s="149"/>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5">
        <f t="shared" si="22"/>
        <v>0</v>
      </c>
    </row>
    <row r="57" spans="1:19">
      <c r="A57" s="149"/>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5">
        <f t="shared" si="22"/>
        <v>0</v>
      </c>
    </row>
    <row r="58" spans="1:19">
      <c r="A58" s="149"/>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5">
        <f t="shared" si="22"/>
        <v>0</v>
      </c>
    </row>
    <row r="59" spans="1:19">
      <c r="A59" s="149"/>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5">
        <f t="shared" si="22"/>
        <v>0</v>
      </c>
    </row>
    <row r="60" spans="1:19">
      <c r="A60" s="149"/>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5">
        <f t="shared" si="22"/>
        <v>0</v>
      </c>
    </row>
    <row r="61" spans="1:19">
      <c r="A61" s="149"/>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5">
        <f t="shared" si="22"/>
        <v>0</v>
      </c>
    </row>
    <row r="62" spans="1:19">
      <c r="A62" s="149"/>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5">
        <f t="shared" si="22"/>
        <v>0</v>
      </c>
    </row>
    <row r="63" spans="1:19">
      <c r="A63" s="149"/>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5">
        <f t="shared" si="22"/>
        <v>0</v>
      </c>
    </row>
    <row r="64" spans="1:19">
      <c r="A64" s="149"/>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5">
        <f t="shared" si="22"/>
        <v>0</v>
      </c>
    </row>
    <row r="65" spans="1:19">
      <c r="A65" s="149"/>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5">
        <f t="shared" si="22"/>
        <v>0</v>
      </c>
    </row>
    <row r="66" spans="1:19">
      <c r="A66" s="149"/>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5">
        <f t="shared" si="22"/>
        <v>0</v>
      </c>
    </row>
    <row r="67" spans="1:19">
      <c r="A67" s="149"/>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5">
        <f t="shared" si="22"/>
        <v>0</v>
      </c>
    </row>
    <row r="68" spans="1:19">
      <c r="A68" s="149"/>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5">
        <f t="shared" si="22"/>
        <v>0</v>
      </c>
    </row>
    <row r="69" spans="1:19">
      <c r="A69" s="149"/>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5">
        <f t="shared" si="22"/>
        <v>0</v>
      </c>
    </row>
    <row r="70" spans="1:19">
      <c r="A70" s="149"/>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5">
        <f t="shared" si="22"/>
        <v>0</v>
      </c>
    </row>
    <row r="71" spans="1:19">
      <c r="A71" s="149"/>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5">
        <f t="shared" si="22"/>
        <v>0</v>
      </c>
    </row>
    <row r="72" spans="1:19">
      <c r="A72" s="149"/>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5">
        <f t="shared" si="22"/>
        <v>0</v>
      </c>
    </row>
    <row r="73" spans="1:19">
      <c r="A73" s="149"/>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5">
        <f t="shared" si="22"/>
        <v>0</v>
      </c>
    </row>
    <row r="74" spans="1:19">
      <c r="A74" s="149"/>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5">
        <f t="shared" si="22"/>
        <v>0</v>
      </c>
    </row>
    <row r="75" spans="1:19">
      <c r="A75" s="149"/>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5">
        <f t="shared" si="22"/>
        <v>0</v>
      </c>
    </row>
    <row r="76" spans="1:19">
      <c r="A76" s="149"/>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5">
        <f t="shared" si="22"/>
        <v>0</v>
      </c>
    </row>
    <row r="77" spans="1:19">
      <c r="A77" s="149"/>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5">
        <f t="shared" si="22"/>
        <v>0</v>
      </c>
    </row>
    <row r="78" spans="1:19">
      <c r="A78" s="149"/>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5">
        <f t="shared" ref="S78:S122" si="23">ROUND(R78*B78/10000,0)</f>
        <v>0</v>
      </c>
    </row>
    <row r="79" spans="1:19">
      <c r="A79" s="149"/>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5">
        <f t="shared" si="23"/>
        <v>0</v>
      </c>
    </row>
    <row r="80" spans="1:19">
      <c r="A80" s="149"/>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5">
        <f t="shared" si="23"/>
        <v>0</v>
      </c>
    </row>
    <row r="81" spans="1:19">
      <c r="A81" s="149"/>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5">
        <f t="shared" si="23"/>
        <v>0</v>
      </c>
    </row>
    <row r="82" spans="1:19">
      <c r="A82" s="149"/>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5">
        <f t="shared" si="23"/>
        <v>0</v>
      </c>
    </row>
    <row r="83" spans="1:19">
      <c r="A83" s="149"/>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5">
        <f t="shared" si="23"/>
        <v>0</v>
      </c>
    </row>
    <row r="84" spans="1:19">
      <c r="A84" s="149"/>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5">
        <f t="shared" si="23"/>
        <v>0</v>
      </c>
    </row>
    <row r="85" spans="1:19">
      <c r="A85" s="149"/>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5">
        <f t="shared" si="23"/>
        <v>0</v>
      </c>
    </row>
    <row r="86" spans="1:19">
      <c r="A86" s="149"/>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5">
        <f t="shared" si="23"/>
        <v>0</v>
      </c>
    </row>
    <row r="87" spans="1:19">
      <c r="A87" s="149"/>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5">
        <f t="shared" si="23"/>
        <v>0</v>
      </c>
    </row>
    <row r="88" spans="1:19">
      <c r="A88" s="149"/>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5">
        <f t="shared" si="23"/>
        <v>0</v>
      </c>
    </row>
    <row r="89" spans="1:19">
      <c r="A89" s="149"/>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5">
        <f t="shared" si="23"/>
        <v>0</v>
      </c>
    </row>
    <row r="90" spans="1:19">
      <c r="A90" s="149"/>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5">
        <f t="shared" si="23"/>
        <v>0</v>
      </c>
    </row>
    <row r="91" spans="1:19">
      <c r="A91" s="149"/>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5">
        <f t="shared" si="23"/>
        <v>0</v>
      </c>
    </row>
    <row r="92" spans="1:19">
      <c r="A92" s="149"/>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5">
        <f t="shared" si="23"/>
        <v>0</v>
      </c>
    </row>
    <row r="93" spans="1:19">
      <c r="A93" s="149"/>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5">
        <f t="shared" si="23"/>
        <v>0</v>
      </c>
    </row>
    <row r="94" spans="1:19">
      <c r="A94" s="149"/>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5">
        <f t="shared" si="23"/>
        <v>0</v>
      </c>
    </row>
    <row r="95" spans="1:19">
      <c r="A95" s="149"/>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5">
        <f t="shared" si="23"/>
        <v>0</v>
      </c>
    </row>
    <row r="96" spans="1:19">
      <c r="A96" s="149"/>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5">
        <f t="shared" si="23"/>
        <v>0</v>
      </c>
    </row>
    <row r="97" spans="1:19">
      <c r="A97" s="149"/>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5">
        <f t="shared" si="23"/>
        <v>0</v>
      </c>
    </row>
    <row r="98" spans="1:19">
      <c r="A98" s="149"/>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5">
        <f t="shared" si="23"/>
        <v>0</v>
      </c>
    </row>
    <row r="99" spans="1:19">
      <c r="A99" s="149"/>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5">
        <f t="shared" si="23"/>
        <v>0</v>
      </c>
    </row>
    <row r="100" spans="1:19">
      <c r="A100" s="149"/>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5">
        <f t="shared" si="23"/>
        <v>0</v>
      </c>
    </row>
    <row r="101" spans="1:19">
      <c r="A101" s="149"/>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5">
        <f t="shared" si="23"/>
        <v>0</v>
      </c>
    </row>
    <row r="102" spans="1:19">
      <c r="A102" s="149"/>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5">
        <f t="shared" si="23"/>
        <v>0</v>
      </c>
    </row>
    <row r="103" spans="1:19">
      <c r="A103" s="149"/>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5">
        <f t="shared" si="23"/>
        <v>0</v>
      </c>
    </row>
    <row r="104" spans="1:19">
      <c r="A104" s="149"/>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5">
        <f t="shared" si="23"/>
        <v>0</v>
      </c>
    </row>
    <row r="105" spans="1:19">
      <c r="A105" s="149"/>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5">
        <f t="shared" si="23"/>
        <v>0</v>
      </c>
    </row>
    <row r="106" spans="1:19">
      <c r="A106" s="149"/>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5">
        <f t="shared" si="23"/>
        <v>0</v>
      </c>
    </row>
    <row r="107" spans="1:19">
      <c r="A107" s="149"/>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5">
        <f t="shared" si="23"/>
        <v>0</v>
      </c>
    </row>
    <row r="108" spans="1:19">
      <c r="A108" s="149"/>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5">
        <f t="shared" si="23"/>
        <v>0</v>
      </c>
    </row>
    <row r="109" spans="1:19">
      <c r="A109" s="149"/>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5">
        <f t="shared" si="23"/>
        <v>0</v>
      </c>
    </row>
    <row r="110" spans="1:19">
      <c r="A110" s="149"/>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5">
        <f t="shared" si="23"/>
        <v>0</v>
      </c>
    </row>
    <row r="111" spans="1:19">
      <c r="A111" s="149"/>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5">
        <f t="shared" si="23"/>
        <v>0</v>
      </c>
    </row>
    <row r="112" spans="1:19">
      <c r="A112" s="149"/>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5">
        <f t="shared" si="23"/>
        <v>0</v>
      </c>
    </row>
    <row r="113" spans="1:19">
      <c r="A113" s="149"/>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5">
        <f t="shared" si="23"/>
        <v>0</v>
      </c>
    </row>
    <row r="114" spans="1:19">
      <c r="A114" s="149"/>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5">
        <f t="shared" si="23"/>
        <v>0</v>
      </c>
    </row>
    <row r="115" spans="1:19">
      <c r="A115" s="149"/>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5">
        <f t="shared" si="23"/>
        <v>0</v>
      </c>
    </row>
    <row r="116" spans="1:19">
      <c r="A116" s="149"/>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5">
        <f t="shared" si="23"/>
        <v>0</v>
      </c>
    </row>
    <row r="117" spans="1:19">
      <c r="A117" s="149"/>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5">
        <f t="shared" si="23"/>
        <v>0</v>
      </c>
    </row>
    <row r="118" spans="1:19">
      <c r="A118" s="149"/>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5">
        <f t="shared" si="23"/>
        <v>0</v>
      </c>
    </row>
    <row r="119" spans="1:19">
      <c r="A119" s="149"/>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5">
        <f t="shared" si="23"/>
        <v>0</v>
      </c>
    </row>
    <row r="120" spans="1:19">
      <c r="A120" s="149"/>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5">
        <f t="shared" si="23"/>
        <v>0</v>
      </c>
    </row>
    <row r="121" spans="1:19">
      <c r="A121" s="149"/>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5">
        <f t="shared" si="23"/>
        <v>0</v>
      </c>
    </row>
    <row r="122" spans="1:19">
      <c r="A122" s="149"/>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5">
        <f t="shared" si="23"/>
        <v>0</v>
      </c>
    </row>
    <row r="123" spans="1:19">
      <c r="A123" s="149"/>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5">
        <f t="shared" ref="S123:S186" si="33">ROUND(R123*B123/10000,0)</f>
        <v>0</v>
      </c>
    </row>
    <row r="124" spans="1:19">
      <c r="A124" s="149"/>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5">
        <f t="shared" si="33"/>
        <v>0</v>
      </c>
    </row>
    <row r="125" spans="1:19">
      <c r="A125" s="149"/>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5">
        <f t="shared" si="33"/>
        <v>0</v>
      </c>
    </row>
    <row r="126" spans="1:19">
      <c r="A126" s="149"/>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5">
        <f t="shared" si="33"/>
        <v>0</v>
      </c>
    </row>
    <row r="127" spans="1:19">
      <c r="A127" s="149"/>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5">
        <f t="shared" si="33"/>
        <v>0</v>
      </c>
    </row>
    <row r="128" spans="1:19">
      <c r="A128" s="149"/>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5">
        <f t="shared" si="33"/>
        <v>0</v>
      </c>
    </row>
    <row r="129" spans="1:19">
      <c r="A129" s="149"/>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5">
        <f t="shared" si="33"/>
        <v>0</v>
      </c>
    </row>
    <row r="130" spans="1:19">
      <c r="A130" s="149"/>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5">
        <f t="shared" si="33"/>
        <v>0</v>
      </c>
    </row>
    <row r="131" spans="1:19">
      <c r="A131" s="149"/>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5">
        <f t="shared" si="33"/>
        <v>0</v>
      </c>
    </row>
    <row r="132" spans="1:19">
      <c r="A132" s="149"/>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5">
        <f t="shared" si="33"/>
        <v>0</v>
      </c>
    </row>
    <row r="133" spans="1:19">
      <c r="A133" s="149"/>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5">
        <f t="shared" si="33"/>
        <v>0</v>
      </c>
    </row>
    <row r="134" spans="1:19">
      <c r="A134" s="149"/>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5">
        <f t="shared" si="33"/>
        <v>0</v>
      </c>
    </row>
    <row r="135" spans="1:19">
      <c r="A135" s="149"/>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5">
        <f t="shared" si="33"/>
        <v>0</v>
      </c>
    </row>
    <row r="136" spans="1:19">
      <c r="A136" s="149"/>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5">
        <f t="shared" si="33"/>
        <v>0</v>
      </c>
    </row>
    <row r="137" spans="1:19">
      <c r="A137" s="149"/>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5">
        <f t="shared" si="33"/>
        <v>0</v>
      </c>
    </row>
    <row r="138" spans="1:19">
      <c r="A138" s="149"/>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5">
        <f t="shared" si="33"/>
        <v>0</v>
      </c>
    </row>
    <row r="139" spans="1:19">
      <c r="A139" s="149"/>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5">
        <f t="shared" si="33"/>
        <v>0</v>
      </c>
    </row>
    <row r="140" spans="1:19">
      <c r="A140" s="149"/>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5">
        <f t="shared" si="33"/>
        <v>0</v>
      </c>
    </row>
    <row r="141" spans="1:19">
      <c r="A141" s="149"/>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5">
        <f t="shared" si="33"/>
        <v>0</v>
      </c>
    </row>
    <row r="142" spans="1:19">
      <c r="A142" s="149"/>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5">
        <f t="shared" si="33"/>
        <v>0</v>
      </c>
    </row>
    <row r="143" spans="1:19">
      <c r="A143" s="149"/>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5">
        <f t="shared" si="33"/>
        <v>0</v>
      </c>
    </row>
    <row r="144" spans="1:19">
      <c r="A144" s="149"/>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5">
        <f t="shared" si="33"/>
        <v>0</v>
      </c>
    </row>
    <row r="145" spans="1:19">
      <c r="A145" s="149"/>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5">
        <f t="shared" si="33"/>
        <v>0</v>
      </c>
    </row>
    <row r="146" spans="1:19">
      <c r="A146" s="149"/>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5">
        <f t="shared" si="33"/>
        <v>0</v>
      </c>
    </row>
    <row r="147" spans="1:19">
      <c r="A147" s="149"/>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5">
        <f t="shared" si="33"/>
        <v>0</v>
      </c>
    </row>
    <row r="148" spans="1:19">
      <c r="A148" s="149"/>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5">
        <f t="shared" si="33"/>
        <v>0</v>
      </c>
    </row>
    <row r="149" spans="1:19">
      <c r="A149" s="149"/>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5">
        <f t="shared" si="33"/>
        <v>0</v>
      </c>
    </row>
    <row r="150" spans="1:19">
      <c r="A150" s="149"/>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5">
        <f t="shared" si="33"/>
        <v>0</v>
      </c>
    </row>
    <row r="151" spans="1:19">
      <c r="A151" s="149"/>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5">
        <f t="shared" si="33"/>
        <v>0</v>
      </c>
    </row>
    <row r="152" spans="1:19">
      <c r="A152" s="149"/>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5">
        <f t="shared" si="33"/>
        <v>0</v>
      </c>
    </row>
    <row r="153" spans="1:19">
      <c r="A153" s="149"/>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5">
        <f t="shared" si="33"/>
        <v>0</v>
      </c>
    </row>
    <row r="154" spans="1:19">
      <c r="A154" s="149"/>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5">
        <f t="shared" si="33"/>
        <v>0</v>
      </c>
    </row>
    <row r="155" spans="1:19">
      <c r="A155" s="149"/>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5">
        <f t="shared" si="33"/>
        <v>0</v>
      </c>
    </row>
    <row r="156" spans="1:19">
      <c r="A156" s="149"/>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5">
        <f t="shared" si="33"/>
        <v>0</v>
      </c>
    </row>
    <row r="157" spans="1:19">
      <c r="A157" s="149"/>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5">
        <f t="shared" si="33"/>
        <v>0</v>
      </c>
    </row>
    <row r="158" spans="1:19">
      <c r="A158" s="149"/>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5">
        <f t="shared" si="33"/>
        <v>0</v>
      </c>
    </row>
    <row r="159" spans="1:19">
      <c r="A159" s="149"/>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5">
        <f t="shared" si="33"/>
        <v>0</v>
      </c>
    </row>
    <row r="160" spans="1:19">
      <c r="A160" s="149"/>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5">
        <f t="shared" si="33"/>
        <v>0</v>
      </c>
    </row>
    <row r="161" spans="1:19">
      <c r="A161" s="149"/>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5">
        <f t="shared" si="33"/>
        <v>0</v>
      </c>
    </row>
    <row r="162" spans="1:19">
      <c r="A162" s="149"/>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5">
        <f t="shared" si="33"/>
        <v>0</v>
      </c>
    </row>
    <row r="163" spans="1:19">
      <c r="A163" s="149"/>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5">
        <f t="shared" si="33"/>
        <v>0</v>
      </c>
    </row>
    <row r="164" spans="1:19">
      <c r="A164" s="149"/>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5">
        <f t="shared" si="33"/>
        <v>0</v>
      </c>
    </row>
    <row r="165" spans="1:19">
      <c r="A165" s="149"/>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5">
        <f t="shared" si="33"/>
        <v>0</v>
      </c>
    </row>
    <row r="166" spans="1:19">
      <c r="A166" s="149"/>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5">
        <f t="shared" si="33"/>
        <v>0</v>
      </c>
    </row>
    <row r="167" spans="1:19">
      <c r="A167" s="149"/>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5">
        <f t="shared" si="33"/>
        <v>0</v>
      </c>
    </row>
    <row r="168" spans="1:19">
      <c r="A168" s="149"/>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5">
        <f t="shared" si="33"/>
        <v>0</v>
      </c>
    </row>
    <row r="169" spans="1:19">
      <c r="A169" s="149"/>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5">
        <f t="shared" si="33"/>
        <v>0</v>
      </c>
    </row>
    <row r="170" spans="1:19">
      <c r="A170" s="149"/>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5">
        <f t="shared" si="33"/>
        <v>0</v>
      </c>
    </row>
    <row r="171" spans="1:19">
      <c r="A171" s="149"/>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5">
        <f t="shared" si="33"/>
        <v>0</v>
      </c>
    </row>
    <row r="172" spans="1:19">
      <c r="A172" s="149"/>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5">
        <f t="shared" si="33"/>
        <v>0</v>
      </c>
    </row>
    <row r="173" spans="1:19">
      <c r="A173" s="149"/>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5">
        <f t="shared" si="33"/>
        <v>0</v>
      </c>
    </row>
    <row r="174" spans="1:19">
      <c r="A174" s="149"/>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5">
        <f t="shared" si="33"/>
        <v>0</v>
      </c>
    </row>
    <row r="175" spans="1:19">
      <c r="A175" s="149"/>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5">
        <f t="shared" si="33"/>
        <v>0</v>
      </c>
    </row>
    <row r="176" spans="1:19">
      <c r="A176" s="149"/>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5">
        <f t="shared" si="33"/>
        <v>0</v>
      </c>
    </row>
    <row r="177" spans="1:19">
      <c r="A177" s="149"/>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5">
        <f t="shared" si="33"/>
        <v>0</v>
      </c>
    </row>
    <row r="178" spans="1:19">
      <c r="A178" s="149"/>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5">
        <f t="shared" si="33"/>
        <v>0</v>
      </c>
    </row>
    <row r="179" spans="1:19">
      <c r="A179" s="149"/>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5">
        <f t="shared" si="33"/>
        <v>0</v>
      </c>
    </row>
    <row r="180" spans="1:19">
      <c r="A180" s="149"/>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5">
        <f t="shared" si="33"/>
        <v>0</v>
      </c>
    </row>
    <row r="181" spans="1:19">
      <c r="A181" s="149"/>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5">
        <f t="shared" si="33"/>
        <v>0</v>
      </c>
    </row>
    <row r="182" spans="1:19">
      <c r="A182" s="149"/>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5">
        <f t="shared" si="33"/>
        <v>0</v>
      </c>
    </row>
    <row r="183" spans="1:19">
      <c r="A183" s="149"/>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5">
        <f t="shared" si="33"/>
        <v>0</v>
      </c>
    </row>
    <row r="184" spans="1:19">
      <c r="A184" s="149"/>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5">
        <f t="shared" si="33"/>
        <v>0</v>
      </c>
    </row>
    <row r="185" spans="1:19">
      <c r="A185" s="149"/>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5">
        <f t="shared" si="33"/>
        <v>0</v>
      </c>
    </row>
    <row r="186" spans="1:19">
      <c r="A186" s="149"/>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5">
        <f t="shared" si="33"/>
        <v>0</v>
      </c>
    </row>
    <row r="187" spans="1:19">
      <c r="A187" s="149"/>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5">
        <f t="shared" ref="S187:S222" si="43">ROUND(R187*B187/10000,0)</f>
        <v>0</v>
      </c>
    </row>
    <row r="188" spans="1:19">
      <c r="A188" s="149"/>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5">
        <f t="shared" si="43"/>
        <v>0</v>
      </c>
    </row>
    <row r="189" spans="1:19">
      <c r="A189" s="149"/>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5">
        <f t="shared" si="43"/>
        <v>0</v>
      </c>
    </row>
    <row r="190" spans="1:19">
      <c r="A190" s="149"/>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5">
        <f t="shared" si="43"/>
        <v>0</v>
      </c>
    </row>
    <row r="191" spans="1:19">
      <c r="A191" s="149"/>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5">
        <f t="shared" si="43"/>
        <v>0</v>
      </c>
    </row>
    <row r="192" spans="1:19">
      <c r="A192" s="149"/>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5">
        <f t="shared" si="43"/>
        <v>0</v>
      </c>
    </row>
    <row r="193" spans="1:19">
      <c r="A193" s="149"/>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5">
        <f t="shared" si="43"/>
        <v>0</v>
      </c>
    </row>
    <row r="194" spans="1:19">
      <c r="A194" s="149"/>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5">
        <f t="shared" si="43"/>
        <v>0</v>
      </c>
    </row>
    <row r="195" spans="1:19">
      <c r="A195" s="149"/>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5">
        <f t="shared" si="43"/>
        <v>0</v>
      </c>
    </row>
    <row r="196" spans="1:19">
      <c r="A196" s="149"/>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5">
        <f t="shared" si="43"/>
        <v>0</v>
      </c>
    </row>
    <row r="197" spans="1:19">
      <c r="A197" s="149"/>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5">
        <f t="shared" si="43"/>
        <v>0</v>
      </c>
    </row>
    <row r="198" spans="1:19">
      <c r="A198" s="149"/>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5">
        <f t="shared" si="43"/>
        <v>0</v>
      </c>
    </row>
    <row r="199" spans="1:19">
      <c r="A199" s="149"/>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5">
        <f t="shared" si="43"/>
        <v>0</v>
      </c>
    </row>
    <row r="200" spans="1:19">
      <c r="A200" s="149"/>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5">
        <f t="shared" si="43"/>
        <v>0</v>
      </c>
    </row>
    <row r="201" spans="1:19">
      <c r="A201" s="149"/>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5">
        <f t="shared" si="43"/>
        <v>0</v>
      </c>
    </row>
    <row r="202" spans="1:19">
      <c r="A202" s="149"/>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5">
        <f t="shared" si="43"/>
        <v>0</v>
      </c>
    </row>
    <row r="203" spans="1:19">
      <c r="A203" s="149"/>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5">
        <f t="shared" si="43"/>
        <v>0</v>
      </c>
    </row>
    <row r="204" spans="1:19">
      <c r="A204" s="149"/>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5">
        <f t="shared" si="43"/>
        <v>0</v>
      </c>
    </row>
    <row r="205" spans="1:19">
      <c r="A205" s="149"/>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5">
        <f t="shared" si="43"/>
        <v>0</v>
      </c>
    </row>
    <row r="206" spans="1:19">
      <c r="A206" s="149"/>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5">
        <f t="shared" si="43"/>
        <v>0</v>
      </c>
    </row>
    <row r="207" spans="1:19">
      <c r="A207" s="149"/>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5">
        <f t="shared" si="43"/>
        <v>0</v>
      </c>
    </row>
    <row r="208" spans="1:19">
      <c r="A208" s="149"/>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5">
        <f t="shared" si="43"/>
        <v>0</v>
      </c>
    </row>
    <row r="209" spans="1:19">
      <c r="A209" s="149"/>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5">
        <f t="shared" si="43"/>
        <v>0</v>
      </c>
    </row>
    <row r="210" spans="1:19">
      <c r="A210" s="149"/>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5">
        <f t="shared" si="43"/>
        <v>0</v>
      </c>
    </row>
    <row r="211" spans="1:19">
      <c r="A211" s="149"/>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5">
        <f t="shared" si="43"/>
        <v>0</v>
      </c>
    </row>
    <row r="212" spans="1:19">
      <c r="A212" s="149"/>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5">
        <f t="shared" si="43"/>
        <v>0</v>
      </c>
    </row>
    <row r="213" spans="1:19">
      <c r="A213" s="149"/>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5">
        <f t="shared" si="43"/>
        <v>0</v>
      </c>
    </row>
    <row r="214" spans="1:19">
      <c r="A214" s="149"/>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5">
        <f t="shared" si="43"/>
        <v>0</v>
      </c>
    </row>
    <row r="215" spans="1:19">
      <c r="A215" s="149"/>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5">
        <f t="shared" si="43"/>
        <v>0</v>
      </c>
    </row>
    <row r="216" spans="1:19">
      <c r="A216" s="149"/>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5">
        <f t="shared" si="43"/>
        <v>0</v>
      </c>
    </row>
    <row r="217" spans="1:19">
      <c r="A217" s="149"/>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5">
        <f t="shared" si="43"/>
        <v>0</v>
      </c>
    </row>
    <row r="218" spans="1:19">
      <c r="A218" s="149"/>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5">
        <f t="shared" si="43"/>
        <v>0</v>
      </c>
    </row>
    <row r="219" spans="1:19">
      <c r="A219" s="149"/>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5">
        <f t="shared" si="43"/>
        <v>0</v>
      </c>
    </row>
    <row r="220" spans="1:19">
      <c r="A220" s="149"/>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5">
        <f t="shared" si="43"/>
        <v>0</v>
      </c>
    </row>
    <row r="221" spans="1:19">
      <c r="A221" s="149"/>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5">
        <f t="shared" si="43"/>
        <v>0</v>
      </c>
    </row>
    <row r="222" spans="1:19">
      <c r="A222" s="149"/>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5">
        <f t="shared" si="43"/>
        <v>0</v>
      </c>
    </row>
    <row r="223" spans="1:19">
      <c r="A223" s="149"/>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5">
        <f t="shared" ref="S223:S286" si="53">ROUND(R223*B223/10000,0)</f>
        <v>0</v>
      </c>
    </row>
    <row r="224" spans="1:19">
      <c r="A224" s="149"/>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5">
        <f t="shared" si="53"/>
        <v>0</v>
      </c>
    </row>
    <row r="225" spans="1:19">
      <c r="A225" s="149"/>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5">
        <f t="shared" si="53"/>
        <v>0</v>
      </c>
    </row>
    <row r="226" spans="1:19">
      <c r="A226" s="149"/>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5">
        <f t="shared" si="53"/>
        <v>0</v>
      </c>
    </row>
    <row r="227" spans="1:19">
      <c r="A227" s="149"/>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5">
        <f t="shared" si="53"/>
        <v>0</v>
      </c>
    </row>
    <row r="228" spans="1:19">
      <c r="A228" s="149"/>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5">
        <f t="shared" si="53"/>
        <v>0</v>
      </c>
    </row>
    <row r="229" spans="1:19">
      <c r="A229" s="149"/>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5">
        <f t="shared" si="53"/>
        <v>0</v>
      </c>
    </row>
    <row r="230" spans="1:19">
      <c r="A230" s="149"/>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5">
        <f t="shared" si="53"/>
        <v>0</v>
      </c>
    </row>
    <row r="231" spans="1:19">
      <c r="A231" s="149"/>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5">
        <f t="shared" si="53"/>
        <v>0</v>
      </c>
    </row>
    <row r="232" spans="1:19">
      <c r="A232" s="149"/>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5">
        <f t="shared" si="53"/>
        <v>0</v>
      </c>
    </row>
    <row r="233" spans="1:19">
      <c r="A233" s="149"/>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5">
        <f t="shared" si="53"/>
        <v>0</v>
      </c>
    </row>
    <row r="234" spans="1:19">
      <c r="A234" s="149"/>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5">
        <f t="shared" si="53"/>
        <v>0</v>
      </c>
    </row>
    <row r="235" spans="1:19">
      <c r="A235" s="149"/>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5">
        <f t="shared" si="53"/>
        <v>0</v>
      </c>
    </row>
    <row r="236" spans="1:19">
      <c r="A236" s="149"/>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5">
        <f t="shared" si="53"/>
        <v>0</v>
      </c>
    </row>
    <row r="237" spans="1:19">
      <c r="A237" s="149"/>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5">
        <f t="shared" si="53"/>
        <v>0</v>
      </c>
    </row>
    <row r="238" spans="1:19">
      <c r="A238" s="149"/>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5">
        <f t="shared" si="53"/>
        <v>0</v>
      </c>
    </row>
    <row r="239" spans="1:19">
      <c r="A239" s="149"/>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5">
        <f t="shared" si="53"/>
        <v>0</v>
      </c>
    </row>
    <row r="240" spans="1:19">
      <c r="A240" s="149"/>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5">
        <f t="shared" si="53"/>
        <v>0</v>
      </c>
    </row>
    <row r="241" spans="1:19">
      <c r="A241" s="149"/>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5">
        <f t="shared" si="53"/>
        <v>0</v>
      </c>
    </row>
    <row r="242" spans="1:19">
      <c r="A242" s="149"/>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5">
        <f t="shared" si="53"/>
        <v>0</v>
      </c>
    </row>
    <row r="243" spans="1:19">
      <c r="A243" s="149"/>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5">
        <f t="shared" si="53"/>
        <v>0</v>
      </c>
    </row>
    <row r="244" spans="1:19">
      <c r="A244" s="149"/>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5">
        <f t="shared" si="53"/>
        <v>0</v>
      </c>
    </row>
    <row r="245" spans="1:19">
      <c r="A245" s="149"/>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5">
        <f t="shared" si="53"/>
        <v>0</v>
      </c>
    </row>
    <row r="246" spans="1:19">
      <c r="A246" s="149"/>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5">
        <f t="shared" si="53"/>
        <v>0</v>
      </c>
    </row>
    <row r="247" spans="1:19">
      <c r="A247" s="149"/>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5">
        <f t="shared" si="53"/>
        <v>0</v>
      </c>
    </row>
    <row r="248" spans="1:19">
      <c r="A248" s="149"/>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5">
        <f t="shared" si="53"/>
        <v>0</v>
      </c>
    </row>
    <row r="249" spans="1:19">
      <c r="A249" s="149"/>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5">
        <f t="shared" si="53"/>
        <v>0</v>
      </c>
    </row>
    <row r="250" spans="1:19">
      <c r="A250" s="149"/>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5">
        <f t="shared" si="53"/>
        <v>0</v>
      </c>
    </row>
    <row r="251" spans="1:19">
      <c r="A251" s="149"/>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5">
        <f t="shared" si="53"/>
        <v>0</v>
      </c>
    </row>
    <row r="252" spans="1:19">
      <c r="A252" s="149"/>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5">
        <f t="shared" si="53"/>
        <v>0</v>
      </c>
    </row>
    <row r="253" spans="1:19">
      <c r="A253" s="149"/>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5">
        <f t="shared" si="53"/>
        <v>0</v>
      </c>
    </row>
    <row r="254" spans="1:19">
      <c r="A254" s="149"/>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5">
        <f t="shared" si="53"/>
        <v>0</v>
      </c>
    </row>
    <row r="255" spans="1:19">
      <c r="A255" s="149"/>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5">
        <f t="shared" si="53"/>
        <v>0</v>
      </c>
    </row>
    <row r="256" spans="1:19">
      <c r="A256" s="149"/>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5">
        <f t="shared" si="53"/>
        <v>0</v>
      </c>
    </row>
    <row r="257" spans="1:19">
      <c r="A257" s="149"/>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5">
        <f t="shared" si="53"/>
        <v>0</v>
      </c>
    </row>
    <row r="258" spans="1:19">
      <c r="A258" s="149"/>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5">
        <f t="shared" si="53"/>
        <v>0</v>
      </c>
    </row>
    <row r="259" spans="1:19">
      <c r="A259" s="149"/>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5">
        <f t="shared" si="53"/>
        <v>0</v>
      </c>
    </row>
    <row r="260" spans="1:19">
      <c r="A260" s="149"/>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5">
        <f t="shared" si="53"/>
        <v>0</v>
      </c>
    </row>
    <row r="261" spans="1:19">
      <c r="A261" s="149"/>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5">
        <f t="shared" si="53"/>
        <v>0</v>
      </c>
    </row>
    <row r="262" spans="1:19">
      <c r="A262" s="149"/>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5">
        <f t="shared" si="53"/>
        <v>0</v>
      </c>
    </row>
    <row r="263" spans="1:19">
      <c r="A263" s="149"/>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5">
        <f t="shared" si="53"/>
        <v>0</v>
      </c>
    </row>
    <row r="264" spans="1:19">
      <c r="A264" s="149"/>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5">
        <f t="shared" si="53"/>
        <v>0</v>
      </c>
    </row>
    <row r="265" spans="1:19">
      <c r="A265" s="149"/>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5">
        <f t="shared" si="53"/>
        <v>0</v>
      </c>
    </row>
    <row r="266" spans="1:19">
      <c r="A266" s="149"/>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5">
        <f t="shared" si="53"/>
        <v>0</v>
      </c>
    </row>
    <row r="267" spans="1:19">
      <c r="A267" s="149"/>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5">
        <f t="shared" si="53"/>
        <v>0</v>
      </c>
    </row>
    <row r="268" spans="1:19">
      <c r="A268" s="149"/>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5">
        <f t="shared" si="53"/>
        <v>0</v>
      </c>
    </row>
    <row r="269" spans="1:19">
      <c r="A269" s="149"/>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5">
        <f t="shared" si="53"/>
        <v>0</v>
      </c>
    </row>
    <row r="270" spans="1:19">
      <c r="A270" s="149"/>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5">
        <f t="shared" si="53"/>
        <v>0</v>
      </c>
    </row>
    <row r="271" spans="1:19">
      <c r="A271" s="149"/>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5">
        <f t="shared" si="53"/>
        <v>0</v>
      </c>
    </row>
    <row r="272" spans="1:19">
      <c r="A272" s="149"/>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5">
        <f t="shared" si="53"/>
        <v>0</v>
      </c>
    </row>
    <row r="273" spans="1:19">
      <c r="A273" s="149"/>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5">
        <f t="shared" si="53"/>
        <v>0</v>
      </c>
    </row>
    <row r="274" spans="1:19">
      <c r="A274" s="149"/>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5">
        <f t="shared" si="53"/>
        <v>0</v>
      </c>
    </row>
    <row r="275" spans="1:19">
      <c r="A275" s="149"/>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5">
        <f t="shared" si="53"/>
        <v>0</v>
      </c>
    </row>
    <row r="276" spans="1:19">
      <c r="A276" s="149"/>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5">
        <f t="shared" si="53"/>
        <v>0</v>
      </c>
    </row>
    <row r="277" spans="1:19">
      <c r="A277" s="149"/>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5">
        <f t="shared" si="53"/>
        <v>0</v>
      </c>
    </row>
    <row r="278" spans="1:19">
      <c r="A278" s="149"/>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5">
        <f t="shared" si="53"/>
        <v>0</v>
      </c>
    </row>
    <row r="279" spans="1:19">
      <c r="A279" s="149"/>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5">
        <f t="shared" si="53"/>
        <v>0</v>
      </c>
    </row>
    <row r="280" spans="1:19">
      <c r="A280" s="149"/>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5">
        <f t="shared" si="53"/>
        <v>0</v>
      </c>
    </row>
    <row r="281" spans="1:19">
      <c r="A281" s="149"/>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5">
        <f t="shared" si="53"/>
        <v>0</v>
      </c>
    </row>
    <row r="282" spans="1:19">
      <c r="A282" s="149"/>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5">
        <f t="shared" si="53"/>
        <v>0</v>
      </c>
    </row>
    <row r="283" spans="1:19">
      <c r="A283" s="149"/>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5">
        <f t="shared" si="53"/>
        <v>0</v>
      </c>
    </row>
    <row r="284" spans="1:19">
      <c r="A284" s="149"/>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5">
        <f t="shared" si="53"/>
        <v>0</v>
      </c>
    </row>
    <row r="285" spans="1:19">
      <c r="A285" s="149"/>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5">
        <f t="shared" si="53"/>
        <v>0</v>
      </c>
    </row>
    <row r="286" spans="1:19">
      <c r="A286" s="149"/>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5">
        <f t="shared" si="53"/>
        <v>0</v>
      </c>
    </row>
    <row r="287" spans="1:19">
      <c r="A287" s="149"/>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5">
        <f t="shared" ref="S287:S320" si="63">ROUND(R287*B287/10000,0)</f>
        <v>0</v>
      </c>
    </row>
    <row r="288" spans="1:19">
      <c r="A288" s="149"/>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5">
        <f t="shared" si="63"/>
        <v>0</v>
      </c>
    </row>
    <row r="289" spans="1:19">
      <c r="A289" s="149"/>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5">
        <f t="shared" si="63"/>
        <v>0</v>
      </c>
    </row>
    <row r="290" spans="1:19">
      <c r="A290" s="149"/>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5">
        <f t="shared" si="63"/>
        <v>0</v>
      </c>
    </row>
    <row r="291" spans="1:19">
      <c r="A291" s="149"/>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5">
        <f t="shared" si="63"/>
        <v>0</v>
      </c>
    </row>
    <row r="292" spans="1:19">
      <c r="A292" s="149"/>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5">
        <f t="shared" si="63"/>
        <v>0</v>
      </c>
    </row>
    <row r="293" spans="1:19">
      <c r="A293" s="149"/>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5">
        <f t="shared" si="63"/>
        <v>0</v>
      </c>
    </row>
    <row r="294" spans="1:19">
      <c r="A294" s="149"/>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5">
        <f t="shared" si="63"/>
        <v>0</v>
      </c>
    </row>
    <row r="295" spans="1:19">
      <c r="A295" s="149"/>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5">
        <f t="shared" si="63"/>
        <v>0</v>
      </c>
    </row>
    <row r="296" spans="1:19">
      <c r="A296" s="149"/>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5">
        <f t="shared" si="63"/>
        <v>0</v>
      </c>
    </row>
    <row r="297" spans="1:19">
      <c r="A297" s="149"/>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5">
        <f t="shared" si="63"/>
        <v>0</v>
      </c>
    </row>
    <row r="298" spans="1:19">
      <c r="A298" s="149"/>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5">
        <f t="shared" si="63"/>
        <v>0</v>
      </c>
    </row>
    <row r="299" spans="1:19">
      <c r="A299" s="149"/>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5">
        <f t="shared" si="63"/>
        <v>0</v>
      </c>
    </row>
    <row r="300" spans="1:19">
      <c r="A300" s="149"/>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5">
        <f t="shared" si="63"/>
        <v>0</v>
      </c>
    </row>
    <row r="301" spans="1:19">
      <c r="A301" s="149"/>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5">
        <f t="shared" si="63"/>
        <v>0</v>
      </c>
    </row>
    <row r="302" spans="1:19">
      <c r="A302" s="149"/>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5">
        <f t="shared" si="63"/>
        <v>0</v>
      </c>
    </row>
    <row r="303" spans="1:19">
      <c r="A303" s="149"/>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5">
        <f t="shared" si="63"/>
        <v>0</v>
      </c>
    </row>
    <row r="304" spans="1:19">
      <c r="A304" s="149"/>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5">
        <f t="shared" si="63"/>
        <v>0</v>
      </c>
    </row>
    <row r="305" spans="1:19">
      <c r="A305" s="149"/>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5">
        <f t="shared" si="63"/>
        <v>0</v>
      </c>
    </row>
    <row r="306" spans="1:19">
      <c r="A306" s="149"/>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5">
        <f t="shared" si="63"/>
        <v>0</v>
      </c>
    </row>
    <row r="307" spans="1:19">
      <c r="A307" s="149"/>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5">
        <f t="shared" si="63"/>
        <v>0</v>
      </c>
    </row>
    <row r="308" spans="1:19">
      <c r="A308" s="149"/>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5">
        <f t="shared" si="63"/>
        <v>0</v>
      </c>
    </row>
    <row r="309" spans="1:19">
      <c r="A309" s="149"/>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5">
        <f t="shared" si="63"/>
        <v>0</v>
      </c>
    </row>
    <row r="310" spans="1:19">
      <c r="A310" s="149"/>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5">
        <f t="shared" si="63"/>
        <v>0</v>
      </c>
    </row>
    <row r="311" spans="1:19">
      <c r="A311" s="149"/>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5">
        <f t="shared" si="63"/>
        <v>0</v>
      </c>
    </row>
    <row r="312" spans="1:19">
      <c r="A312" s="149"/>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5">
        <f t="shared" si="63"/>
        <v>0</v>
      </c>
    </row>
    <row r="313" spans="1:19">
      <c r="A313" s="149"/>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5">
        <f t="shared" si="63"/>
        <v>0</v>
      </c>
    </row>
    <row r="314" spans="1:19">
      <c r="A314" s="149"/>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5">
        <f t="shared" si="63"/>
        <v>0</v>
      </c>
    </row>
    <row r="315" spans="1:19">
      <c r="A315" s="149"/>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5">
        <f t="shared" si="63"/>
        <v>0</v>
      </c>
    </row>
    <row r="316" spans="1:19">
      <c r="A316" s="149"/>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5">
        <f t="shared" si="63"/>
        <v>0</v>
      </c>
    </row>
    <row r="317" spans="1:19">
      <c r="A317" s="149"/>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5">
        <f t="shared" si="63"/>
        <v>0</v>
      </c>
    </row>
    <row r="318" spans="1:19">
      <c r="A318" s="149"/>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5">
        <f t="shared" si="63"/>
        <v>0</v>
      </c>
    </row>
    <row r="319" spans="1:19">
      <c r="A319" s="149"/>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5">
        <f t="shared" si="63"/>
        <v>0</v>
      </c>
    </row>
    <row r="320" spans="1:19">
      <c r="A320" s="149"/>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5">
        <f t="shared" si="63"/>
        <v>0</v>
      </c>
    </row>
    <row r="321" spans="1:19">
      <c r="A321" s="149"/>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5">
        <f t="shared" ref="S321:S384" si="64">ROUND(R321*B321/10000,0)</f>
        <v>0</v>
      </c>
    </row>
    <row r="322" spans="1:19">
      <c r="A322" s="149"/>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5">
        <f t="shared" si="64"/>
        <v>0</v>
      </c>
    </row>
    <row r="323" spans="1:19">
      <c r="A323" s="149"/>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5">
        <f t="shared" si="64"/>
        <v>0</v>
      </c>
    </row>
    <row r="324" spans="1:19">
      <c r="A324" s="149"/>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5">
        <f t="shared" si="64"/>
        <v>0</v>
      </c>
    </row>
    <row r="325" spans="1:19">
      <c r="A325" s="149"/>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5">
        <f t="shared" si="64"/>
        <v>0</v>
      </c>
    </row>
    <row r="326" spans="1:19">
      <c r="A326" s="149"/>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5">
        <f t="shared" si="64"/>
        <v>0</v>
      </c>
    </row>
    <row r="327" spans="1:19">
      <c r="A327" s="149"/>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5">
        <f t="shared" si="64"/>
        <v>0</v>
      </c>
    </row>
    <row r="328" spans="1:19">
      <c r="A328" s="149"/>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5">
        <f t="shared" si="64"/>
        <v>0</v>
      </c>
    </row>
    <row r="329" spans="1:19">
      <c r="A329" s="149"/>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5">
        <f t="shared" si="64"/>
        <v>0</v>
      </c>
    </row>
    <row r="330" spans="1:19">
      <c r="A330" s="149"/>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5">
        <f t="shared" si="64"/>
        <v>0</v>
      </c>
    </row>
    <row r="331" spans="1:19">
      <c r="A331" s="149"/>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5">
        <f t="shared" si="64"/>
        <v>0</v>
      </c>
    </row>
    <row r="332" spans="1:19">
      <c r="A332" s="149"/>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5">
        <f t="shared" si="64"/>
        <v>0</v>
      </c>
    </row>
    <row r="333" spans="1:19">
      <c r="A333" s="149"/>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5">
        <f t="shared" si="64"/>
        <v>0</v>
      </c>
    </row>
    <row r="334" spans="1:19">
      <c r="A334" s="149"/>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5">
        <f t="shared" si="64"/>
        <v>0</v>
      </c>
    </row>
    <row r="335" spans="1:19">
      <c r="A335" s="149"/>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5">
        <f t="shared" si="64"/>
        <v>0</v>
      </c>
    </row>
    <row r="336" spans="1:19">
      <c r="A336" s="149"/>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5">
        <f t="shared" si="64"/>
        <v>0</v>
      </c>
    </row>
    <row r="337" spans="1:19">
      <c r="A337" s="149"/>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5">
        <f t="shared" si="64"/>
        <v>0</v>
      </c>
    </row>
    <row r="338" spans="1:19">
      <c r="A338" s="149"/>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5">
        <f t="shared" si="64"/>
        <v>0</v>
      </c>
    </row>
    <row r="339" spans="1:19">
      <c r="A339" s="149"/>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5">
        <f t="shared" si="64"/>
        <v>0</v>
      </c>
    </row>
    <row r="340" spans="1:19">
      <c r="A340" s="149"/>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5">
        <f t="shared" si="64"/>
        <v>0</v>
      </c>
    </row>
    <row r="341" spans="1:19">
      <c r="A341" s="149"/>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5">
        <f t="shared" si="64"/>
        <v>0</v>
      </c>
    </row>
    <row r="342" spans="1:19">
      <c r="A342" s="149"/>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5">
        <f t="shared" si="64"/>
        <v>0</v>
      </c>
    </row>
    <row r="343" spans="1:19">
      <c r="A343" s="149"/>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5">
        <f t="shared" si="64"/>
        <v>0</v>
      </c>
    </row>
    <row r="344" spans="1:19">
      <c r="A344" s="149"/>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5">
        <f t="shared" si="64"/>
        <v>0</v>
      </c>
    </row>
    <row r="345" spans="1:19">
      <c r="A345" s="149"/>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5">
        <f t="shared" si="64"/>
        <v>0</v>
      </c>
    </row>
    <row r="346" spans="1:19">
      <c r="A346" s="149"/>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5">
        <f t="shared" si="64"/>
        <v>0</v>
      </c>
    </row>
    <row r="347" spans="1:19">
      <c r="A347" s="149"/>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5">
        <f t="shared" si="64"/>
        <v>0</v>
      </c>
    </row>
    <row r="348" spans="1:19">
      <c r="A348" s="149"/>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5">
        <f t="shared" si="64"/>
        <v>0</v>
      </c>
    </row>
    <row r="349" spans="1:19">
      <c r="A349" s="149"/>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5">
        <f t="shared" si="64"/>
        <v>0</v>
      </c>
    </row>
    <row r="350" spans="1:19">
      <c r="A350" s="149"/>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5">
        <f t="shared" si="64"/>
        <v>0</v>
      </c>
    </row>
    <row r="351" spans="1:19">
      <c r="A351" s="149"/>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5">
        <f t="shared" si="64"/>
        <v>0</v>
      </c>
    </row>
    <row r="352" spans="1:19">
      <c r="A352" s="149"/>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5">
        <f t="shared" si="64"/>
        <v>0</v>
      </c>
    </row>
    <row r="353" spans="1:19">
      <c r="A353" s="149"/>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5">
        <f t="shared" si="64"/>
        <v>0</v>
      </c>
    </row>
    <row r="354" spans="1:19">
      <c r="A354" s="149"/>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5">
        <f t="shared" si="64"/>
        <v>0</v>
      </c>
    </row>
    <row r="355" spans="1:19">
      <c r="A355" s="149"/>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5">
        <f t="shared" si="64"/>
        <v>0</v>
      </c>
    </row>
    <row r="356" spans="1:19">
      <c r="A356" s="149"/>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5">
        <f t="shared" si="64"/>
        <v>0</v>
      </c>
    </row>
    <row r="357" spans="1:19">
      <c r="A357" s="149"/>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5">
        <f t="shared" si="64"/>
        <v>0</v>
      </c>
    </row>
    <row r="358" spans="1:19">
      <c r="A358" s="149"/>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5">
        <f t="shared" si="64"/>
        <v>0</v>
      </c>
    </row>
    <row r="359" spans="1:19">
      <c r="A359" s="149"/>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5">
        <f t="shared" si="64"/>
        <v>0</v>
      </c>
    </row>
    <row r="360" spans="1:19">
      <c r="A360" s="149"/>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5">
        <f t="shared" si="64"/>
        <v>0</v>
      </c>
    </row>
    <row r="361" spans="1:19">
      <c r="A361" s="149"/>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5">
        <f t="shared" si="64"/>
        <v>0</v>
      </c>
    </row>
    <row r="362" spans="1:19">
      <c r="A362" s="149"/>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5">
        <f t="shared" si="64"/>
        <v>0</v>
      </c>
    </row>
    <row r="363" spans="1:19">
      <c r="A363" s="149"/>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5">
        <f t="shared" si="64"/>
        <v>0</v>
      </c>
    </row>
    <row r="364" spans="1:19">
      <c r="A364" s="149"/>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5">
        <f t="shared" si="64"/>
        <v>0</v>
      </c>
    </row>
    <row r="365" spans="1:19">
      <c r="A365" s="149"/>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5">
        <f t="shared" si="64"/>
        <v>0</v>
      </c>
    </row>
    <row r="366" spans="1:19">
      <c r="A366" s="149"/>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5">
        <f t="shared" si="64"/>
        <v>0</v>
      </c>
    </row>
    <row r="367" spans="1:19">
      <c r="A367" s="149"/>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5">
        <f t="shared" si="64"/>
        <v>0</v>
      </c>
    </row>
    <row r="368" spans="1:19">
      <c r="A368" s="149"/>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5">
        <f t="shared" si="64"/>
        <v>0</v>
      </c>
    </row>
    <row r="369" spans="1:19">
      <c r="A369" s="149"/>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5">
        <f t="shared" si="64"/>
        <v>0</v>
      </c>
    </row>
    <row r="370" spans="1:19">
      <c r="A370" s="149"/>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5">
        <f t="shared" si="64"/>
        <v>0</v>
      </c>
    </row>
    <row r="371" spans="1:19">
      <c r="A371" s="149"/>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5">
        <f t="shared" si="64"/>
        <v>0</v>
      </c>
    </row>
    <row r="372" spans="1:19">
      <c r="A372" s="149"/>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5">
        <f t="shared" si="64"/>
        <v>0</v>
      </c>
    </row>
    <row r="373" spans="1:19">
      <c r="A373" s="149"/>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5">
        <f t="shared" si="64"/>
        <v>0</v>
      </c>
    </row>
    <row r="374" spans="1:19">
      <c r="A374" s="149"/>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5">
        <f t="shared" si="64"/>
        <v>0</v>
      </c>
    </row>
    <row r="375" spans="1:19">
      <c r="A375" s="149"/>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5">
        <f t="shared" si="64"/>
        <v>0</v>
      </c>
    </row>
    <row r="376" spans="1:19">
      <c r="A376" s="149"/>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5">
        <f t="shared" si="64"/>
        <v>0</v>
      </c>
    </row>
    <row r="377" spans="1:19">
      <c r="A377" s="149"/>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5">
        <f t="shared" si="64"/>
        <v>0</v>
      </c>
    </row>
    <row r="378" spans="1:19">
      <c r="A378" s="149"/>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5">
        <f t="shared" si="64"/>
        <v>0</v>
      </c>
    </row>
    <row r="379" spans="1:19">
      <c r="A379" s="149"/>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5">
        <f t="shared" si="64"/>
        <v>0</v>
      </c>
    </row>
    <row r="380" spans="1:19">
      <c r="A380" s="149"/>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5">
        <f t="shared" si="64"/>
        <v>0</v>
      </c>
    </row>
    <row r="381" spans="1:19">
      <c r="A381" s="149"/>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5">
        <f t="shared" si="64"/>
        <v>0</v>
      </c>
    </row>
    <row r="382" spans="1:19">
      <c r="A382" s="149"/>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5">
        <f t="shared" si="64"/>
        <v>0</v>
      </c>
    </row>
    <row r="383" spans="1:19">
      <c r="A383" s="149"/>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5">
        <f t="shared" si="64"/>
        <v>0</v>
      </c>
    </row>
    <row r="384" spans="1:19">
      <c r="A384" s="149"/>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5">
        <f t="shared" si="64"/>
        <v>0</v>
      </c>
    </row>
    <row r="385" spans="1:19">
      <c r="A385" s="149"/>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5">
        <f t="shared" ref="S385:S422" si="74">ROUND(R385*B385/10000,0)</f>
        <v>0</v>
      </c>
    </row>
    <row r="386" spans="1:19">
      <c r="A386" s="149"/>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5">
        <f t="shared" si="74"/>
        <v>0</v>
      </c>
    </row>
    <row r="387" spans="1:19">
      <c r="A387" s="149"/>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5">
        <f t="shared" si="74"/>
        <v>0</v>
      </c>
    </row>
    <row r="388" spans="1:19">
      <c r="A388" s="149"/>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5">
        <f t="shared" si="74"/>
        <v>0</v>
      </c>
    </row>
    <row r="389" spans="1:19">
      <c r="A389" s="149"/>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5">
        <f t="shared" si="74"/>
        <v>0</v>
      </c>
    </row>
    <row r="390" spans="1:19">
      <c r="A390" s="149"/>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5">
        <f t="shared" si="74"/>
        <v>0</v>
      </c>
    </row>
    <row r="391" spans="1:19">
      <c r="A391" s="149"/>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5">
        <f t="shared" si="74"/>
        <v>0</v>
      </c>
    </row>
    <row r="392" spans="1:19">
      <c r="A392" s="149"/>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5">
        <f t="shared" si="74"/>
        <v>0</v>
      </c>
    </row>
    <row r="393" spans="1:19">
      <c r="A393" s="149"/>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5">
        <f t="shared" si="74"/>
        <v>0</v>
      </c>
    </row>
    <row r="394" spans="1:19">
      <c r="A394" s="149"/>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5">
        <f t="shared" si="74"/>
        <v>0</v>
      </c>
    </row>
    <row r="395" spans="1:19">
      <c r="A395" s="149"/>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5">
        <f t="shared" si="74"/>
        <v>0</v>
      </c>
    </row>
    <row r="396" spans="1:19">
      <c r="A396" s="149"/>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5">
        <f t="shared" si="74"/>
        <v>0</v>
      </c>
    </row>
    <row r="397" spans="1:19">
      <c r="A397" s="149"/>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5">
        <f t="shared" si="74"/>
        <v>0</v>
      </c>
    </row>
    <row r="398" spans="1:19">
      <c r="A398" s="149"/>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5">
        <f t="shared" si="74"/>
        <v>0</v>
      </c>
    </row>
    <row r="399" spans="1:19">
      <c r="A399" s="149"/>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5">
        <f t="shared" si="74"/>
        <v>0</v>
      </c>
    </row>
    <row r="400" spans="1:19">
      <c r="A400" s="149"/>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5">
        <f t="shared" si="74"/>
        <v>0</v>
      </c>
    </row>
    <row r="401" spans="1:19">
      <c r="A401" s="149"/>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5">
        <f t="shared" si="74"/>
        <v>0</v>
      </c>
    </row>
    <row r="402" spans="1:19">
      <c r="A402" s="149"/>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5">
        <f t="shared" si="74"/>
        <v>0</v>
      </c>
    </row>
    <row r="403" spans="1:19">
      <c r="A403" s="149"/>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5">
        <f t="shared" si="74"/>
        <v>0</v>
      </c>
    </row>
    <row r="404" spans="1:19">
      <c r="A404" s="149"/>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5">
        <f t="shared" si="74"/>
        <v>0</v>
      </c>
    </row>
    <row r="405" spans="1:19">
      <c r="A405" s="149"/>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5">
        <f t="shared" si="74"/>
        <v>0</v>
      </c>
    </row>
    <row r="406" spans="1:19">
      <c r="A406" s="149"/>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5">
        <f t="shared" si="74"/>
        <v>0</v>
      </c>
    </row>
    <row r="407" spans="1:19">
      <c r="A407" s="149"/>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5">
        <f t="shared" si="74"/>
        <v>0</v>
      </c>
    </row>
    <row r="408" spans="1:19">
      <c r="A408" s="149"/>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5">
        <f t="shared" si="74"/>
        <v>0</v>
      </c>
    </row>
    <row r="409" spans="1:19">
      <c r="A409" s="149"/>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5">
        <f t="shared" si="74"/>
        <v>0</v>
      </c>
    </row>
    <row r="410" spans="1:19">
      <c r="A410" s="149"/>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5">
        <f t="shared" si="74"/>
        <v>0</v>
      </c>
    </row>
    <row r="411" spans="1:19">
      <c r="A411" s="149"/>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5">
        <f t="shared" si="74"/>
        <v>0</v>
      </c>
    </row>
    <row r="412" spans="1:19">
      <c r="A412" s="149"/>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5">
        <f t="shared" si="74"/>
        <v>0</v>
      </c>
    </row>
    <row r="413" spans="1:19">
      <c r="A413" s="149"/>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5">
        <f t="shared" si="74"/>
        <v>0</v>
      </c>
    </row>
    <row r="414" spans="1:19">
      <c r="A414" s="149"/>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5">
        <f t="shared" si="74"/>
        <v>0</v>
      </c>
    </row>
    <row r="415" spans="1:19">
      <c r="A415" s="149"/>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5">
        <f t="shared" si="74"/>
        <v>0</v>
      </c>
    </row>
    <row r="416" spans="1:19">
      <c r="A416" s="149"/>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5">
        <f t="shared" si="74"/>
        <v>0</v>
      </c>
    </row>
    <row r="417" spans="1:19">
      <c r="A417" s="149"/>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5">
        <f t="shared" si="74"/>
        <v>0</v>
      </c>
    </row>
    <row r="418" spans="1:19">
      <c r="A418" s="149"/>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5">
        <f t="shared" si="74"/>
        <v>0</v>
      </c>
    </row>
    <row r="419" spans="1:19">
      <c r="A419" s="149"/>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5">
        <f t="shared" si="74"/>
        <v>0</v>
      </c>
    </row>
    <row r="420" spans="1:19">
      <c r="A420" s="149"/>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5">
        <f t="shared" si="74"/>
        <v>0</v>
      </c>
    </row>
    <row r="421" spans="1:19">
      <c r="A421" s="149"/>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5">
        <f t="shared" si="74"/>
        <v>0</v>
      </c>
    </row>
    <row r="422" spans="1:19">
      <c r="A422" s="149"/>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5">
        <f t="shared" si="74"/>
        <v>0</v>
      </c>
    </row>
    <row r="423" spans="1:19">
      <c r="A423" s="149"/>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5">
        <f t="shared" ref="S423:S467" si="84">ROUND(R423*B423/10000,0)</f>
        <v>0</v>
      </c>
    </row>
    <row r="424" spans="1:19">
      <c r="A424" s="149"/>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5">
        <f t="shared" si="84"/>
        <v>0</v>
      </c>
    </row>
    <row r="425" spans="1:19">
      <c r="A425" s="149"/>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5">
        <f t="shared" si="84"/>
        <v>0</v>
      </c>
    </row>
    <row r="426" spans="1:19">
      <c r="A426" s="149"/>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5">
        <f t="shared" si="84"/>
        <v>0</v>
      </c>
    </row>
    <row r="427" spans="1:19">
      <c r="A427" s="149"/>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5">
        <f t="shared" si="84"/>
        <v>0</v>
      </c>
    </row>
    <row r="428" spans="1:19">
      <c r="A428" s="149"/>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5">
        <f t="shared" si="84"/>
        <v>0</v>
      </c>
    </row>
    <row r="429" spans="1:19">
      <c r="A429" s="149"/>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5">
        <f t="shared" si="84"/>
        <v>0</v>
      </c>
    </row>
    <row r="430" spans="1:19">
      <c r="A430" s="149"/>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5">
        <f t="shared" si="84"/>
        <v>0</v>
      </c>
    </row>
    <row r="431" spans="1:19">
      <c r="A431" s="149"/>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5">
        <f t="shared" si="84"/>
        <v>0</v>
      </c>
    </row>
    <row r="432" spans="1:19">
      <c r="A432" s="149"/>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5">
        <f t="shared" si="84"/>
        <v>0</v>
      </c>
    </row>
    <row r="433" spans="1:19">
      <c r="A433" s="149"/>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5">
        <f t="shared" si="84"/>
        <v>0</v>
      </c>
    </row>
    <row r="434" spans="1:19">
      <c r="A434" s="149"/>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5">
        <f t="shared" si="84"/>
        <v>0</v>
      </c>
    </row>
    <row r="435" spans="1:19">
      <c r="A435" s="149"/>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5">
        <f t="shared" si="84"/>
        <v>0</v>
      </c>
    </row>
    <row r="436" spans="1:19">
      <c r="A436" s="149"/>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5">
        <f t="shared" si="84"/>
        <v>0</v>
      </c>
    </row>
    <row r="437" spans="1:19">
      <c r="A437" s="149"/>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5">
        <f t="shared" si="84"/>
        <v>0</v>
      </c>
    </row>
    <row r="438" spans="1:19">
      <c r="A438" s="149"/>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5">
        <f t="shared" si="84"/>
        <v>0</v>
      </c>
    </row>
    <row r="439" spans="1:19">
      <c r="A439" s="149"/>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5">
        <f t="shared" si="84"/>
        <v>0</v>
      </c>
    </row>
    <row r="440" spans="1:19">
      <c r="A440" s="149"/>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5">
        <f t="shared" si="84"/>
        <v>0</v>
      </c>
    </row>
    <row r="441" spans="1:19">
      <c r="A441" s="149"/>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5">
        <f t="shared" si="84"/>
        <v>0</v>
      </c>
    </row>
    <row r="442" spans="1:19">
      <c r="A442" s="149"/>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5">
        <f t="shared" si="84"/>
        <v>0</v>
      </c>
    </row>
    <row r="443" spans="1:19">
      <c r="A443" s="149"/>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5">
        <f t="shared" si="84"/>
        <v>0</v>
      </c>
    </row>
    <row r="444" spans="1:19">
      <c r="A444" s="149"/>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5">
        <f t="shared" si="84"/>
        <v>0</v>
      </c>
    </row>
    <row r="445" spans="1:19">
      <c r="A445" s="149"/>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5">
        <f t="shared" si="84"/>
        <v>0</v>
      </c>
    </row>
    <row r="446" spans="1:19">
      <c r="A446" s="149"/>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5">
        <f t="shared" si="84"/>
        <v>0</v>
      </c>
    </row>
    <row r="447" spans="1:19">
      <c r="A447" s="149"/>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5">
        <f t="shared" si="84"/>
        <v>0</v>
      </c>
    </row>
    <row r="448" spans="1:19">
      <c r="A448" s="149"/>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5">
        <f t="shared" si="84"/>
        <v>0</v>
      </c>
    </row>
    <row r="449" spans="1:19">
      <c r="A449" s="149"/>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5">
        <f t="shared" si="84"/>
        <v>0</v>
      </c>
    </row>
    <row r="450" spans="1:19">
      <c r="A450" s="149"/>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5">
        <f t="shared" si="84"/>
        <v>0</v>
      </c>
    </row>
    <row r="451" spans="1:19">
      <c r="A451" s="149"/>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5">
        <f t="shared" si="84"/>
        <v>0</v>
      </c>
    </row>
    <row r="452" spans="1:19">
      <c r="A452" s="149"/>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5">
        <f t="shared" si="84"/>
        <v>0</v>
      </c>
    </row>
    <row r="453" spans="1:19">
      <c r="A453" s="149"/>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5">
        <f t="shared" si="84"/>
        <v>0</v>
      </c>
    </row>
    <row r="454" spans="1:19">
      <c r="A454" s="149"/>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5">
        <f t="shared" si="84"/>
        <v>0</v>
      </c>
    </row>
    <row r="455" spans="1:19">
      <c r="A455" s="149"/>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5">
        <f t="shared" si="84"/>
        <v>0</v>
      </c>
    </row>
    <row r="456" spans="1:19">
      <c r="A456" s="149"/>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5">
        <f t="shared" si="84"/>
        <v>0</v>
      </c>
    </row>
    <row r="457" spans="1:19">
      <c r="A457" s="149"/>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5">
        <f t="shared" si="84"/>
        <v>0</v>
      </c>
    </row>
    <row r="458" spans="1:19">
      <c r="A458" s="149"/>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5">
        <f t="shared" si="84"/>
        <v>0</v>
      </c>
    </row>
    <row r="459" spans="1:19">
      <c r="A459" s="149"/>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5">
        <f t="shared" si="84"/>
        <v>0</v>
      </c>
    </row>
    <row r="460" spans="1:19">
      <c r="A460" s="149"/>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5">
        <f t="shared" si="84"/>
        <v>0</v>
      </c>
    </row>
    <row r="461" spans="1:19">
      <c r="A461" s="149"/>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5">
        <f t="shared" si="84"/>
        <v>0</v>
      </c>
    </row>
    <row r="462" spans="1:19">
      <c r="A462" s="149"/>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5">
        <f t="shared" si="84"/>
        <v>0</v>
      </c>
    </row>
    <row r="463" spans="1:19">
      <c r="A463" s="149"/>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5">
        <f t="shared" si="84"/>
        <v>0</v>
      </c>
    </row>
    <row r="464" spans="1:19">
      <c r="A464" s="149"/>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5">
        <f t="shared" si="84"/>
        <v>0</v>
      </c>
    </row>
    <row r="465" spans="1:19">
      <c r="A465" s="149"/>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5">
        <f t="shared" si="84"/>
        <v>0</v>
      </c>
    </row>
    <row r="466" spans="1:19">
      <c r="A466" s="149"/>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5">
        <f t="shared" si="84"/>
        <v>0</v>
      </c>
    </row>
    <row r="467" spans="1:19">
      <c r="A467" s="149"/>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5">
        <f t="shared" si="84"/>
        <v>0</v>
      </c>
    </row>
    <row r="468" spans="1:19">
      <c r="A468" s="149"/>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5">
        <f t="shared" ref="S468:S497" si="85">ROUND(R468*B468/10000,0)</f>
        <v>0</v>
      </c>
    </row>
    <row r="469" spans="1:19">
      <c r="A469" s="149"/>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5">
        <f t="shared" si="85"/>
        <v>0</v>
      </c>
    </row>
    <row r="470" spans="1:19">
      <c r="A470" s="149"/>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5">
        <f t="shared" si="85"/>
        <v>0</v>
      </c>
    </row>
    <row r="471" spans="1:19">
      <c r="A471" s="149"/>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5">
        <f t="shared" si="85"/>
        <v>0</v>
      </c>
    </row>
    <row r="472" spans="1:19">
      <c r="A472" s="149"/>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5">
        <f t="shared" si="85"/>
        <v>0</v>
      </c>
    </row>
    <row r="473" spans="1:19">
      <c r="A473" s="149"/>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5">
        <f t="shared" si="85"/>
        <v>0</v>
      </c>
    </row>
    <row r="474" spans="1:19">
      <c r="A474" s="149"/>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5">
        <f t="shared" si="85"/>
        <v>0</v>
      </c>
    </row>
    <row r="475" spans="1:19">
      <c r="A475" s="149"/>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5">
        <f t="shared" si="85"/>
        <v>0</v>
      </c>
    </row>
    <row r="476" spans="1:19">
      <c r="A476" s="149"/>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5">
        <f t="shared" si="85"/>
        <v>0</v>
      </c>
    </row>
    <row r="477" spans="1:19">
      <c r="A477" s="149"/>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5">
        <f t="shared" si="85"/>
        <v>0</v>
      </c>
    </row>
    <row r="478" spans="1:19">
      <c r="A478" s="149"/>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5">
        <f t="shared" si="85"/>
        <v>0</v>
      </c>
    </row>
    <row r="479" spans="1:19">
      <c r="A479" s="149"/>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5">
        <f t="shared" si="85"/>
        <v>0</v>
      </c>
    </row>
    <row r="480" spans="1:19">
      <c r="A480" s="149"/>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5">
        <f t="shared" si="85"/>
        <v>0</v>
      </c>
    </row>
    <row r="481" spans="1:19">
      <c r="A481" s="149"/>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5">
        <f t="shared" si="85"/>
        <v>0</v>
      </c>
    </row>
    <row r="482" spans="1:19">
      <c r="A482" s="149"/>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5">
        <f t="shared" si="85"/>
        <v>0</v>
      </c>
    </row>
    <row r="483" spans="1:19">
      <c r="A483" s="149"/>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5">
        <f t="shared" si="85"/>
        <v>0</v>
      </c>
    </row>
    <row r="484" spans="1:19">
      <c r="A484" s="149"/>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5">
        <f t="shared" si="85"/>
        <v>0</v>
      </c>
    </row>
    <row r="485" spans="1:19">
      <c r="A485" s="149"/>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5">
        <f t="shared" si="85"/>
        <v>0</v>
      </c>
    </row>
    <row r="486" spans="1:19">
      <c r="A486" s="149"/>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5">
        <f t="shared" si="85"/>
        <v>0</v>
      </c>
    </row>
    <row r="487" spans="1:19">
      <c r="A487" s="149"/>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5">
        <f t="shared" si="85"/>
        <v>0</v>
      </c>
    </row>
    <row r="488" spans="1:19">
      <c r="A488" s="149"/>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5">
        <f t="shared" si="85"/>
        <v>0</v>
      </c>
    </row>
    <row r="489" spans="1:19">
      <c r="A489" s="149"/>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5">
        <f t="shared" si="85"/>
        <v>0</v>
      </c>
    </row>
    <row r="490" spans="1:19">
      <c r="A490" s="149"/>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5">
        <f t="shared" si="85"/>
        <v>0</v>
      </c>
    </row>
    <row r="491" spans="1:19">
      <c r="A491" s="149"/>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5">
        <f t="shared" si="85"/>
        <v>0</v>
      </c>
    </row>
    <row r="492" spans="1:19">
      <c r="A492" s="149"/>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5">
        <f t="shared" si="85"/>
        <v>0</v>
      </c>
    </row>
    <row r="493" spans="1:19">
      <c r="A493" s="149"/>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5">
        <f t="shared" si="85"/>
        <v>0</v>
      </c>
    </row>
    <row r="494" spans="1:19">
      <c r="A494" s="149"/>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5">
        <f t="shared" si="85"/>
        <v>0</v>
      </c>
    </row>
    <row r="495" spans="1:19">
      <c r="A495" s="149"/>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5">
        <f t="shared" si="85"/>
        <v>0</v>
      </c>
    </row>
    <row r="496" spans="1:19">
      <c r="A496" s="149"/>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5">
        <f t="shared" si="85"/>
        <v>0</v>
      </c>
    </row>
    <row r="497" spans="1:19">
      <c r="A497" s="149"/>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5">
        <f t="shared" si="85"/>
        <v>0</v>
      </c>
    </row>
    <row r="498" spans="1:19">
      <c r="A498" s="149"/>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5">
        <f t="shared" ref="S498:S524" si="95">ROUND(R498*B498/10000,0)</f>
        <v>0</v>
      </c>
    </row>
    <row r="499" spans="1:19">
      <c r="A499" s="149"/>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5">
        <f t="shared" si="95"/>
        <v>0</v>
      </c>
    </row>
    <row r="500" spans="1:19">
      <c r="A500" s="149"/>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5">
        <f t="shared" si="95"/>
        <v>0</v>
      </c>
    </row>
    <row r="501" spans="1:19">
      <c r="A501" s="149"/>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5">
        <f t="shared" si="95"/>
        <v>0</v>
      </c>
    </row>
    <row r="502" spans="1:19">
      <c r="A502" s="149"/>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5">
        <f t="shared" si="95"/>
        <v>0</v>
      </c>
    </row>
    <row r="503" spans="1:19">
      <c r="A503" s="149"/>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5">
        <f t="shared" si="95"/>
        <v>0</v>
      </c>
    </row>
    <row r="504" spans="1:19">
      <c r="A504" s="149"/>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5">
        <f t="shared" si="95"/>
        <v>0</v>
      </c>
    </row>
    <row r="505" spans="1:19">
      <c r="A505" s="149"/>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5">
        <f t="shared" si="95"/>
        <v>0</v>
      </c>
    </row>
    <row r="506" spans="1:19">
      <c r="A506" s="149"/>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5">
        <f t="shared" si="95"/>
        <v>0</v>
      </c>
    </row>
    <row r="507" spans="1:19">
      <c r="A507" s="149"/>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5">
        <f t="shared" si="95"/>
        <v>0</v>
      </c>
    </row>
    <row r="508" spans="1:19">
      <c r="A508" s="149"/>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5">
        <f t="shared" si="95"/>
        <v>0</v>
      </c>
    </row>
    <row r="509" spans="1:19">
      <c r="A509" s="149"/>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5">
        <f t="shared" si="95"/>
        <v>0</v>
      </c>
    </row>
    <row r="510" spans="1:19">
      <c r="A510" s="149"/>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5">
        <f t="shared" si="95"/>
        <v>0</v>
      </c>
    </row>
    <row r="511" spans="1:19">
      <c r="A511" s="149"/>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5">
        <f t="shared" si="95"/>
        <v>0</v>
      </c>
    </row>
    <row r="512" spans="1:19">
      <c r="A512" s="149"/>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5">
        <f t="shared" si="95"/>
        <v>0</v>
      </c>
    </row>
    <row r="513" spans="1:19">
      <c r="A513" s="149"/>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5">
        <f t="shared" si="95"/>
        <v>0</v>
      </c>
    </row>
    <row r="514" spans="1:19">
      <c r="A514" s="149"/>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5">
        <f t="shared" si="95"/>
        <v>0</v>
      </c>
    </row>
    <row r="515" spans="1:19">
      <c r="A515" s="149"/>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5">
        <f t="shared" si="95"/>
        <v>0</v>
      </c>
    </row>
    <row r="516" spans="1:19">
      <c r="A516" s="149"/>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5">
        <f t="shared" si="95"/>
        <v>0</v>
      </c>
    </row>
    <row r="517" spans="1:19">
      <c r="A517" s="149"/>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5">
        <f t="shared" si="95"/>
        <v>0</v>
      </c>
    </row>
    <row r="518" spans="1:19">
      <c r="A518" s="149"/>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5">
        <f t="shared" si="95"/>
        <v>0</v>
      </c>
    </row>
    <row r="519" spans="1:19">
      <c r="A519" s="149"/>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5">
        <f t="shared" si="95"/>
        <v>0</v>
      </c>
    </row>
    <row r="520" spans="1:19">
      <c r="A520" s="149"/>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5">
        <f t="shared" si="95"/>
        <v>0</v>
      </c>
    </row>
    <row r="521" spans="1:19">
      <c r="A521" s="149"/>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5">
        <f t="shared" si="95"/>
        <v>0</v>
      </c>
    </row>
    <row r="522" spans="1:19">
      <c r="A522" s="149"/>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5">
        <f t="shared" si="95"/>
        <v>0</v>
      </c>
    </row>
    <row r="523" spans="1:19">
      <c r="A523" s="149"/>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5">
        <f t="shared" si="95"/>
        <v>0</v>
      </c>
    </row>
    <row r="524" spans="1:19">
      <c r="A524" s="149"/>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5">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7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topLeftCell="A4" zoomScaleNormal="70" zoomScaleSheetLayoutView="100" workbookViewId="0">
      <selection activeCell="D27" sqref="D2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162.28649999999999</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26422</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958392</v>
      </c>
      <c r="D5" s="210" t="s">
        <v>1469</v>
      </c>
      <c r="E5" s="211" t="s">
        <v>1470</v>
      </c>
      <c r="F5" s="211" t="s">
        <v>1471</v>
      </c>
      <c r="G5" s="212"/>
    </row>
    <row r="6" spans="1:8" s="213" customFormat="1" ht="13.5" customHeight="1">
      <c r="A6" s="776" t="s">
        <v>1472</v>
      </c>
      <c r="B6" s="214" t="s">
        <v>1473</v>
      </c>
      <c r="C6" s="215">
        <f>ROUND(基准地价修正!T11*基准地价修正!U11,0)</f>
        <v>918106</v>
      </c>
      <c r="D6" s="216"/>
      <c r="E6" s="217"/>
      <c r="F6" s="217"/>
      <c r="G6" s="218"/>
    </row>
    <row r="7" spans="1:8" s="213" customFormat="1" ht="13.5" customHeight="1">
      <c r="A7" s="776" t="s">
        <v>1474</v>
      </c>
      <c r="B7" s="214" t="s">
        <v>1475</v>
      </c>
      <c r="C7" s="219">
        <f>ROUND(C6*F7,0)</f>
        <v>28002</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12284</v>
      </c>
      <c r="D8" s="221"/>
      <c r="E8" s="219"/>
      <c r="F8" s="220"/>
      <c r="G8" s="1854" t="s">
        <v>3413</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12284</v>
      </c>
      <c r="D10" s="843">
        <f ca="1">IF(B1="",'数据-汇总表'!E6,IF(INDIRECT("'数据-取费表'!c"&amp;$G$1)="住宅",INDIRECT("'数据-取费表'!s"&amp;$G$1),INDIRECT("'数据-取费表'!k"&amp;$G$1)+INDIRECT("'数据-取费表'!s"&amp;$G$1)))</f>
        <v>61.42</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61.42</v>
      </c>
      <c r="E19" s="210">
        <f>'数据-取费表'!B31</f>
        <v>200</v>
      </c>
      <c r="F19" s="230"/>
      <c r="G19" s="1854" t="s">
        <v>3415</v>
      </c>
    </row>
    <row r="20" spans="1:7" s="213" customFormat="1" ht="13.5" customHeight="1">
      <c r="A20" s="254" t="s">
        <v>1574</v>
      </c>
      <c r="B20" s="209" t="s">
        <v>1575</v>
      </c>
      <c r="C20" s="231">
        <f ca="1">ROUND((C5+C19)*F20,0)</f>
        <v>19168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67931</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67270</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661</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146634</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ROUND((C5+C19+C20)*F27,0)</f>
        <v>146634</v>
      </c>
      <c r="D28" s="234"/>
      <c r="E28" s="235"/>
      <c r="F28" s="245"/>
      <c r="G28" s="246"/>
    </row>
    <row r="29" spans="1:7" s="213" customFormat="1" ht="13.5" customHeight="1">
      <c r="A29" s="778" t="s">
        <v>347</v>
      </c>
      <c r="B29" s="247" t="s">
        <v>1517</v>
      </c>
      <c r="C29" s="237">
        <f ca="1">ROUND(C21*F27,4)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1291576</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320366</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294816</v>
      </c>
      <c r="D34" s="216"/>
      <c r="E34" s="219"/>
      <c r="F34" s="256"/>
      <c r="G34" s="218"/>
    </row>
    <row r="35" spans="1:7" ht="13.5" customHeight="1">
      <c r="A35" s="778" t="s">
        <v>351</v>
      </c>
      <c r="B35" s="214" t="s">
        <v>1527</v>
      </c>
      <c r="C35" s="219">
        <f ca="1">ROUND(C34*F35,0)</f>
        <v>8844</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12284</v>
      </c>
      <c r="D37" s="216">
        <f ca="1">D19</f>
        <v>61.42</v>
      </c>
      <c r="E37" s="248">
        <f>'数据-取费表'!B35</f>
        <v>200</v>
      </c>
      <c r="F37" s="258"/>
      <c r="G37" s="260"/>
    </row>
    <row r="38" spans="1:7" ht="13.5" customHeight="1">
      <c r="A38" s="778" t="s">
        <v>354</v>
      </c>
      <c r="B38" s="214" t="s">
        <v>1533</v>
      </c>
      <c r="C38" s="219">
        <f ca="1">ROUND(C34*F38,0)</f>
        <v>4422</v>
      </c>
      <c r="D38" s="219"/>
      <c r="E38" s="219"/>
      <c r="F38" s="258">
        <f>'数据-取费表'!B36</f>
        <v>1.4999999999999999E-2</v>
      </c>
      <c r="G38" s="218" t="s">
        <v>1528</v>
      </c>
    </row>
    <row r="39" spans="1:7" s="213" customFormat="1" ht="13.5" customHeight="1">
      <c r="A39" s="254" t="s">
        <v>1534</v>
      </c>
      <c r="B39" s="209" t="s">
        <v>1535</v>
      </c>
      <c r="C39" s="231">
        <f ca="1">ROUND(C33*F20,0)</f>
        <v>6407</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11274</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11053</v>
      </c>
      <c r="D42" s="237"/>
      <c r="E42" s="237"/>
      <c r="F42" s="238"/>
      <c r="G42" s="3702" t="s">
        <v>1591</v>
      </c>
    </row>
    <row r="43" spans="1:7" ht="13.5" customHeight="1">
      <c r="A43" s="778" t="s">
        <v>347</v>
      </c>
      <c r="B43" s="214" t="s">
        <v>1545</v>
      </c>
      <c r="C43" s="237">
        <f ca="1">ROUND(IF('数据-取费表'!B22&lt;=1,C39*F22*'数据-取费表'!B20/2,C39*(POWER((1+F22),'数据-取费表'!B20/2)-1)),0)</f>
        <v>221</v>
      </c>
      <c r="D43" s="237"/>
      <c r="E43" s="237"/>
      <c r="F43" s="238"/>
      <c r="G43" s="3703"/>
    </row>
    <row r="44" spans="1:7" ht="13.5" customHeight="1">
      <c r="A44" s="778" t="s">
        <v>348</v>
      </c>
      <c r="B44" s="214" t="s">
        <v>1546</v>
      </c>
      <c r="C44" s="237">
        <f ca="1">ROUND(IF('数据-取费表'!B22&lt;=1,C40*F22*'数据-取费表'!B20/2,C40*(POWER((1+F22),'数据-取费表'!B20/2)-1)),4)</f>
        <v>6.9999999999999999E-4</v>
      </c>
      <c r="D44" s="237"/>
      <c r="E44" s="237"/>
      <c r="F44" s="238"/>
      <c r="G44" s="3704"/>
    </row>
    <row r="45" spans="1:7" s="213" customFormat="1" ht="13.5" customHeight="1">
      <c r="A45" s="254" t="s">
        <v>1547</v>
      </c>
      <c r="B45" s="243" t="s">
        <v>1513</v>
      </c>
      <c r="C45" s="244">
        <f ca="1">C46</f>
        <v>49016</v>
      </c>
      <c r="D45" s="234">
        <f ca="1">C47</f>
        <v>3.0000000000000001E-3</v>
      </c>
      <c r="E45" s="235" t="s">
        <v>1539</v>
      </c>
      <c r="F45" s="245">
        <f ca="1">F27</f>
        <v>0.15</v>
      </c>
      <c r="G45" s="246" t="s">
        <v>1548</v>
      </c>
    </row>
    <row r="46" spans="1:7" s="213" customFormat="1" ht="13.5" customHeight="1">
      <c r="A46" s="778" t="s">
        <v>346</v>
      </c>
      <c r="B46" s="247" t="s">
        <v>1549</v>
      </c>
      <c r="C46" s="248">
        <f ca="1">ROUND((C33+C39)*F27,0)</f>
        <v>49016</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419353</v>
      </c>
      <c r="D49" s="231"/>
      <c r="E49" s="231"/>
      <c r="F49" s="263"/>
      <c r="G49" s="233" t="s">
        <v>1554</v>
      </c>
    </row>
    <row r="50" spans="1:7" s="257" customFormat="1">
      <c r="A50" s="254" t="s">
        <v>1555</v>
      </c>
      <c r="B50" s="209" t="s">
        <v>1556</v>
      </c>
      <c r="C50" s="231"/>
      <c r="D50" s="231"/>
      <c r="E50" s="231"/>
      <c r="F50" s="263">
        <f>IF('数据-取费表'!B24=0,'数据-取费表'!N16,1)</f>
        <v>0.79</v>
      </c>
      <c r="G50" s="246"/>
    </row>
    <row r="51" spans="1:7" ht="16.5" customHeight="1">
      <c r="A51" s="254" t="s">
        <v>1558</v>
      </c>
      <c r="B51" s="209" t="s">
        <v>1593</v>
      </c>
      <c r="C51" s="231">
        <f ca="1">ROUND(C49*F50,0)</f>
        <v>331289</v>
      </c>
      <c r="D51" s="231"/>
      <c r="E51" s="231"/>
      <c r="F51" s="263"/>
      <c r="G51" s="233" t="s">
        <v>1560</v>
      </c>
    </row>
    <row r="52" spans="1:7" s="207" customFormat="1" ht="16.5" thickBot="1">
      <c r="A52" s="264" t="s">
        <v>1561</v>
      </c>
      <c r="B52" s="265"/>
      <c r="C52" s="266">
        <f ca="1">C31+C51</f>
        <v>1622865</v>
      </c>
      <c r="D52" s="265"/>
      <c r="E52" s="265"/>
      <c r="F52" s="265"/>
      <c r="G52" s="267"/>
    </row>
    <row r="55" spans="1:7" ht="15">
      <c r="B55" s="269" t="s">
        <v>1562</v>
      </c>
      <c r="C55" s="270"/>
    </row>
    <row r="56" spans="1:7">
      <c r="B56" s="272" t="s">
        <v>802</v>
      </c>
      <c r="C56" s="274">
        <f ca="1">1-C57</f>
        <v>0.79600000000000004</v>
      </c>
    </row>
    <row r="57" spans="1:7">
      <c r="B57" s="272" t="s">
        <v>803</v>
      </c>
      <c r="C57" s="273">
        <f ca="1">ROUND(C51/C52,3)</f>
        <v>0.20399999999999999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H1" zoomScaleNormal="80" zoomScaleSheetLayoutView="100" workbookViewId="0">
      <selection activeCell="T34" sqref="T34"/>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61.42</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92</v>
      </c>
      <c r="C2" s="1997" t="s">
        <v>1935</v>
      </c>
      <c r="D2" s="1998" t="s">
        <v>1936</v>
      </c>
      <c r="E2" s="3415" t="s">
        <v>673</v>
      </c>
      <c r="F2" s="1998" t="s">
        <v>1937</v>
      </c>
      <c r="G2" s="1999" t="str">
        <f>IF(E2="商业",项目基本情况!B37,IF(E2="办公",项目基本情况!C37,IF(E2="住宅",项目基本情况!D37,IF(E2="工业",项目基本情况!E37,项目基本情况!F37))))</f>
        <v>三级</v>
      </c>
      <c r="H2" s="1998" t="s">
        <v>1938</v>
      </c>
      <c r="I2" s="1999" t="str">
        <f>IF(E2="商业",项目基本情况!B38,IF(E2="办公",项目基本情况!C38,IF(E2="住宅",项目基本情况!D38,IF(E2="工业",项目基本情况!E38,项目基本情况!F38))))</f>
        <v>Ⅲ—08</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27085</v>
      </c>
      <c r="U2" s="1211"/>
      <c r="V2" s="3354">
        <f>ROUND(T2*U2/10000,0)</f>
        <v>0</v>
      </c>
      <c r="W2" s="1214">
        <f>ROUND(T2*U2,0)</f>
        <v>0</v>
      </c>
      <c r="X2" s="1214"/>
      <c r="Y2" s="1214"/>
      <c r="Z2" s="1214"/>
      <c r="AA2" s="1214"/>
      <c r="AB2" s="1214"/>
      <c r="AC2" s="1215"/>
      <c r="AD2" s="1216"/>
      <c r="AE2" s="1216"/>
      <c r="AF2" s="1216"/>
      <c r="AG2" s="1216"/>
      <c r="AH2" s="1216"/>
      <c r="AI2" s="1216"/>
      <c r="AJ2" s="1217"/>
    </row>
    <row r="3" spans="1:36" ht="15.75">
      <c r="A3" s="202" t="s">
        <v>1940</v>
      </c>
      <c r="B3" s="203">
        <f>ROUND(B2*10000/D1,0)</f>
        <v>14979</v>
      </c>
      <c r="C3" s="1997" t="s">
        <v>1941</v>
      </c>
      <c r="D3" s="1998" t="s">
        <v>1942</v>
      </c>
      <c r="E3" s="3413" t="s">
        <v>2441</v>
      </c>
      <c r="F3" s="2002" t="s">
        <v>3420</v>
      </c>
      <c r="G3" s="750">
        <f>IF(F3="宗地容积率",'数据-汇总表'!I4,IF(F3="估价对象容积率",'数据-汇总表'!I6,'数据-汇总表'!I7))</f>
        <v>2.5</v>
      </c>
      <c r="H3" s="169" t="s">
        <v>1943</v>
      </c>
      <c r="I3" s="773">
        <v>10</v>
      </c>
      <c r="J3" s="2000" t="s">
        <v>1944</v>
      </c>
      <c r="K3" s="1117"/>
      <c r="L3" s="2001" t="s">
        <v>1945</v>
      </c>
      <c r="M3" s="862">
        <f>SUMPRODUCT((区片价!B30:B54=I2)*(区片价!C3:G3=E2)*(区片价!C30:G54))</f>
        <v>24380</v>
      </c>
      <c r="N3" s="864">
        <f>SUMPRODUCT((因素修正幅度!B30:B54=I2)*(因素修正幅度!C3:G3=E2)*(因素修正幅度!C30:G54))</f>
        <v>9.7000000000000003E-2</v>
      </c>
      <c r="O3" s="1117"/>
      <c r="P3" s="1117"/>
      <c r="Q3" s="1117"/>
      <c r="R3" s="1210">
        <v>2</v>
      </c>
      <c r="S3" s="3354">
        <f>ROUND(SUMPRODUCT((B106:B110=R3)*(C105:N105=G2)*(C106:N110)),4)</f>
        <v>1.1838</v>
      </c>
      <c r="T3" s="3354">
        <f t="shared" si="0"/>
        <v>21348</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62"/>
      <c r="B4" s="3763"/>
      <c r="C4" s="3763"/>
      <c r="D4" s="3764"/>
      <c r="E4" s="3764"/>
      <c r="F4" s="3764"/>
      <c r="G4" s="3764"/>
      <c r="H4" s="3764"/>
      <c r="I4" s="3764"/>
      <c r="J4" s="3765"/>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18043</v>
      </c>
      <c r="U4" s="1211"/>
      <c r="V4" s="3354">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24360</v>
      </c>
      <c r="D5" s="1337">
        <f>ROUND(C6*C17+C20,0)</f>
        <v>24360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4">
        <f>ROUND(SUMPRODUCT((B106:B110=R5)*(C105:N105=G2)*(C106:N110)),4)</f>
        <v>0.88239999999999996</v>
      </c>
      <c r="T5" s="3354">
        <f t="shared" si="0"/>
        <v>15913</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24380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4">
        <f>ROUND(SUMPRODUCT((B106:B110=R6)*(C105:N105=G2)*(C106:N110)),4)</f>
        <v>0.84799999999999998</v>
      </c>
      <c r="T6" s="3354">
        <f t="shared" si="0"/>
        <v>15292</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3239</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三级</v>
      </c>
      <c r="Y7" s="1212" t="s">
        <v>1956</v>
      </c>
      <c r="Z7" s="1213">
        <f>G3</f>
        <v>2.5</v>
      </c>
      <c r="AA7" s="1214"/>
      <c r="AB7" s="1214"/>
      <c r="AC7" s="1215"/>
      <c r="AD7" s="1216"/>
      <c r="AE7" s="1216"/>
      <c r="AF7" s="1216"/>
      <c r="AG7" s="1216"/>
      <c r="AH7" s="1216"/>
      <c r="AI7" s="1216"/>
      <c r="AJ7" s="1217"/>
    </row>
    <row r="8" spans="1:36" ht="25.5">
      <c r="A8" s="3292"/>
      <c r="B8" s="169" t="s">
        <v>1957</v>
      </c>
      <c r="C8" s="2024" t="s">
        <v>3409</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59" t="s">
        <v>1960</v>
      </c>
      <c r="X8" s="3760"/>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61"/>
      <c r="X9" s="3355" t="s">
        <v>3269</v>
      </c>
      <c r="Y9" s="3356">
        <v>10</v>
      </c>
      <c r="Z9" s="3357">
        <f>$Y$9</f>
        <v>10</v>
      </c>
      <c r="AA9" s="3357">
        <f t="shared" ref="AA9:AJ9" si="2">$Y$9</f>
        <v>10</v>
      </c>
      <c r="AB9" s="3357">
        <f t="shared" si="2"/>
        <v>10</v>
      </c>
      <c r="AC9" s="3357">
        <f t="shared" si="2"/>
        <v>10</v>
      </c>
      <c r="AD9" s="3357">
        <f t="shared" si="2"/>
        <v>10</v>
      </c>
      <c r="AE9" s="3357">
        <f t="shared" si="2"/>
        <v>10</v>
      </c>
      <c r="AF9" s="3357">
        <f t="shared" si="2"/>
        <v>10</v>
      </c>
      <c r="AG9" s="3357">
        <f t="shared" si="2"/>
        <v>10</v>
      </c>
      <c r="AH9" s="3357">
        <f t="shared" si="2"/>
        <v>10</v>
      </c>
      <c r="AI9" s="3357">
        <f t="shared" si="2"/>
        <v>10</v>
      </c>
      <c r="AJ9" s="3357">
        <f t="shared" si="2"/>
        <v>10</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61"/>
      <c r="X10" s="3355">
        <v>6</v>
      </c>
      <c r="Y10" s="3358">
        <f>ROUND((-0.5556*(Y9^2)-0.2719*Y9+8944)*(10^(-4)),4)</f>
        <v>0.88859999999999995</v>
      </c>
      <c r="Z10" s="3358">
        <f>ROUND((-0.5556*(Z9^2)-0.2719*Z9+8944)*(10^(-4)),4)</f>
        <v>0.88859999999999995</v>
      </c>
      <c r="AA10" s="3358">
        <f>ROUND((-0.7912*(AA9^2)-11.3794*AA9+8482)*(10^(-4)),4)</f>
        <v>0.82889999999999997</v>
      </c>
      <c r="AB10" s="3358">
        <f>ROUND((-0.7912*(AB9^2)-11.3794*AB9+8482)*(10^(-4)),4)</f>
        <v>0.82889999999999997</v>
      </c>
      <c r="AC10" s="3358">
        <f>ROUND((-0.7912*(AC9^2)-11.3794*AC9+8482)*(10^(-4)),4)</f>
        <v>0.82889999999999997</v>
      </c>
      <c r="AD10" s="3358">
        <f>ROUND((-0.7912*(AD9^2)-11.3794*AD9+8482)*(10^(-4)),4)</f>
        <v>0.82889999999999997</v>
      </c>
      <c r="AE10" s="3358">
        <f>ROUND((-0.7912*(AE9^2)-11.3794*AE9+8482)*(10^(-4)),4)</f>
        <v>0.82889999999999997</v>
      </c>
      <c r="AF10" s="3358">
        <f>ROUND((-0.989*(AF9^2)-63.78*AF9+7771)*(10^(-4)),4)</f>
        <v>0.70340000000000003</v>
      </c>
      <c r="AG10" s="3358">
        <f>ROUND((-0.989*(AG9^2)-63.78*AG9+7771)*(10^(-4)),4)</f>
        <v>0.70340000000000003</v>
      </c>
      <c r="AH10" s="3358">
        <f>ROUND((-0.989*(AH9^2)-63.78*AH9+7771)*(10^(-4)),4)</f>
        <v>0.70340000000000003</v>
      </c>
      <c r="AI10" s="3358">
        <f>ROUND((-0.989*(AI9^2)-63.78*AI9+7771)*(10^(-4)),4)</f>
        <v>0.70340000000000003</v>
      </c>
      <c r="AJ10" s="3358">
        <f>ROUND((-0.989*(AJ9^2)-63.78*AJ9+7771)*(10^(-4)),4)</f>
        <v>0.70340000000000003</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f>AA10</f>
        <v>0.82889999999999997</v>
      </c>
      <c r="T11" s="3354">
        <f t="shared" si="0"/>
        <v>14948</v>
      </c>
      <c r="U11" s="1211">
        <f>D33</f>
        <v>61.42</v>
      </c>
      <c r="V11" s="3354">
        <f t="shared" si="1"/>
        <v>92</v>
      </c>
      <c r="W11" s="1214"/>
      <c r="X11" s="1214"/>
      <c r="Y11" s="1214"/>
      <c r="Z11" s="1214"/>
      <c r="AA11" s="1214"/>
      <c r="AB11" s="1214"/>
      <c r="AC11" s="1215"/>
      <c r="AD11" s="2783"/>
      <c r="AE11" s="2783"/>
      <c r="AF11" s="2783"/>
      <c r="AG11" s="2783"/>
      <c r="AH11" s="2783"/>
      <c r="AI11" s="2783"/>
      <c r="AJ11" s="2784"/>
    </row>
    <row r="12" spans="1:36" ht="25.5" thickBot="1">
      <c r="A12" s="3297" t="s">
        <v>3240</v>
      </c>
      <c r="B12" s="3298" t="s">
        <v>3241</v>
      </c>
      <c r="C12" s="3299">
        <v>1</v>
      </c>
      <c r="D12" s="3300" t="s">
        <v>3242</v>
      </c>
      <c r="E12" s="3301" t="s">
        <v>3243</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3244</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3245</v>
      </c>
      <c r="G14" s="3305" t="s">
        <v>3245</v>
      </c>
      <c r="H14" s="3305" t="s">
        <v>3245</v>
      </c>
      <c r="I14" s="3305" t="s">
        <v>3245</v>
      </c>
      <c r="J14" s="3305" t="s">
        <v>3245</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3246</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3247</v>
      </c>
      <c r="B17" s="3314" t="s">
        <v>3248</v>
      </c>
      <c r="C17" s="3324">
        <f>ROUND(IF(OR(E2="工业",E2="公共服务"),1,IF(AND(E18=0,E19=0),1,IF(AND(E18=J24,E19=G19),0.8,IF(E19=0,1+E17*(-0.2),1+E17*G17*(-0.2))))),4)</f>
        <v>1</v>
      </c>
      <c r="D17" s="3315" t="s">
        <v>3249</v>
      </c>
      <c r="E17" s="3324">
        <f>ROUND(G18/I18,2)</f>
        <v>0</v>
      </c>
      <c r="F17" s="3315" t="s">
        <v>3252</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3250</v>
      </c>
      <c r="E18" s="3322"/>
      <c r="F18" s="3317" t="s">
        <v>3253</v>
      </c>
      <c r="G18" s="3321">
        <f>ROUND(1-(1/(POWER(1+G24,E18))),4)</f>
        <v>0</v>
      </c>
      <c r="H18" s="3317" t="s">
        <v>3255</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3251</v>
      </c>
      <c r="E19" s="3331"/>
      <c r="F19" s="3332" t="s">
        <v>3254</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66" t="s">
        <v>3256</v>
      </c>
      <c r="B20" s="166" t="s">
        <v>1994</v>
      </c>
      <c r="C20" s="3318">
        <f>ROUND(IF(F21="与级别开发程度一致",0,(G21-E21)/C21),0)</f>
        <v>-20</v>
      </c>
      <c r="D20" s="3334" t="s">
        <v>1998</v>
      </c>
      <c r="E20" s="3335"/>
      <c r="F20" s="3772" t="s">
        <v>1995</v>
      </c>
      <c r="G20" s="3773"/>
      <c r="H20" s="3319" t="s">
        <v>3385</v>
      </c>
      <c r="I20" s="3319" t="s">
        <v>3386</v>
      </c>
      <c r="J20" s="3320" t="s">
        <v>3387</v>
      </c>
      <c r="K20" s="2045" t="s">
        <v>3388</v>
      </c>
      <c r="L20" s="2045" t="s">
        <v>3389</v>
      </c>
      <c r="M20" s="2045" t="s">
        <v>3421</v>
      </c>
      <c r="N20" s="2045" t="s">
        <v>3391</v>
      </c>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67"/>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3418</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2002</v>
      </c>
      <c r="E23" s="759">
        <v>44197</v>
      </c>
      <c r="F23" s="2052" t="s">
        <v>2003</v>
      </c>
      <c r="G23" s="760">
        <f>'数据-取费表'!B2</f>
        <v>45363</v>
      </c>
      <c r="H23" s="3336" t="s">
        <v>3257</v>
      </c>
      <c r="I23" s="3337" t="str">
        <f>IF(H23="季度增幅（自定义）",SUMIF(N25:N28,E2,O25:O28),"")</f>
        <v/>
      </c>
      <c r="J23" s="3439" t="s">
        <v>3545</v>
      </c>
      <c r="K23" s="1123"/>
      <c r="L23" s="2053" t="s">
        <v>2004</v>
      </c>
      <c r="M23" s="1326">
        <f>ROUND(SUMIF(地价!B2:G2,E2,地价!B16:G16),0)</f>
        <v>350</v>
      </c>
      <c r="N23" s="2054" t="s">
        <v>2005</v>
      </c>
      <c r="O23" s="761">
        <f>ROUNDDOWN(DATEDIF(E23,G23,"M")/3,0)</f>
        <v>12</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0.67610000000000003</v>
      </c>
      <c r="D24" s="2058" t="s">
        <v>2007</v>
      </c>
      <c r="E24" s="1333">
        <f>存贷款利率!E24/100</f>
        <v>4.3499999999999997E-2</v>
      </c>
      <c r="F24" s="2058" t="s">
        <v>1999</v>
      </c>
      <c r="G24" s="766">
        <f>SUMIF(M30:Q30,E2,M33:Q33)</f>
        <v>5.5E-2</v>
      </c>
      <c r="H24" s="2058" t="s">
        <v>2008</v>
      </c>
      <c r="I24" s="767">
        <f>SUMIF('数据-取费表'!C6:C15,E2,'数据-取费表'!F6:F15)/COUNTIF('数据-取费表'!C6:C15,E2)</f>
        <v>16.96</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3492</v>
      </c>
      <c r="C25" s="769">
        <f>IF(B25="容积率修正",IF(G3&lt;10,D26,J26),C27)</f>
        <v>0.82889999999999997</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3258</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3259</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0.82889999999999997</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1.0481</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92</v>
      </c>
      <c r="D30" s="2081"/>
      <c r="E30" s="2044"/>
      <c r="F30" s="2082"/>
      <c r="G30" s="2044"/>
      <c r="H30" s="2044"/>
      <c r="I30" s="2044"/>
      <c r="J30" s="2083"/>
      <c r="K30" s="1117"/>
      <c r="L30" s="3344" t="s">
        <v>1936</v>
      </c>
      <c r="M30" s="3345" t="s">
        <v>1990</v>
      </c>
      <c r="N30" s="3345" t="s">
        <v>1991</v>
      </c>
      <c r="O30" s="3345" t="s">
        <v>1992</v>
      </c>
      <c r="P30" s="3345" t="s">
        <v>1993</v>
      </c>
      <c r="Q30" s="3348"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14948</v>
      </c>
      <c r="D33" s="2096">
        <f>'数据-汇总表'!E3</f>
        <v>61.42</v>
      </c>
      <c r="E33" s="771">
        <f>ROUND(C33*D33/10000,0)</f>
        <v>92</v>
      </c>
      <c r="F33" s="3339" t="s">
        <v>3261</v>
      </c>
      <c r="G33" s="2097"/>
      <c r="H33" s="2097"/>
      <c r="I33" s="2097"/>
      <c r="J33" s="2098"/>
      <c r="K33" s="1117"/>
      <c r="L33" s="3342" t="s">
        <v>3264</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3265</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3266</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70"/>
      <c r="B37" s="2111" t="s">
        <v>2036</v>
      </c>
      <c r="C37" s="174">
        <f>ROUND(D5*C22*C23*C24*C28*F37,0)</f>
        <v>10820</v>
      </c>
      <c r="D37" s="2096"/>
      <c r="E37" s="170">
        <f>ROUND(C37*D37/10000,0)</f>
        <v>0</v>
      </c>
      <c r="F37" s="170">
        <f>SUMIF(修正!A57:A68,G2,修正!B57:B68)</f>
        <v>0.6</v>
      </c>
      <c r="G37" s="170">
        <f>ROUND(IF(E2="工业",C37*$M$42,C37*$M$41),0)</f>
        <v>2705</v>
      </c>
      <c r="H37" s="170">
        <f>D37</f>
        <v>0</v>
      </c>
      <c r="I37" s="170">
        <f>ROUND(G37*H37/10000,0)</f>
        <v>0</v>
      </c>
      <c r="J37" s="3005"/>
      <c r="K37" s="3352" t="s">
        <v>3267</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71"/>
      <c r="B38" s="2039" t="s">
        <v>2037</v>
      </c>
      <c r="C38" s="174">
        <f>ROUND(D5*C22*C23*C24*C28*F38,0)</f>
        <v>5410</v>
      </c>
      <c r="D38" s="2096"/>
      <c r="E38" s="170">
        <f t="shared" ref="E38:E42" si="4">ROUND(C38*D38/10000,0)</f>
        <v>0</v>
      </c>
      <c r="F38" s="170">
        <f>SUMIF(修正!A57:A68,G2,修正!C57:C68)</f>
        <v>0.3</v>
      </c>
      <c r="G38" s="170">
        <f>ROUND(IF(E2="工业",C38*$M$42,C38*$M$41),0)</f>
        <v>1353</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771"/>
      <c r="B39" s="2039" t="s">
        <v>3260</v>
      </c>
      <c r="C39" s="174">
        <f>ROUND(D5*C22*C23*C24*C28*F39,0)</f>
        <v>4508</v>
      </c>
      <c r="D39" s="2096"/>
      <c r="E39" s="170">
        <f t="shared" si="4"/>
        <v>0</v>
      </c>
      <c r="F39" s="170">
        <f>SUMIF(修正!A57:A68,G2,修正!D57:D68)</f>
        <v>0.25</v>
      </c>
      <c r="G39" s="170">
        <f>ROUND(IF(E2="工业",C39*$M$42,C39*$M$41),0)</f>
        <v>1127</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4508</v>
      </c>
      <c r="D40" s="2096"/>
      <c r="E40" s="170">
        <f t="shared" si="4"/>
        <v>0</v>
      </c>
      <c r="F40" s="174">
        <f>SUMIF(修正!A57:A68,G2,修正!E57:E68)</f>
        <v>0.25</v>
      </c>
      <c r="G40" s="170">
        <f>ROUND(IF(E2="工业",C40*$M$42,C40*$M$41),0)</f>
        <v>1127</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4273</v>
      </c>
      <c r="D41" s="2096"/>
      <c r="E41" s="170">
        <f t="shared" si="4"/>
        <v>0</v>
      </c>
      <c r="F41" s="174">
        <f>SUMIF(修正!A57:A68,G2,修正!F57:F68)</f>
        <v>0.25</v>
      </c>
      <c r="G41" s="170">
        <f>ROUND(IF(E2="工业",C41*$M$42,C41*$M$41),0)</f>
        <v>1068</v>
      </c>
      <c r="H41" s="170">
        <f t="shared" si="5"/>
        <v>0</v>
      </c>
      <c r="I41" s="170">
        <f t="shared" si="6"/>
        <v>0</v>
      </c>
      <c r="J41" s="2112"/>
      <c r="L41" s="3353"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2564</v>
      </c>
      <c r="D42" s="2101"/>
      <c r="E42" s="186">
        <f t="shared" si="4"/>
        <v>0</v>
      </c>
      <c r="F42" s="765">
        <f>SUMIF(修正!A57:A68,G2,修正!G57:G68)</f>
        <v>0.15</v>
      </c>
      <c r="G42" s="186">
        <f>ROUND(IF(E2="工业",C42*$M$42,C42*$M$41),0)</f>
        <v>641</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1">
        <f>ROUND(POWER(1+E44,H44-G44)*(POWER(1+E44,G44)-1)/(POWER(1+E44,H44)-1),4)</f>
        <v>0.64080000000000004</v>
      </c>
      <c r="D44" s="170" t="s">
        <v>1999</v>
      </c>
      <c r="E44" s="2151">
        <f>G24</f>
        <v>5.5E-2</v>
      </c>
      <c r="F44" s="170" t="s">
        <v>2008</v>
      </c>
      <c r="G44" s="182">
        <f>项目基本情况!D15</f>
        <v>16.96</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1.0481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3411</v>
      </c>
      <c r="D50" s="1063">
        <f t="shared" ref="D50:D58" si="7">SUMIF($J$49:$N$49,C50,J50:N50)</f>
        <v>1.4500000000000001E-2</v>
      </c>
      <c r="E50" s="742">
        <f>ROUND(SUM(D50:D58),4)</f>
        <v>4.8099999999999997E-2</v>
      </c>
      <c r="F50" s="1812">
        <f>IF(E2="商业",SUMIF(L1:L12,G2,N1:N12),"——")</f>
        <v>9.7000000000000003E-2</v>
      </c>
      <c r="G50" s="1061">
        <f>H50</f>
        <v>1.4500000000000001E-2</v>
      </c>
      <c r="H50" s="1064">
        <f t="shared" ref="H50:H58" si="8">IFERROR(ROUNDDOWN($F$50*I50/2,4),"——")</f>
        <v>1.4500000000000001E-2</v>
      </c>
      <c r="I50" s="3360">
        <v>0.3</v>
      </c>
      <c r="J50" s="1062">
        <f t="shared" ref="J50:J58" si="9">K50+$G50</f>
        <v>2.9000000000000001E-2</v>
      </c>
      <c r="K50" s="1062">
        <f t="shared" ref="K50:K58" si="10">$L50+$G50</f>
        <v>1.4500000000000001E-2</v>
      </c>
      <c r="L50" s="1062">
        <v>0</v>
      </c>
      <c r="M50" s="1062">
        <f t="shared" ref="M50:N58" si="11">L50-$G50</f>
        <v>-1.4500000000000001E-2</v>
      </c>
      <c r="N50" s="1062">
        <f t="shared" si="11"/>
        <v>-2.9000000000000001E-2</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3411</v>
      </c>
      <c r="D51" s="1063">
        <f t="shared" si="7"/>
        <v>1.06E-2</v>
      </c>
      <c r="E51" s="743"/>
      <c r="F51" s="1812"/>
      <c r="G51" s="1061">
        <f t="shared" ref="G51:G58" si="12">H51</f>
        <v>1.06E-2</v>
      </c>
      <c r="H51" s="1064">
        <f t="shared" si="8"/>
        <v>1.06E-2</v>
      </c>
      <c r="I51" s="3360">
        <v>0.22</v>
      </c>
      <c r="J51" s="1062">
        <f t="shared" si="9"/>
        <v>2.12E-2</v>
      </c>
      <c r="K51" s="1062">
        <f t="shared" si="10"/>
        <v>1.06E-2</v>
      </c>
      <c r="L51" s="1062">
        <v>0</v>
      </c>
      <c r="M51" s="1062">
        <f t="shared" si="11"/>
        <v>-1.06E-2</v>
      </c>
      <c r="N51" s="1062">
        <f t="shared" si="11"/>
        <v>-2.12E-2</v>
      </c>
      <c r="AA51" s="1118"/>
      <c r="AB51" s="1118"/>
      <c r="AC51" s="1118"/>
      <c r="AD51" s="1118"/>
      <c r="AE51" s="1118"/>
      <c r="AF51" s="1118"/>
      <c r="AG51" s="1118"/>
      <c r="AH51" s="1118"/>
      <c r="AI51" s="1118"/>
      <c r="AJ51" s="1118"/>
      <c r="AK51" s="1118"/>
    </row>
    <row r="52" spans="1:37" s="1117" customFormat="1" ht="36">
      <c r="A52" s="3362" t="s">
        <v>3270</v>
      </c>
      <c r="B52" s="2132">
        <f>估价对象房地状况!C19</f>
        <v>0</v>
      </c>
      <c r="C52" s="2042" t="s">
        <v>3411</v>
      </c>
      <c r="D52" s="1063">
        <f t="shared" si="7"/>
        <v>5.7999999999999996E-3</v>
      </c>
      <c r="E52" s="743"/>
      <c r="F52" s="1812"/>
      <c r="G52" s="1061">
        <f t="shared" si="12"/>
        <v>5.7999999999999996E-3</v>
      </c>
      <c r="H52" s="1064">
        <f t="shared" si="8"/>
        <v>5.7999999999999996E-3</v>
      </c>
      <c r="I52" s="3360">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8" t="s">
        <v>2054</v>
      </c>
      <c r="B53" s="2133" t="s">
        <v>2055</v>
      </c>
      <c r="C53" s="2042" t="s">
        <v>3411</v>
      </c>
      <c r="D53" s="1063">
        <f t="shared" si="7"/>
        <v>2.3999999999999998E-3</v>
      </c>
      <c r="E53" s="743"/>
      <c r="F53" s="1812"/>
      <c r="G53" s="1061">
        <f t="shared" si="12"/>
        <v>2.3999999999999998E-3</v>
      </c>
      <c r="H53" s="1064">
        <f t="shared" si="8"/>
        <v>2.3999999999999998E-3</v>
      </c>
      <c r="I53" s="3360">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3410</v>
      </c>
      <c r="D54" s="1063">
        <f t="shared" si="7"/>
        <v>0</v>
      </c>
      <c r="E54" s="743"/>
      <c r="F54" s="1812"/>
      <c r="G54" s="1061">
        <f t="shared" si="12"/>
        <v>3.8E-3</v>
      </c>
      <c r="H54" s="1064">
        <f t="shared" si="8"/>
        <v>3.8E-3</v>
      </c>
      <c r="I54" s="3360">
        <v>0.08</v>
      </c>
      <c r="J54" s="1062">
        <f t="shared" si="9"/>
        <v>7.6E-3</v>
      </c>
      <c r="K54" s="1062">
        <f t="shared" si="10"/>
        <v>3.8E-3</v>
      </c>
      <c r="L54" s="1062">
        <v>0</v>
      </c>
      <c r="M54" s="1062">
        <f t="shared" si="11"/>
        <v>-3.8E-3</v>
      </c>
      <c r="N54" s="1062">
        <f t="shared" si="11"/>
        <v>-7.6E-3</v>
      </c>
      <c r="AA54" s="1118"/>
      <c r="AB54" s="1118"/>
      <c r="AC54" s="1118"/>
      <c r="AD54" s="1118"/>
      <c r="AE54" s="1118"/>
      <c r="AF54" s="1118"/>
      <c r="AG54" s="1118"/>
      <c r="AH54" s="1118"/>
      <c r="AI54" s="1118"/>
      <c r="AJ54" s="1118"/>
      <c r="AK54" s="1118"/>
    </row>
    <row r="55" spans="1:37" s="1117" customFormat="1" ht="24">
      <c r="A55" s="2128" t="s">
        <v>2057</v>
      </c>
      <c r="B55" s="2134" t="s">
        <v>2058</v>
      </c>
      <c r="C55" s="2042" t="s">
        <v>3411</v>
      </c>
      <c r="D55" s="1063">
        <f t="shared" si="7"/>
        <v>2.3999999999999998E-3</v>
      </c>
      <c r="E55" s="743"/>
      <c r="F55" s="1812"/>
      <c r="G55" s="1061">
        <f t="shared" si="12"/>
        <v>2.3999999999999998E-3</v>
      </c>
      <c r="H55" s="1064">
        <f t="shared" si="8"/>
        <v>2.3999999999999998E-3</v>
      </c>
      <c r="I55" s="3360">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3411</v>
      </c>
      <c r="D56" s="1063">
        <f t="shared" si="7"/>
        <v>2.3999999999999998E-3</v>
      </c>
      <c r="E56" s="743"/>
      <c r="F56" s="1812"/>
      <c r="G56" s="1061">
        <f t="shared" si="12"/>
        <v>2.3999999999999998E-3</v>
      </c>
      <c r="H56" s="1064">
        <f t="shared" si="8"/>
        <v>2.3999999999999998E-3</v>
      </c>
      <c r="I56" s="3360">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3412</v>
      </c>
      <c r="D57" s="1063">
        <f t="shared" si="7"/>
        <v>7.6E-3</v>
      </c>
      <c r="E57" s="743"/>
      <c r="F57" s="1812"/>
      <c r="G57" s="1061">
        <f t="shared" si="12"/>
        <v>3.8E-3</v>
      </c>
      <c r="H57" s="1064">
        <f t="shared" si="8"/>
        <v>3.8E-3</v>
      </c>
      <c r="I57" s="3360">
        <v>0.08</v>
      </c>
      <c r="J57" s="1062">
        <f t="shared" si="9"/>
        <v>7.6E-3</v>
      </c>
      <c r="K57" s="1062">
        <f t="shared" si="10"/>
        <v>3.8E-3</v>
      </c>
      <c r="L57" s="1062">
        <v>0</v>
      </c>
      <c r="M57" s="1062">
        <f t="shared" si="11"/>
        <v>-3.8E-3</v>
      </c>
      <c r="N57" s="1062">
        <f t="shared" si="11"/>
        <v>-7.6E-3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3411</v>
      </c>
      <c r="D58" s="1063">
        <f t="shared" si="7"/>
        <v>2.3999999999999998E-3</v>
      </c>
      <c r="E58" s="744"/>
      <c r="F58" s="1812"/>
      <c r="G58" s="1061">
        <f t="shared" si="12"/>
        <v>2.3999999999999998E-3</v>
      </c>
      <c r="H58" s="1064">
        <f t="shared" si="8"/>
        <v>2.3999999999999998E-3</v>
      </c>
      <c r="I58" s="3361">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3410</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3411</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3270</v>
      </c>
      <c r="B63" s="2132">
        <f>估价对象房地状况!C19</f>
        <v>0</v>
      </c>
      <c r="C63" s="2042" t="s">
        <v>3411</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3411</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3410</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3411</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3411</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3412</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3410</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3270</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3271</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2614</v>
      </c>
      <c r="B91" s="3371">
        <f>1+E93</f>
        <v>1</v>
      </c>
      <c r="C91" s="3364"/>
      <c r="D91" s="3365"/>
      <c r="E91" s="1812"/>
      <c r="F91" s="1812"/>
      <c r="G91" s="3366"/>
      <c r="H91" s="3367"/>
      <c r="I91" s="3368"/>
      <c r="J91" s="3369"/>
      <c r="K91" s="3369"/>
      <c r="L91" s="3369"/>
      <c r="M91" s="3369"/>
      <c r="N91" s="3369"/>
    </row>
    <row r="92" spans="1:37" ht="24.75">
      <c r="A92" s="3372" t="s">
        <v>3272</v>
      </c>
      <c r="B92" s="3359"/>
      <c r="C92" s="3359" t="s">
        <v>3281</v>
      </c>
      <c r="D92" s="3359" t="s">
        <v>3282</v>
      </c>
      <c r="E92" s="3341" t="s">
        <v>3283</v>
      </c>
      <c r="F92" s="3374" t="s">
        <v>3284</v>
      </c>
      <c r="G92" s="3359" t="s">
        <v>3285</v>
      </c>
      <c r="H92" s="3381" t="s">
        <v>3288</v>
      </c>
      <c r="I92" s="3359" t="s">
        <v>3289</v>
      </c>
      <c r="J92" s="3382" t="s">
        <v>3290</v>
      </c>
      <c r="K92" s="3382" t="s">
        <v>3291</v>
      </c>
      <c r="L92" s="3382" t="s">
        <v>3292</v>
      </c>
      <c r="M92" s="3382" t="s">
        <v>3293</v>
      </c>
      <c r="N92" s="3382" t="s">
        <v>3294</v>
      </c>
    </row>
    <row r="93" spans="1:37" ht="24">
      <c r="A93" s="3362" t="s">
        <v>3273</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3274</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3270</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3275</v>
      </c>
      <c r="B96" s="3378" t="s">
        <v>3286</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3276</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3277</v>
      </c>
      <c r="B98" s="3379" t="s">
        <v>3287</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3278</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3279</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3280</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68" t="s">
        <v>3295</v>
      </c>
      <c r="B103" s="3768"/>
      <c r="C103" s="3768"/>
      <c r="D103" s="3768"/>
      <c r="E103" s="3768"/>
      <c r="F103" s="3768"/>
      <c r="G103" s="3768"/>
      <c r="H103" s="3768"/>
      <c r="I103" s="3768"/>
      <c r="J103" s="3768"/>
      <c r="K103" s="3383"/>
      <c r="L103" s="3383"/>
      <c r="M103" s="3383"/>
      <c r="N103" s="3383"/>
    </row>
    <row r="104" spans="1:14">
      <c r="A104" s="3769" t="s">
        <v>3296</v>
      </c>
      <c r="B104" s="3769" t="s">
        <v>3297</v>
      </c>
      <c r="C104" s="3384" t="s">
        <v>3298</v>
      </c>
      <c r="D104" s="3385"/>
      <c r="E104" s="3385"/>
      <c r="F104" s="3385"/>
      <c r="G104" s="3385"/>
      <c r="H104" s="3385"/>
      <c r="I104" s="3385"/>
      <c r="J104" s="3386"/>
      <c r="K104" s="3387"/>
      <c r="L104" s="3387"/>
      <c r="M104" s="3387"/>
      <c r="N104" s="3387"/>
    </row>
    <row r="105" spans="1:14">
      <c r="A105" s="3769"/>
      <c r="B105" s="3769"/>
      <c r="C105" s="3388" t="s">
        <v>3299</v>
      </c>
      <c r="D105" s="3388" t="s">
        <v>3300</v>
      </c>
      <c r="E105" s="3388" t="s">
        <v>3301</v>
      </c>
      <c r="F105" s="3388" t="s">
        <v>3302</v>
      </c>
      <c r="G105" s="3388" t="s">
        <v>3303</v>
      </c>
      <c r="H105" s="3388" t="s">
        <v>3304</v>
      </c>
      <c r="I105" s="3388" t="s">
        <v>3305</v>
      </c>
      <c r="J105" s="3388" t="s">
        <v>3306</v>
      </c>
      <c r="K105" s="3388" t="s">
        <v>3307</v>
      </c>
      <c r="L105" s="3388" t="s">
        <v>3308</v>
      </c>
      <c r="M105" s="3388" t="s">
        <v>3309</v>
      </c>
      <c r="N105" s="3388" t="s">
        <v>3310</v>
      </c>
    </row>
    <row r="106" spans="1:14">
      <c r="A106" s="3755" t="s">
        <v>3311</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56"/>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56"/>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56"/>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56"/>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56"/>
      <c r="B111" s="3388" t="s">
        <v>3269</v>
      </c>
      <c r="C111" s="3389">
        <f>$I$3</f>
        <v>10</v>
      </c>
      <c r="D111" s="3389">
        <f t="shared" ref="D111:M111" si="34">$I$3</f>
        <v>10</v>
      </c>
      <c r="E111" s="3389">
        <f t="shared" si="34"/>
        <v>10</v>
      </c>
      <c r="F111" s="3389">
        <f t="shared" si="34"/>
        <v>10</v>
      </c>
      <c r="G111" s="3389">
        <f t="shared" si="34"/>
        <v>10</v>
      </c>
      <c r="H111" s="3389">
        <f t="shared" si="34"/>
        <v>10</v>
      </c>
      <c r="I111" s="3389">
        <f t="shared" si="34"/>
        <v>10</v>
      </c>
      <c r="J111" s="3389">
        <f t="shared" si="34"/>
        <v>10</v>
      </c>
      <c r="K111" s="3389">
        <f t="shared" si="34"/>
        <v>10</v>
      </c>
      <c r="L111" s="3389">
        <f t="shared" si="34"/>
        <v>10</v>
      </c>
      <c r="M111" s="3389">
        <f t="shared" si="34"/>
        <v>10</v>
      </c>
      <c r="N111" s="3389">
        <f>$I$3</f>
        <v>10</v>
      </c>
    </row>
    <row r="112" spans="1:14">
      <c r="A112" s="3757"/>
      <c r="B112" s="3388">
        <v>6</v>
      </c>
      <c r="C112" s="3381">
        <f>(-0.5556*(C111^2)-0.2719*C111+8944)*(10^(-4))</f>
        <v>0.88857209999999998</v>
      </c>
      <c r="D112" s="3381">
        <f>(-0.5556*(D111^2)-0.2719*D111+8944)*(10^(-4))</f>
        <v>0.88857209999999998</v>
      </c>
      <c r="E112" s="3381">
        <f>(-0.7912*(E111^2)-11.3794*E111+8482)*(10^(-4))</f>
        <v>0.8289086</v>
      </c>
      <c r="F112" s="3381">
        <f t="shared" ref="F112:I112" si="35">(-0.7912*(F111^2)-11.3794*F111+8482)*(10^(-4))</f>
        <v>0.8289086</v>
      </c>
      <c r="G112" s="3381">
        <f t="shared" si="35"/>
        <v>0.8289086</v>
      </c>
      <c r="H112" s="3381">
        <f t="shared" si="35"/>
        <v>0.8289086</v>
      </c>
      <c r="I112" s="3381">
        <f t="shared" si="35"/>
        <v>0.8289086</v>
      </c>
      <c r="J112" s="3381">
        <f>(-0.989*(J111^2)-63.78*J111+7771)*(10^(-4))</f>
        <v>0.70343</v>
      </c>
      <c r="K112" s="3381">
        <f t="shared" ref="K112:N112" si="36">(-0.989*(K111^2)-63.78*K111+7771)*(10^(-4))</f>
        <v>0.70343</v>
      </c>
      <c r="L112" s="3381">
        <f t="shared" si="36"/>
        <v>0.70343</v>
      </c>
      <c r="M112" s="3381">
        <f t="shared" si="36"/>
        <v>0.70343</v>
      </c>
      <c r="N112" s="3381">
        <f t="shared" si="36"/>
        <v>0.70343</v>
      </c>
    </row>
    <row r="113" spans="1:14">
      <c r="A113" s="3758" t="s">
        <v>3312</v>
      </c>
      <c r="B113" s="3758"/>
      <c r="C113" s="3758"/>
      <c r="D113" s="3758"/>
      <c r="E113" s="3758"/>
      <c r="F113" s="3758"/>
      <c r="G113" s="3758"/>
      <c r="H113" s="3758"/>
      <c r="I113" s="3758"/>
      <c r="J113" s="3758"/>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3313</v>
      </c>
      <c r="B116" s="3409">
        <f>G3</f>
        <v>2.5</v>
      </c>
      <c r="C116" s="3393" t="s">
        <v>3314</v>
      </c>
      <c r="D116" s="3394">
        <f>SUMPRODUCT((A118:A122=F116)*(B117:M117=H116)*B118:M122)</f>
        <v>0.91400000000000003</v>
      </c>
      <c r="E116" s="1998" t="s">
        <v>3315</v>
      </c>
      <c r="F116" s="3395" t="str">
        <f>E2</f>
        <v>商业</v>
      </c>
      <c r="G116" s="1998" t="s">
        <v>3316</v>
      </c>
      <c r="H116" s="3395" t="str">
        <f>G2</f>
        <v>三级</v>
      </c>
      <c r="I116" s="1998"/>
      <c r="J116" s="3396"/>
      <c r="K116" s="3396"/>
      <c r="L116" s="3396"/>
      <c r="M116" s="3396"/>
      <c r="N116" s="3391"/>
    </row>
    <row r="117" spans="1:14">
      <c r="A117" s="3397"/>
      <c r="B117" s="3398" t="s">
        <v>3317</v>
      </c>
      <c r="C117" s="3398" t="s">
        <v>3318</v>
      </c>
      <c r="D117" s="3398" t="s">
        <v>3319</v>
      </c>
      <c r="E117" s="3399" t="s">
        <v>3320</v>
      </c>
      <c r="F117" s="3399" t="s">
        <v>3321</v>
      </c>
      <c r="G117" s="3399" t="s">
        <v>3322</v>
      </c>
      <c r="H117" s="3400" t="s">
        <v>3323</v>
      </c>
      <c r="I117" s="3400" t="s">
        <v>3324</v>
      </c>
      <c r="J117" s="3401" t="s">
        <v>3325</v>
      </c>
      <c r="K117" s="3401" t="s">
        <v>3326</v>
      </c>
      <c r="L117" s="3401" t="s">
        <v>3327</v>
      </c>
      <c r="M117" s="3402" t="s">
        <v>3328</v>
      </c>
      <c r="N117" s="3391"/>
    </row>
    <row r="118" spans="1:14">
      <c r="A118" s="3403" t="s">
        <v>3329</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3330</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3331</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3332</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2614</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0" priority="6" stopIfTrue="1" operator="notEqual">
      <formula>"——"</formula>
    </cfRule>
  </conditionalFormatting>
  <conditionalFormatting sqref="F61">
    <cfRule type="cellIs" dxfId="169" priority="5" stopIfTrue="1" operator="notEqual">
      <formula>"——"</formula>
    </cfRule>
  </conditionalFormatting>
  <conditionalFormatting sqref="F72">
    <cfRule type="cellIs" dxfId="168" priority="4" stopIfTrue="1" operator="notEqual">
      <formula>"——"</formula>
    </cfRule>
  </conditionalFormatting>
  <conditionalFormatting sqref="F83">
    <cfRule type="cellIs" dxfId="167" priority="3" stopIfTrue="1" operator="notEqual">
      <formula>"——"</formula>
    </cfRule>
  </conditionalFormatting>
  <conditionalFormatting sqref="H50:H58 H61:H69 H72:H80 H83:H91">
    <cfRule type="cellIs" dxfId="166" priority="2" operator="notEqual">
      <formula>"——"</formula>
    </cfRule>
  </conditionalFormatting>
  <conditionalFormatting sqref="H93:H101">
    <cfRule type="cellIs" dxfId="16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90" zoomScaleNormal="70" zoomScaleSheetLayoutView="90" workbookViewId="0">
      <selection activeCell="I33" activeCellId="3" sqref="C33 E33 G33 I33"/>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21</v>
      </c>
      <c r="E1" s="3426" t="s">
        <v>3423</v>
      </c>
      <c r="F1" s="1877" t="s">
        <v>3419</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31071</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80" t="s">
        <v>1775</v>
      </c>
      <c r="Q4" s="3781"/>
      <c r="R4" s="3784" t="s">
        <v>1771</v>
      </c>
      <c r="S4" s="3785"/>
      <c r="T4" s="3784" t="s">
        <v>1772</v>
      </c>
      <c r="U4" s="3785"/>
      <c r="V4" s="3786" t="s">
        <v>1773</v>
      </c>
      <c r="W4" s="3786"/>
      <c r="X4" s="1956"/>
      <c r="Y4" s="3784" t="s">
        <v>1775</v>
      </c>
      <c r="Z4" s="3785"/>
      <c r="AA4" s="3789" t="s">
        <v>1771</v>
      </c>
      <c r="AB4" s="3789" t="s">
        <v>1772</v>
      </c>
      <c r="AC4" s="3777" t="s">
        <v>1773</v>
      </c>
    </row>
    <row r="5" spans="1:29" ht="15">
      <c r="A5" s="357"/>
      <c r="B5" s="358"/>
      <c r="C5" s="3742" t="s">
        <v>3475</v>
      </c>
      <c r="D5" s="3743"/>
      <c r="E5" s="3790"/>
      <c r="F5" s="3791"/>
      <c r="G5" s="3742" t="s">
        <v>3477</v>
      </c>
      <c r="H5" s="3743"/>
      <c r="I5" s="3742" t="s">
        <v>3482</v>
      </c>
      <c r="J5" s="3743"/>
      <c r="K5" s="558"/>
      <c r="L5" s="2709"/>
      <c r="M5" s="2710"/>
      <c r="N5" s="2710"/>
      <c r="O5" s="2710"/>
      <c r="P5" s="3782"/>
      <c r="Q5" s="3731"/>
      <c r="R5" s="3736"/>
      <c r="S5" s="3737"/>
      <c r="T5" s="3736"/>
      <c r="U5" s="3737"/>
      <c r="V5" s="3719"/>
      <c r="W5" s="3719"/>
      <c r="X5" s="1353"/>
      <c r="Y5" s="3736"/>
      <c r="Z5" s="3737"/>
      <c r="AA5" s="3722"/>
      <c r="AB5" s="3722"/>
      <c r="AC5" s="3778"/>
    </row>
    <row r="6" spans="1:29" ht="15.75" thickBot="1">
      <c r="A6" s="359"/>
      <c r="B6" s="360"/>
      <c r="C6" s="3740" t="s">
        <v>1677</v>
      </c>
      <c r="D6" s="3741"/>
      <c r="E6" s="3788"/>
      <c r="F6" s="3748"/>
      <c r="G6" s="3740" t="s">
        <v>1677</v>
      </c>
      <c r="H6" s="3741"/>
      <c r="I6" s="3740" t="s">
        <v>1677</v>
      </c>
      <c r="J6" s="3741"/>
      <c r="K6" s="558" t="s">
        <v>1678</v>
      </c>
      <c r="L6" s="2709"/>
      <c r="M6" s="2710"/>
      <c r="N6" s="2710"/>
      <c r="O6" s="2710"/>
      <c r="P6" s="3783"/>
      <c r="Q6" s="3733"/>
      <c r="R6" s="3736"/>
      <c r="S6" s="3737"/>
      <c r="T6" s="3738"/>
      <c r="U6" s="3739"/>
      <c r="V6" s="3719"/>
      <c r="W6" s="3719"/>
      <c r="X6" s="1353"/>
      <c r="Y6" s="3738"/>
      <c r="Z6" s="3739"/>
      <c r="AA6" s="3723"/>
      <c r="AB6" s="3723"/>
      <c r="AC6" s="3779"/>
    </row>
    <row r="7" spans="1:29" s="107" customFormat="1" ht="15.75" thickBot="1">
      <c r="A7" s="361" t="s">
        <v>1679</v>
      </c>
      <c r="B7" s="362"/>
      <c r="C7" s="363">
        <f>'数据-取费表'!B2</f>
        <v>45363</v>
      </c>
      <c r="D7" s="364">
        <v>100</v>
      </c>
      <c r="E7" s="365">
        <f>C7</f>
        <v>45363</v>
      </c>
      <c r="F7" s="366">
        <f>SUMIF(59:59,YEAR(E7)&amp;"-"&amp;MONTH(E7),60:60)</f>
        <v>100</v>
      </c>
      <c r="G7" s="365">
        <f>C7</f>
        <v>45363</v>
      </c>
      <c r="H7" s="364">
        <f>SUMIF(59:59,YEAR(G7)&amp;"-"&amp;MONTH(G7),60:60)</f>
        <v>100</v>
      </c>
      <c r="I7" s="365">
        <f>C7</f>
        <v>45363</v>
      </c>
      <c r="J7" s="364">
        <f>SUMIF(59:59,YEAR(I7)&amp;"-"&amp;MONTH(I7),60:60)</f>
        <v>100</v>
      </c>
      <c r="K7" s="559"/>
      <c r="L7" s="2711"/>
      <c r="M7" s="2712"/>
      <c r="N7" s="2712"/>
      <c r="O7" s="2712"/>
      <c r="P7" s="3787" t="s">
        <v>1680</v>
      </c>
      <c r="Q7" s="3746"/>
      <c r="R7" s="699" t="s">
        <v>14</v>
      </c>
      <c r="S7" s="700">
        <f t="shared" ref="S7:S15" si="0">F7</f>
        <v>100</v>
      </c>
      <c r="T7" s="699" t="s">
        <v>14</v>
      </c>
      <c r="U7" s="700">
        <f t="shared" ref="U7:U15" si="1">H7</f>
        <v>100</v>
      </c>
      <c r="V7" s="699" t="s">
        <v>14</v>
      </c>
      <c r="W7" s="700">
        <f t="shared" ref="W7:W15" si="2">J7</f>
        <v>100</v>
      </c>
      <c r="X7" s="701"/>
      <c r="Y7" s="3744" t="s">
        <v>1680</v>
      </c>
      <c r="Z7" s="3745"/>
      <c r="AA7" s="702">
        <f>D7/F7</f>
        <v>1</v>
      </c>
      <c r="AB7" s="702">
        <f>D7/H7</f>
        <v>1</v>
      </c>
      <c r="AC7" s="1957">
        <f>D7/J7</f>
        <v>1</v>
      </c>
    </row>
    <row r="8" spans="1:29" s="107" customFormat="1" ht="15.75" thickBot="1">
      <c r="A8" s="361" t="s">
        <v>1681</v>
      </c>
      <c r="B8" s="362"/>
      <c r="C8" s="367" t="s">
        <v>3427</v>
      </c>
      <c r="D8" s="364">
        <v>100</v>
      </c>
      <c r="E8" s="367" t="s">
        <v>3428</v>
      </c>
      <c r="F8" s="366">
        <f>SUMIF(62:62,E8,63:63)-SUMIF(62:62,C8,63:63)+100</f>
        <v>105</v>
      </c>
      <c r="G8" s="367" t="s">
        <v>3428</v>
      </c>
      <c r="H8" s="364">
        <f>SUMIF(62:62,G8,63:63)-SUMIF(62:62,C8,63:63)+100</f>
        <v>105</v>
      </c>
      <c r="I8" s="367" t="s">
        <v>3428</v>
      </c>
      <c r="J8" s="364">
        <f>SUMIF(62:62,I8,63:63)-SUMIF(62:62,C8,63:63)+100</f>
        <v>105</v>
      </c>
      <c r="K8" s="559"/>
      <c r="L8" s="2711"/>
      <c r="M8" s="2712"/>
      <c r="N8" s="2712"/>
      <c r="O8" s="2712"/>
      <c r="P8" s="3787" t="s">
        <v>1683</v>
      </c>
      <c r="Q8" s="3745"/>
      <c r="R8" s="699" t="s">
        <v>14</v>
      </c>
      <c r="S8" s="700">
        <f t="shared" si="0"/>
        <v>105</v>
      </c>
      <c r="T8" s="699" t="s">
        <v>14</v>
      </c>
      <c r="U8" s="700">
        <f t="shared" si="1"/>
        <v>105</v>
      </c>
      <c r="V8" s="699" t="s">
        <v>14</v>
      </c>
      <c r="W8" s="700">
        <f t="shared" si="2"/>
        <v>105</v>
      </c>
      <c r="X8" s="701"/>
      <c r="Y8" s="3744" t="s">
        <v>1683</v>
      </c>
      <c r="Z8" s="3745"/>
      <c r="AA8" s="702">
        <f t="shared" ref="AA8:AA47" si="3">D8/F8</f>
        <v>0.95238095238095233</v>
      </c>
      <c r="AB8" s="702">
        <f t="shared" ref="AB8:AB47" si="4">D8/H8</f>
        <v>0.95238095238095233</v>
      </c>
      <c r="AC8" s="1957">
        <f t="shared" ref="AC8:AC47" si="5">D8/J8</f>
        <v>0.95238095238095233</v>
      </c>
    </row>
    <row r="9" spans="1:29" s="107" customFormat="1">
      <c r="A9" s="368" t="s">
        <v>1684</v>
      </c>
      <c r="B9" s="63" t="s">
        <v>1685</v>
      </c>
      <c r="C9" s="3476" t="s">
        <v>3446</v>
      </c>
      <c r="D9" s="125">
        <v>100</v>
      </c>
      <c r="E9" s="372" t="s">
        <v>21</v>
      </c>
      <c r="F9" s="125">
        <f>SUMIF(64:64,E9,65:65)-SUMIF(64:64,C9,65:65)+100</f>
        <v>100</v>
      </c>
      <c r="G9" s="372" t="s">
        <v>21</v>
      </c>
      <c r="H9" s="125">
        <f>SUMIF(64:64,G9,65:65)-SUMIF(64:64,C9,65:65)+100</f>
        <v>100</v>
      </c>
      <c r="I9" s="372" t="s">
        <v>21</v>
      </c>
      <c r="J9" s="125">
        <f>SUMIF(64:64,I9,65:65)-SUMIF(64:64,C9,65:65)+100</f>
        <v>100</v>
      </c>
      <c r="K9" s="559"/>
      <c r="L9" s="2711"/>
      <c r="M9" s="2712"/>
      <c r="N9" s="2712"/>
      <c r="O9" s="2712"/>
      <c r="P9" s="3720"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20"/>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20"/>
      <c r="Q11" s="1341" t="str">
        <f t="shared" si="6"/>
        <v>容积率</v>
      </c>
      <c r="R11" s="699" t="s">
        <v>14</v>
      </c>
      <c r="S11" s="700">
        <f t="shared" si="0"/>
        <v>100</v>
      </c>
      <c r="T11" s="699" t="s">
        <v>14</v>
      </c>
      <c r="U11" s="700">
        <f t="shared" si="1"/>
        <v>100</v>
      </c>
      <c r="V11" s="699" t="s">
        <v>14</v>
      </c>
      <c r="W11" s="700">
        <f t="shared" si="2"/>
        <v>100</v>
      </c>
      <c r="X11" s="701"/>
      <c r="Y11" s="3605"/>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20"/>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20"/>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20"/>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10" t="s">
        <v>1691</v>
      </c>
      <c r="Q15" s="1350" t="str">
        <f t="shared" si="6"/>
        <v>办公集聚程度</v>
      </c>
      <c r="R15" s="703" t="s">
        <v>14</v>
      </c>
      <c r="S15" s="704">
        <f t="shared" si="0"/>
        <v>100</v>
      </c>
      <c r="T15" s="703" t="s">
        <v>14</v>
      </c>
      <c r="U15" s="704">
        <f t="shared" si="1"/>
        <v>100</v>
      </c>
      <c r="V15" s="703" t="s">
        <v>14</v>
      </c>
      <c r="W15" s="704">
        <f t="shared" si="2"/>
        <v>100</v>
      </c>
      <c r="X15" s="1353"/>
      <c r="Y15" s="3712" t="s">
        <v>1691</v>
      </c>
      <c r="Z15" s="1354" t="str">
        <f t="shared" si="7"/>
        <v>办公集聚程度</v>
      </c>
      <c r="AA15" s="1351">
        <f t="shared" si="3"/>
        <v>1</v>
      </c>
      <c r="AB15" s="1351">
        <f t="shared" si="4"/>
        <v>1</v>
      </c>
      <c r="AC15" s="1960">
        <f t="shared" si="5"/>
        <v>1</v>
      </c>
    </row>
    <row r="16" spans="1:29" ht="15">
      <c r="A16" s="378"/>
      <c r="B16" s="577"/>
      <c r="C16" s="1902" t="s">
        <v>3411</v>
      </c>
      <c r="D16" s="398"/>
      <c r="E16" s="1902" t="s">
        <v>3411</v>
      </c>
      <c r="F16" s="398"/>
      <c r="G16" s="1902" t="s">
        <v>3411</v>
      </c>
      <c r="H16" s="400"/>
      <c r="I16" s="1902" t="s">
        <v>3411</v>
      </c>
      <c r="J16" s="398"/>
      <c r="K16" s="563"/>
      <c r="L16" s="2716"/>
      <c r="M16" s="2710"/>
      <c r="N16" s="2710"/>
      <c r="O16" s="2710"/>
      <c r="P16" s="3711"/>
      <c r="Q16" s="1350"/>
      <c r="R16" s="703"/>
      <c r="S16" s="704"/>
      <c r="T16" s="703"/>
      <c r="U16" s="704"/>
      <c r="V16" s="703"/>
      <c r="W16" s="704"/>
      <c r="X16" s="1353"/>
      <c r="Y16" s="3713"/>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11"/>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960">
        <f t="shared" si="5"/>
        <v>1</v>
      </c>
    </row>
    <row r="18" spans="1:29" ht="15">
      <c r="A18" s="378"/>
      <c r="B18" s="579"/>
      <c r="C18" s="1902" t="s">
        <v>3411</v>
      </c>
      <c r="D18" s="400"/>
      <c r="E18" s="1902" t="s">
        <v>3411</v>
      </c>
      <c r="F18" s="400"/>
      <c r="G18" s="1902" t="s">
        <v>3411</v>
      </c>
      <c r="H18" s="398"/>
      <c r="I18" s="1902" t="s">
        <v>3411</v>
      </c>
      <c r="J18" s="398"/>
      <c r="K18" s="563"/>
      <c r="L18" s="2716"/>
      <c r="M18" s="2710"/>
      <c r="N18" s="2710"/>
      <c r="O18" s="2710"/>
      <c r="P18" s="3711"/>
      <c r="Q18" s="1350"/>
      <c r="R18" s="703"/>
      <c r="S18" s="704"/>
      <c r="T18" s="703"/>
      <c r="U18" s="704"/>
      <c r="V18" s="703"/>
      <c r="W18" s="704"/>
      <c r="X18" s="1353"/>
      <c r="Y18" s="3713"/>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11"/>
      <c r="Q19" s="1350" t="str">
        <f>B19</f>
        <v>公共配套设施</v>
      </c>
      <c r="R19" s="703" t="s">
        <v>14</v>
      </c>
      <c r="S19" s="704">
        <f>F19</f>
        <v>100</v>
      </c>
      <c r="T19" s="703" t="s">
        <v>14</v>
      </c>
      <c r="U19" s="704">
        <f>H19</f>
        <v>100</v>
      </c>
      <c r="V19" s="703" t="s">
        <v>14</v>
      </c>
      <c r="W19" s="704">
        <f>J19</f>
        <v>100</v>
      </c>
      <c r="X19" s="1353"/>
      <c r="Y19" s="3713"/>
      <c r="Z19" s="1354" t="str">
        <f>Q19</f>
        <v>公共配套设施</v>
      </c>
      <c r="AA19" s="1351">
        <f t="shared" si="3"/>
        <v>1</v>
      </c>
      <c r="AB19" s="1351">
        <f t="shared" si="4"/>
        <v>1</v>
      </c>
      <c r="AC19" s="1960">
        <f t="shared" si="5"/>
        <v>1</v>
      </c>
    </row>
    <row r="20" spans="1:29" ht="15">
      <c r="A20" s="378"/>
      <c r="B20" s="579"/>
      <c r="C20" s="1902" t="s">
        <v>3411</v>
      </c>
      <c r="D20" s="398"/>
      <c r="E20" s="1902" t="s">
        <v>3411</v>
      </c>
      <c r="F20" s="398"/>
      <c r="G20" s="1902" t="s">
        <v>3411</v>
      </c>
      <c r="H20" s="398"/>
      <c r="I20" s="1902" t="s">
        <v>3411</v>
      </c>
      <c r="J20" s="398"/>
      <c r="K20" s="563"/>
      <c r="L20" s="2716"/>
      <c r="M20" s="2710"/>
      <c r="N20" s="2710"/>
      <c r="O20" s="2710"/>
      <c r="P20" s="3711"/>
      <c r="Q20" s="1350"/>
      <c r="R20" s="703"/>
      <c r="S20" s="704"/>
      <c r="T20" s="703"/>
      <c r="U20" s="704"/>
      <c r="V20" s="703"/>
      <c r="W20" s="704"/>
      <c r="X20" s="1353"/>
      <c r="Y20" s="3713"/>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11"/>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960">
        <f t="shared" ref="AC21" si="10">D21/J21</f>
        <v>1</v>
      </c>
    </row>
    <row r="22" spans="1:29" ht="15">
      <c r="A22" s="378"/>
      <c r="B22" s="580"/>
      <c r="C22" s="1962" t="s">
        <v>3463</v>
      </c>
      <c r="D22" s="398"/>
      <c r="E22" s="1962" t="s">
        <v>3463</v>
      </c>
      <c r="F22" s="398"/>
      <c r="G22" s="1962" t="s">
        <v>3463</v>
      </c>
      <c r="H22" s="398"/>
      <c r="I22" s="1962" t="s">
        <v>3463</v>
      </c>
      <c r="J22" s="398"/>
      <c r="K22" s="1128"/>
      <c r="L22" s="2716"/>
      <c r="M22" s="2710"/>
      <c r="N22" s="2710"/>
      <c r="O22" s="2710"/>
      <c r="P22" s="3711"/>
      <c r="Q22" s="1350"/>
      <c r="R22" s="703"/>
      <c r="S22" s="704"/>
      <c r="T22" s="703"/>
      <c r="U22" s="704"/>
      <c r="V22" s="703"/>
      <c r="W22" s="704"/>
      <c r="X22" s="1353"/>
      <c r="Y22" s="3713"/>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11"/>
      <c r="Q23" s="1350" t="str">
        <f>B23</f>
        <v>环境质量</v>
      </c>
      <c r="R23" s="703" t="s">
        <v>14</v>
      </c>
      <c r="S23" s="704">
        <f>F23</f>
        <v>100</v>
      </c>
      <c r="T23" s="703" t="s">
        <v>14</v>
      </c>
      <c r="U23" s="704">
        <f>H23</f>
        <v>100</v>
      </c>
      <c r="V23" s="703" t="s">
        <v>14</v>
      </c>
      <c r="W23" s="704">
        <f>J23</f>
        <v>100</v>
      </c>
      <c r="X23" s="1353"/>
      <c r="Y23" s="3713"/>
      <c r="Z23" s="1354" t="str">
        <f>Q23</f>
        <v>环境质量</v>
      </c>
      <c r="AA23" s="1351">
        <f t="shared" si="3"/>
        <v>1</v>
      </c>
      <c r="AB23" s="1351">
        <f t="shared" si="4"/>
        <v>1</v>
      </c>
      <c r="AC23" s="1960">
        <f t="shared" si="5"/>
        <v>1</v>
      </c>
    </row>
    <row r="24" spans="1:29" ht="15">
      <c r="A24" s="378"/>
      <c r="B24" s="580"/>
      <c r="C24" s="1902" t="s">
        <v>3411</v>
      </c>
      <c r="D24" s="398"/>
      <c r="E24" s="1902" t="s">
        <v>3411</v>
      </c>
      <c r="F24" s="398"/>
      <c r="G24" s="1902" t="s">
        <v>3411</v>
      </c>
      <c r="H24" s="398"/>
      <c r="I24" s="1902" t="s">
        <v>3411</v>
      </c>
      <c r="J24" s="398"/>
      <c r="K24" s="563"/>
      <c r="L24" s="2716"/>
      <c r="M24" s="2710"/>
      <c r="N24" s="2710"/>
      <c r="O24" s="2710"/>
      <c r="P24" s="3711"/>
      <c r="Q24" s="1350"/>
      <c r="R24" s="703"/>
      <c r="S24" s="704"/>
      <c r="T24" s="703"/>
      <c r="U24" s="704"/>
      <c r="V24" s="703"/>
      <c r="W24" s="704"/>
      <c r="X24" s="1353"/>
      <c r="Y24" s="3713"/>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11"/>
      <c r="Q25" s="1350" t="str">
        <f>B25</f>
        <v>毗邻道路的类型与等级</v>
      </c>
      <c r="R25" s="703" t="s">
        <v>14</v>
      </c>
      <c r="S25" s="704">
        <f>F25</f>
        <v>100</v>
      </c>
      <c r="T25" s="703" t="s">
        <v>14</v>
      </c>
      <c r="U25" s="704">
        <f>H25</f>
        <v>100</v>
      </c>
      <c r="V25" s="703" t="s">
        <v>14</v>
      </c>
      <c r="W25" s="704">
        <f>J25</f>
        <v>100</v>
      </c>
      <c r="X25" s="1353"/>
      <c r="Y25" s="3713"/>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11"/>
      <c r="Q26" s="1350"/>
      <c r="R26" s="703"/>
      <c r="S26" s="704"/>
      <c r="T26" s="703"/>
      <c r="U26" s="704"/>
      <c r="V26" s="703"/>
      <c r="W26" s="704"/>
      <c r="X26" s="1353"/>
      <c r="Y26" s="3713"/>
      <c r="Z26" s="1354"/>
      <c r="AA26" s="1351">
        <v>1</v>
      </c>
      <c r="AB26" s="1351">
        <v>1</v>
      </c>
      <c r="AC26" s="1960">
        <v>1</v>
      </c>
    </row>
    <row r="27" spans="1:29" ht="15">
      <c r="A27" s="378"/>
      <c r="B27" s="579" t="s">
        <v>1783</v>
      </c>
      <c r="C27" s="581" t="s">
        <v>3487</v>
      </c>
      <c r="D27" s="385">
        <v>100</v>
      </c>
      <c r="E27" s="581" t="s">
        <v>3489</v>
      </c>
      <c r="F27" s="385">
        <f>SUMIF(89:89,E27,90:90)-SUMIF(89:89,C27,90:90)+100</f>
        <v>98</v>
      </c>
      <c r="G27" s="581" t="s">
        <v>3489</v>
      </c>
      <c r="H27" s="385">
        <f>SUMIF(89:89,G27,90:90)-SUMIF(89:89,C27,90:90)+100</f>
        <v>98</v>
      </c>
      <c r="I27" s="581" t="s">
        <v>3487</v>
      </c>
      <c r="J27" s="385">
        <f>SUMIF(89:89,I27,90:90)-SUMIF(89:89,C27,90:90)+100</f>
        <v>100</v>
      </c>
      <c r="K27" s="560">
        <v>2</v>
      </c>
      <c r="L27" s="2716"/>
      <c r="M27" s="2710"/>
      <c r="N27" s="2710"/>
      <c r="O27" s="2710"/>
      <c r="P27" s="3711"/>
      <c r="Q27" s="1350" t="str">
        <f t="shared" ref="Q27:Q47" si="11">B27</f>
        <v>楼层</v>
      </c>
      <c r="R27" s="703" t="s">
        <v>14</v>
      </c>
      <c r="S27" s="704">
        <f>F27</f>
        <v>98</v>
      </c>
      <c r="T27" s="703" t="s">
        <v>14</v>
      </c>
      <c r="U27" s="704">
        <f>H27</f>
        <v>98</v>
      </c>
      <c r="V27" s="703" t="s">
        <v>14</v>
      </c>
      <c r="W27" s="704">
        <f>J27</f>
        <v>100</v>
      </c>
      <c r="X27" s="1353"/>
      <c r="Y27" s="3713"/>
      <c r="Z27" s="1354" t="str">
        <f>Q27</f>
        <v>楼层</v>
      </c>
      <c r="AA27" s="1351">
        <f t="shared" si="3"/>
        <v>1.0204081632653061</v>
      </c>
      <c r="AB27" s="1351">
        <f t="shared" si="4"/>
        <v>1.0204081632653061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11"/>
      <c r="Q28" s="1341" t="str">
        <f t="shared" si="11"/>
        <v>朝向</v>
      </c>
      <c r="R28" s="699" t="s">
        <v>14</v>
      </c>
      <c r="S28" s="700">
        <f>F28</f>
        <v>100</v>
      </c>
      <c r="T28" s="699" t="s">
        <v>14</v>
      </c>
      <c r="U28" s="700">
        <f>H28</f>
        <v>100</v>
      </c>
      <c r="V28" s="699" t="s">
        <v>14</v>
      </c>
      <c r="W28" s="700">
        <f>J28</f>
        <v>100</v>
      </c>
      <c r="X28" s="701"/>
      <c r="Y28" s="3713"/>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11"/>
      <c r="Q29" s="1350">
        <f t="shared" si="11"/>
        <v>111</v>
      </c>
      <c r="R29" s="703" t="s">
        <v>14</v>
      </c>
      <c r="S29" s="704">
        <f t="shared" ref="S29:S47" si="12">F29</f>
        <v>100</v>
      </c>
      <c r="T29" s="703" t="s">
        <v>14</v>
      </c>
      <c r="U29" s="704">
        <f t="shared" ref="U29:U47" si="13">H29</f>
        <v>100</v>
      </c>
      <c r="V29" s="703" t="s">
        <v>14</v>
      </c>
      <c r="W29" s="704">
        <f t="shared" ref="W29:W47" si="14">J29</f>
        <v>100</v>
      </c>
      <c r="X29" s="1353"/>
      <c r="Y29" s="3713"/>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11"/>
      <c r="Q30" s="1350">
        <f t="shared" si="11"/>
        <v>111</v>
      </c>
      <c r="R30" s="703" t="s">
        <v>14</v>
      </c>
      <c r="S30" s="704">
        <f t="shared" si="12"/>
        <v>100</v>
      </c>
      <c r="T30" s="703" t="s">
        <v>14</v>
      </c>
      <c r="U30" s="704">
        <f t="shared" si="13"/>
        <v>100</v>
      </c>
      <c r="V30" s="703" t="s">
        <v>14</v>
      </c>
      <c r="W30" s="704">
        <f t="shared" si="14"/>
        <v>100</v>
      </c>
      <c r="X30" s="1353"/>
      <c r="Y30" s="3713"/>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11"/>
      <c r="Q31" s="1350">
        <f t="shared" si="11"/>
        <v>111</v>
      </c>
      <c r="R31" s="703" t="s">
        <v>14</v>
      </c>
      <c r="S31" s="704">
        <f t="shared" si="12"/>
        <v>100</v>
      </c>
      <c r="T31" s="703" t="s">
        <v>14</v>
      </c>
      <c r="U31" s="704">
        <f t="shared" si="13"/>
        <v>100</v>
      </c>
      <c r="V31" s="703" t="s">
        <v>14</v>
      </c>
      <c r="W31" s="704">
        <f t="shared" si="14"/>
        <v>100</v>
      </c>
      <c r="X31" s="1353"/>
      <c r="Y31" s="3713"/>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11"/>
      <c r="Q32" s="1350">
        <f t="shared" si="11"/>
        <v>111</v>
      </c>
      <c r="R32" s="703" t="s">
        <v>14</v>
      </c>
      <c r="S32" s="704">
        <f t="shared" si="12"/>
        <v>100</v>
      </c>
      <c r="T32" s="703" t="s">
        <v>14</v>
      </c>
      <c r="U32" s="704">
        <f t="shared" si="13"/>
        <v>100</v>
      </c>
      <c r="V32" s="703" t="s">
        <v>14</v>
      </c>
      <c r="W32" s="704">
        <f t="shared" si="14"/>
        <v>100</v>
      </c>
      <c r="X32" s="1353"/>
      <c r="Y32" s="3713"/>
      <c r="Z32" s="1354">
        <f t="shared" si="15"/>
        <v>111</v>
      </c>
      <c r="AA32" s="1351">
        <f t="shared" si="3"/>
        <v>1</v>
      </c>
      <c r="AB32" s="1351">
        <f t="shared" si="4"/>
        <v>1</v>
      </c>
      <c r="AC32" s="1960">
        <f t="shared" si="5"/>
        <v>1</v>
      </c>
    </row>
    <row r="33" spans="1:29" ht="15">
      <c r="A33" s="390" t="s">
        <v>1694</v>
      </c>
      <c r="B33" s="63" t="s">
        <v>1817</v>
      </c>
      <c r="C33" s="1965" t="s">
        <v>3479</v>
      </c>
      <c r="D33" s="417">
        <v>100</v>
      </c>
      <c r="E33" s="1965" t="s">
        <v>3479</v>
      </c>
      <c r="F33" s="411">
        <f>SUMIF(101:101,E33,102:102)-SUMIF(101:101,C33,102:102)+100</f>
        <v>100</v>
      </c>
      <c r="G33" s="1965" t="s">
        <v>3479</v>
      </c>
      <c r="H33" s="385">
        <f>SUMIF(101:101,G33,102:102)-SUMIF(101:101,C33,102:102)+100</f>
        <v>100</v>
      </c>
      <c r="I33" s="1965" t="s">
        <v>3479</v>
      </c>
      <c r="J33" s="417">
        <f>SUMIF(101:101,I33,102:102)-SUMIF(101:101,C33,102:102)+100</f>
        <v>100</v>
      </c>
      <c r="K33" s="560">
        <v>5</v>
      </c>
      <c r="L33" s="2716"/>
      <c r="M33" s="2710"/>
      <c r="N33" s="2710"/>
      <c r="O33" s="2710"/>
      <c r="P33" s="3714" t="s">
        <v>1696</v>
      </c>
      <c r="Q33" s="1350" t="str">
        <f t="shared" si="11"/>
        <v>建筑类型</v>
      </c>
      <c r="R33" s="703" t="s">
        <v>14</v>
      </c>
      <c r="S33" s="704">
        <f t="shared" si="12"/>
        <v>100</v>
      </c>
      <c r="T33" s="703" t="s">
        <v>14</v>
      </c>
      <c r="U33" s="704">
        <f t="shared" si="13"/>
        <v>100</v>
      </c>
      <c r="V33" s="703" t="s">
        <v>14</v>
      </c>
      <c r="W33" s="704">
        <f t="shared" si="14"/>
        <v>100</v>
      </c>
      <c r="X33" s="1353"/>
      <c r="Y33" s="3717" t="s">
        <v>1696</v>
      </c>
      <c r="Z33" s="1354" t="str">
        <f t="shared" si="15"/>
        <v>建筑类型</v>
      </c>
      <c r="AA33" s="1351">
        <f t="shared" si="3"/>
        <v>1</v>
      </c>
      <c r="AB33" s="1351">
        <f t="shared" si="4"/>
        <v>1</v>
      </c>
      <c r="AC33" s="1960">
        <f t="shared" si="5"/>
        <v>1</v>
      </c>
    </row>
    <row r="34" spans="1:29" s="421" customFormat="1" ht="15">
      <c r="A34" s="418"/>
      <c r="B34" s="374" t="s">
        <v>1697</v>
      </c>
      <c r="C34" s="419">
        <f>'数据-汇总表'!E3</f>
        <v>61.42</v>
      </c>
      <c r="D34" s="126">
        <v>100</v>
      </c>
      <c r="E34" s="419">
        <v>140</v>
      </c>
      <c r="F34" s="375">
        <f>LOOKUP(E34,104:104,105:105)-LOOKUP(C34,104:104,105:105)+100</f>
        <v>99</v>
      </c>
      <c r="G34" s="419">
        <v>282.58999999999997</v>
      </c>
      <c r="H34" s="126">
        <f>LOOKUP(G34,104:104,105:105)-LOOKUP(C34,104:104,105:105)+100</f>
        <v>98</v>
      </c>
      <c r="I34" s="419">
        <v>137</v>
      </c>
      <c r="J34" s="126">
        <f>LOOKUP(I34,104:104,105:105)-LOOKUP(C34,104:104,105:105)+100</f>
        <v>99</v>
      </c>
      <c r="K34" s="561"/>
      <c r="L34" s="2715"/>
      <c r="M34" s="2717"/>
      <c r="N34" s="2717"/>
      <c r="O34" s="2717"/>
      <c r="P34" s="3715"/>
      <c r="Q34" s="705" t="str">
        <f t="shared" si="11"/>
        <v>项目建筑规模</v>
      </c>
      <c r="R34" s="706" t="s">
        <v>14</v>
      </c>
      <c r="S34" s="707">
        <f t="shared" si="12"/>
        <v>99</v>
      </c>
      <c r="T34" s="706" t="s">
        <v>14</v>
      </c>
      <c r="U34" s="707">
        <f t="shared" si="13"/>
        <v>98</v>
      </c>
      <c r="V34" s="706" t="s">
        <v>14</v>
      </c>
      <c r="W34" s="707">
        <f t="shared" si="14"/>
        <v>99</v>
      </c>
      <c r="X34" s="708"/>
      <c r="Y34" s="3717"/>
      <c r="Z34" s="709" t="str">
        <f t="shared" si="15"/>
        <v>项目建筑规模</v>
      </c>
      <c r="AA34" s="1351">
        <f t="shared" si="3"/>
        <v>1.0101010101010102</v>
      </c>
      <c r="AB34" s="1351">
        <f t="shared" si="4"/>
        <v>1.0204081632653061</v>
      </c>
      <c r="AC34" s="1960">
        <f t="shared" si="5"/>
        <v>1.0101010101010102</v>
      </c>
    </row>
    <row r="35" spans="1:29" ht="15">
      <c r="A35" s="422"/>
      <c r="B35" s="374" t="s">
        <v>1698</v>
      </c>
      <c r="C35" s="410" t="s">
        <v>3435</v>
      </c>
      <c r="D35" s="385">
        <v>100</v>
      </c>
      <c r="E35" s="410" t="s">
        <v>3435</v>
      </c>
      <c r="F35" s="411">
        <f>SUMIF(106:106,E35,107:107)-SUMIF(106:106,C35,107:107)+100</f>
        <v>100</v>
      </c>
      <c r="G35" s="410" t="s">
        <v>3435</v>
      </c>
      <c r="H35" s="385">
        <f>SUMIF(106:106,G35,107:107)-SUMIF(106:106,C35,107:107)+100</f>
        <v>100</v>
      </c>
      <c r="I35" s="410" t="s">
        <v>3435</v>
      </c>
      <c r="J35" s="385">
        <f>SUMIF(106:106,I35,107:107)-SUMIF(106:106,C35,107:107)+100</f>
        <v>100</v>
      </c>
      <c r="K35" s="560">
        <v>1</v>
      </c>
      <c r="L35" s="2716"/>
      <c r="M35" s="2710"/>
      <c r="N35" s="2710"/>
      <c r="O35" s="2710"/>
      <c r="P35" s="3715"/>
      <c r="Q35" s="1350" t="str">
        <f t="shared" si="11"/>
        <v>建筑结构</v>
      </c>
      <c r="R35" s="703" t="s">
        <v>14</v>
      </c>
      <c r="S35" s="704">
        <f t="shared" si="12"/>
        <v>100</v>
      </c>
      <c r="T35" s="703" t="s">
        <v>14</v>
      </c>
      <c r="U35" s="704">
        <f t="shared" si="13"/>
        <v>100</v>
      </c>
      <c r="V35" s="703" t="s">
        <v>14</v>
      </c>
      <c r="W35" s="704">
        <f t="shared" si="14"/>
        <v>100</v>
      </c>
      <c r="X35" s="1353"/>
      <c r="Y35" s="3717"/>
      <c r="Z35" s="1354" t="str">
        <f t="shared" si="15"/>
        <v>建筑结构</v>
      </c>
      <c r="AA35" s="1351">
        <f t="shared" si="3"/>
        <v>1</v>
      </c>
      <c r="AB35" s="1351">
        <f t="shared" si="4"/>
        <v>1</v>
      </c>
      <c r="AC35" s="1960">
        <f t="shared" si="5"/>
        <v>1</v>
      </c>
    </row>
    <row r="36" spans="1:29" ht="15">
      <c r="A36" s="422"/>
      <c r="B36" s="374" t="s">
        <v>1785</v>
      </c>
      <c r="C36" s="410" t="s">
        <v>3454</v>
      </c>
      <c r="D36" s="385">
        <v>100</v>
      </c>
      <c r="E36" s="410" t="s">
        <v>3454</v>
      </c>
      <c r="F36" s="411">
        <f>SUMIF(108:108,E36,109:109)-SUMIF(108:108,C36,109:109)+100</f>
        <v>100</v>
      </c>
      <c r="G36" s="410" t="s">
        <v>3454</v>
      </c>
      <c r="H36" s="385">
        <f>SUMIF(108:108,G36,109:109)-SUMIF(108:108,C36,109:109)+100</f>
        <v>100</v>
      </c>
      <c r="I36" s="410" t="s">
        <v>3454</v>
      </c>
      <c r="J36" s="385">
        <f>SUMIF(108:108,I36,109:109)-SUMIF(108:108,C36,109:109)+100</f>
        <v>100</v>
      </c>
      <c r="K36" s="560">
        <v>2</v>
      </c>
      <c r="L36" s="2716"/>
      <c r="M36" s="2710"/>
      <c r="N36" s="2710"/>
      <c r="O36" s="2710"/>
      <c r="P36" s="3715"/>
      <c r="Q36" s="1350" t="str">
        <f t="shared" si="11"/>
        <v>公共部分装修</v>
      </c>
      <c r="R36" s="703" t="s">
        <v>14</v>
      </c>
      <c r="S36" s="704">
        <f t="shared" si="12"/>
        <v>100</v>
      </c>
      <c r="T36" s="703" t="s">
        <v>14</v>
      </c>
      <c r="U36" s="704">
        <f t="shared" si="13"/>
        <v>100</v>
      </c>
      <c r="V36" s="703" t="s">
        <v>14</v>
      </c>
      <c r="W36" s="704">
        <f t="shared" si="14"/>
        <v>100</v>
      </c>
      <c r="X36" s="1353"/>
      <c r="Y36" s="3717"/>
      <c r="Z36" s="1354" t="str">
        <f t="shared" si="15"/>
        <v>公共部分装修</v>
      </c>
      <c r="AA36" s="1351">
        <f t="shared" si="3"/>
        <v>1</v>
      </c>
      <c r="AB36" s="1351">
        <f t="shared" si="4"/>
        <v>1</v>
      </c>
      <c r="AC36" s="1960">
        <f t="shared" si="5"/>
        <v>1</v>
      </c>
    </row>
    <row r="37" spans="1:29" ht="15">
      <c r="A37" s="422"/>
      <c r="B37" s="374" t="s">
        <v>1786</v>
      </c>
      <c r="C37" s="424">
        <f>'数据-取费表'!N6</f>
        <v>0.79</v>
      </c>
      <c r="D37" s="385">
        <v>100</v>
      </c>
      <c r="E37" s="424">
        <v>0.79</v>
      </c>
      <c r="F37" s="411">
        <f>LOOKUP(E37,111:111,112:112)-LOOKUP(C37,111:111,112:112)+100</f>
        <v>100</v>
      </c>
      <c r="G37" s="424">
        <v>0.84</v>
      </c>
      <c r="H37" s="411">
        <f>LOOKUP(G37,111:111,112:112)-LOOKUP(C37,111:111,112:112)+100</f>
        <v>102</v>
      </c>
      <c r="I37" s="424">
        <v>0.84</v>
      </c>
      <c r="J37" s="385">
        <f>LOOKUP(I37,111:111,112:112)-LOOKUP(C37,111:111,112:112)+100</f>
        <v>102</v>
      </c>
      <c r="K37" s="560">
        <v>2</v>
      </c>
      <c r="L37" s="2716"/>
      <c r="M37" s="2710"/>
      <c r="N37" s="2710"/>
      <c r="O37" s="2710"/>
      <c r="P37" s="3715"/>
      <c r="Q37" s="1350" t="str">
        <f t="shared" si="11"/>
        <v>成新度</v>
      </c>
      <c r="R37" s="703" t="s">
        <v>14</v>
      </c>
      <c r="S37" s="704">
        <f t="shared" si="12"/>
        <v>100</v>
      </c>
      <c r="T37" s="703" t="s">
        <v>14</v>
      </c>
      <c r="U37" s="704">
        <f t="shared" si="13"/>
        <v>102</v>
      </c>
      <c r="V37" s="703" t="s">
        <v>14</v>
      </c>
      <c r="W37" s="704">
        <f t="shared" si="14"/>
        <v>102</v>
      </c>
      <c r="X37" s="1353"/>
      <c r="Y37" s="3717"/>
      <c r="Z37" s="1354" t="str">
        <f t="shared" si="15"/>
        <v>成新度</v>
      </c>
      <c r="AA37" s="1351">
        <f t="shared" si="3"/>
        <v>1</v>
      </c>
      <c r="AB37" s="1351">
        <f t="shared" si="4"/>
        <v>0.98039215686274506</v>
      </c>
      <c r="AC37" s="1960">
        <f t="shared" si="5"/>
        <v>0.98039215686274506</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15"/>
      <c r="Q38" s="1341" t="str">
        <f t="shared" si="11"/>
        <v>写字楼等级</v>
      </c>
      <c r="R38" s="699" t="s">
        <v>14</v>
      </c>
      <c r="S38" s="700">
        <f t="shared" si="12"/>
        <v>100</v>
      </c>
      <c r="T38" s="699" t="s">
        <v>14</v>
      </c>
      <c r="U38" s="700">
        <f t="shared" si="13"/>
        <v>100</v>
      </c>
      <c r="V38" s="699" t="s">
        <v>14</v>
      </c>
      <c r="W38" s="700">
        <f t="shared" si="14"/>
        <v>100</v>
      </c>
      <c r="X38" s="701"/>
      <c r="Y38" s="3717"/>
      <c r="Z38" s="52" t="str">
        <f t="shared" si="15"/>
        <v>写字楼等级</v>
      </c>
      <c r="AA38" s="702">
        <f t="shared" si="3"/>
        <v>1</v>
      </c>
      <c r="AB38" s="702">
        <f t="shared" si="4"/>
        <v>1</v>
      </c>
      <c r="AC38" s="1957">
        <f t="shared" si="5"/>
        <v>1</v>
      </c>
    </row>
    <row r="39" spans="1:29" ht="15" hidden="1">
      <c r="A39" s="422"/>
      <c r="B39" s="374" t="s">
        <v>1819</v>
      </c>
      <c r="C39" s="410" t="s">
        <v>3470</v>
      </c>
      <c r="D39" s="385">
        <v>100</v>
      </c>
      <c r="E39" s="410" t="s">
        <v>3470</v>
      </c>
      <c r="F39" s="411">
        <f>SUMIF(115:115,E39,116:116)-SUMIF(115:115,C39,116:116)+100</f>
        <v>100</v>
      </c>
      <c r="G39" s="410" t="s">
        <v>3470</v>
      </c>
      <c r="H39" s="385">
        <f>SUMIF(115:115,G39,116:116)-SUMIF(115:115,C39,116:116)+100</f>
        <v>100</v>
      </c>
      <c r="I39" s="410" t="s">
        <v>3470</v>
      </c>
      <c r="J39" s="385">
        <f>SUMIF(115:115,I39,116:116)-SUMIF(115:115,C39,116:116)+100</f>
        <v>100</v>
      </c>
      <c r="K39" s="560">
        <v>0</v>
      </c>
      <c r="L39" s="2716"/>
      <c r="M39" s="2710"/>
      <c r="N39" s="2710"/>
      <c r="O39" s="2710"/>
      <c r="P39" s="3715" t="s">
        <v>1696</v>
      </c>
      <c r="Q39" s="1350" t="str">
        <f t="shared" si="11"/>
        <v>物业管理</v>
      </c>
      <c r="R39" s="703" t="s">
        <v>14</v>
      </c>
      <c r="S39" s="704">
        <f t="shared" si="12"/>
        <v>100</v>
      </c>
      <c r="T39" s="703" t="s">
        <v>14</v>
      </c>
      <c r="U39" s="704">
        <f t="shared" si="13"/>
        <v>100</v>
      </c>
      <c r="V39" s="703" t="s">
        <v>14</v>
      </c>
      <c r="W39" s="704">
        <f t="shared" si="14"/>
        <v>100</v>
      </c>
      <c r="X39" s="1353"/>
      <c r="Y39" s="3717" t="s">
        <v>1696</v>
      </c>
      <c r="Z39" s="1354" t="str">
        <f t="shared" si="15"/>
        <v>物业管理</v>
      </c>
      <c r="AA39" s="1351">
        <f t="shared" si="3"/>
        <v>1</v>
      </c>
      <c r="AB39" s="1351">
        <f t="shared" si="4"/>
        <v>1</v>
      </c>
      <c r="AC39" s="1960">
        <f t="shared" si="5"/>
        <v>1</v>
      </c>
    </row>
    <row r="40" spans="1:29" ht="15" hidden="1">
      <c r="A40" s="422"/>
      <c r="B40" s="374" t="s">
        <v>1787</v>
      </c>
      <c r="C40" s="410" t="s">
        <v>3465</v>
      </c>
      <c r="D40" s="385">
        <v>100</v>
      </c>
      <c r="E40" s="410" t="s">
        <v>3465</v>
      </c>
      <c r="F40" s="411">
        <f>SUMIF(117:117,E40,118:118)-SUMIF(117:117,C40,118:118)+100</f>
        <v>100</v>
      </c>
      <c r="G40" s="410" t="s">
        <v>3465</v>
      </c>
      <c r="H40" s="385">
        <f>SUMIF(117:117,G40,118:118)-SUMIF(117:117,C40,118:118)+100</f>
        <v>100</v>
      </c>
      <c r="I40" s="410" t="s">
        <v>3465</v>
      </c>
      <c r="J40" s="385">
        <f>SUMIF(117:117,I40,118:118)-SUMIF(117:117,C40,118:118)+100</f>
        <v>100</v>
      </c>
      <c r="K40" s="560">
        <v>0</v>
      </c>
      <c r="L40" s="2716"/>
      <c r="M40" s="2710"/>
      <c r="N40" s="2710"/>
      <c r="O40" s="2710"/>
      <c r="P40" s="3715"/>
      <c r="Q40" s="1350" t="str">
        <f t="shared" si="11"/>
        <v>市政基础设施</v>
      </c>
      <c r="R40" s="703" t="s">
        <v>14</v>
      </c>
      <c r="S40" s="704">
        <f t="shared" si="12"/>
        <v>100</v>
      </c>
      <c r="T40" s="703" t="s">
        <v>14</v>
      </c>
      <c r="U40" s="704">
        <f t="shared" si="13"/>
        <v>100</v>
      </c>
      <c r="V40" s="703" t="s">
        <v>14</v>
      </c>
      <c r="W40" s="704">
        <f t="shared" si="14"/>
        <v>100</v>
      </c>
      <c r="X40" s="1353"/>
      <c r="Y40" s="3717"/>
      <c r="Z40" s="1354" t="str">
        <f t="shared" si="15"/>
        <v>市政基础设施</v>
      </c>
      <c r="AA40" s="1351">
        <f t="shared" si="3"/>
        <v>1</v>
      </c>
      <c r="AB40" s="1351">
        <f t="shared" si="4"/>
        <v>1</v>
      </c>
      <c r="AC40" s="1960">
        <f t="shared" si="5"/>
        <v>1</v>
      </c>
    </row>
    <row r="41" spans="1:29" ht="15">
      <c r="A41" s="422"/>
      <c r="B41" s="374" t="s">
        <v>1789</v>
      </c>
      <c r="C41" s="564" t="s">
        <v>3461</v>
      </c>
      <c r="D41" s="385">
        <v>100</v>
      </c>
      <c r="E41" s="564" t="s">
        <v>3461</v>
      </c>
      <c r="F41" s="411">
        <f>SUMIF(119:119,E41,120:120)-SUMIF(119:119,C41,120:120)+100</f>
        <v>100</v>
      </c>
      <c r="G41" s="564" t="s">
        <v>3461</v>
      </c>
      <c r="H41" s="385">
        <f>SUMIF(119:119,G41,120:120)-SUMIF(119:119,C41,120:120)+100</f>
        <v>100</v>
      </c>
      <c r="I41" s="564" t="s">
        <v>3461</v>
      </c>
      <c r="J41" s="385">
        <f>SUMIF(119:119,I41,120:120)-SUMIF(119:119,C41,120:120)+100</f>
        <v>100</v>
      </c>
      <c r="K41" s="560">
        <v>2</v>
      </c>
      <c r="L41" s="2716"/>
      <c r="M41" s="2710"/>
      <c r="N41" s="2710"/>
      <c r="O41" s="2710"/>
      <c r="P41" s="3715"/>
      <c r="Q41" s="1350" t="str">
        <f t="shared" si="11"/>
        <v>层高</v>
      </c>
      <c r="R41" s="703" t="s">
        <v>14</v>
      </c>
      <c r="S41" s="704">
        <f t="shared" si="12"/>
        <v>100</v>
      </c>
      <c r="T41" s="703" t="s">
        <v>14</v>
      </c>
      <c r="U41" s="704">
        <f t="shared" si="13"/>
        <v>100</v>
      </c>
      <c r="V41" s="703" t="s">
        <v>14</v>
      </c>
      <c r="W41" s="704">
        <f t="shared" si="14"/>
        <v>100</v>
      </c>
      <c r="X41" s="1353"/>
      <c r="Y41" s="3717"/>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15"/>
      <c r="Q42" s="705" t="str">
        <f t="shared" si="11"/>
        <v>单套建筑面积</v>
      </c>
      <c r="R42" s="706" t="s">
        <v>14</v>
      </c>
      <c r="S42" s="707">
        <f t="shared" si="12"/>
        <v>100</v>
      </c>
      <c r="T42" s="706" t="s">
        <v>14</v>
      </c>
      <c r="U42" s="707">
        <f t="shared" si="13"/>
        <v>100</v>
      </c>
      <c r="V42" s="706" t="s">
        <v>14</v>
      </c>
      <c r="W42" s="707">
        <f t="shared" si="14"/>
        <v>100</v>
      </c>
      <c r="X42" s="708"/>
      <c r="Y42" s="3717"/>
      <c r="Z42" s="709" t="str">
        <f t="shared" si="15"/>
        <v>单套建筑面积</v>
      </c>
      <c r="AA42" s="1351">
        <f t="shared" si="3"/>
        <v>1</v>
      </c>
      <c r="AB42" s="1351">
        <f t="shared" si="4"/>
        <v>1</v>
      </c>
      <c r="AC42" s="1960">
        <f t="shared" si="5"/>
        <v>1</v>
      </c>
    </row>
    <row r="43" spans="1:29" ht="15">
      <c r="A43" s="422"/>
      <c r="B43" s="374" t="s">
        <v>1792</v>
      </c>
      <c r="C43" s="410" t="s">
        <v>3456</v>
      </c>
      <c r="D43" s="385">
        <v>100</v>
      </c>
      <c r="E43" s="410" t="s">
        <v>3458</v>
      </c>
      <c r="F43" s="411">
        <f>SUMIF(123:123,E43,124:124)-SUMIF(123:123,C43,124:124)+100</f>
        <v>98</v>
      </c>
      <c r="G43" s="410" t="s">
        <v>3454</v>
      </c>
      <c r="H43" s="385">
        <f>SUMIF(123:123,G43,124:124)-SUMIF(123:123,C43,124:124)+100</f>
        <v>102</v>
      </c>
      <c r="I43" s="410" t="s">
        <v>3454</v>
      </c>
      <c r="J43" s="385">
        <f>SUMIF(123:123,I43,124:124)-SUMIF(123:123,C43,124:124)+100</f>
        <v>102</v>
      </c>
      <c r="K43" s="560">
        <v>2</v>
      </c>
      <c r="L43" s="2716"/>
      <c r="M43" s="2710"/>
      <c r="N43" s="2710"/>
      <c r="O43" s="2710"/>
      <c r="P43" s="3715"/>
      <c r="Q43" s="1350" t="str">
        <f t="shared" si="11"/>
        <v>内部装修</v>
      </c>
      <c r="R43" s="703" t="s">
        <v>14</v>
      </c>
      <c r="S43" s="704">
        <f t="shared" si="12"/>
        <v>98</v>
      </c>
      <c r="T43" s="703" t="s">
        <v>14</v>
      </c>
      <c r="U43" s="704">
        <f t="shared" si="13"/>
        <v>102</v>
      </c>
      <c r="V43" s="703" t="s">
        <v>14</v>
      </c>
      <c r="W43" s="704">
        <f t="shared" si="14"/>
        <v>102</v>
      </c>
      <c r="X43" s="1353"/>
      <c r="Y43" s="3717"/>
      <c r="Z43" s="1354" t="str">
        <f t="shared" si="15"/>
        <v>内部装修</v>
      </c>
      <c r="AA43" s="1351">
        <f t="shared" si="3"/>
        <v>1.0204081632653061</v>
      </c>
      <c r="AB43" s="1351">
        <f t="shared" si="4"/>
        <v>0.98039215686274506</v>
      </c>
      <c r="AC43" s="1960">
        <f t="shared" si="5"/>
        <v>0.98039215686274506</v>
      </c>
    </row>
    <row r="44" spans="1:29" ht="15">
      <c r="A44" s="422"/>
      <c r="B44" s="374" t="s">
        <v>1707</v>
      </c>
      <c r="C44" s="3481" t="s">
        <v>3410</v>
      </c>
      <c r="D44" s="385">
        <v>100</v>
      </c>
      <c r="E44" s="410" t="s">
        <v>3411</v>
      </c>
      <c r="F44" s="411">
        <f>SUMIF(125:125,E44,126:126)-SUMIF(125:125,C44,126:126)+100</f>
        <v>103</v>
      </c>
      <c r="G44" s="410" t="s">
        <v>3411</v>
      </c>
      <c r="H44" s="385">
        <f>SUMIF(125:125,G44,126:126)-SUMIF(125:125,C44,126:126)+100</f>
        <v>103</v>
      </c>
      <c r="I44" s="410" t="s">
        <v>3411</v>
      </c>
      <c r="J44" s="385">
        <f>SUMIF(125:125,I44,126:126)-SUMIF(125:125,C44,126:126)+100</f>
        <v>103</v>
      </c>
      <c r="K44" s="560">
        <v>3</v>
      </c>
      <c r="L44" s="2716"/>
      <c r="M44" s="2710"/>
      <c r="N44" s="2710"/>
      <c r="O44" s="2710"/>
      <c r="P44" s="3715"/>
      <c r="Q44" s="1350" t="str">
        <f t="shared" si="11"/>
        <v>内部装修维护情况</v>
      </c>
      <c r="R44" s="703" t="s">
        <v>14</v>
      </c>
      <c r="S44" s="704">
        <f t="shared" si="12"/>
        <v>103</v>
      </c>
      <c r="T44" s="703" t="s">
        <v>14</v>
      </c>
      <c r="U44" s="704">
        <f t="shared" si="13"/>
        <v>103</v>
      </c>
      <c r="V44" s="703" t="s">
        <v>14</v>
      </c>
      <c r="W44" s="704">
        <f t="shared" si="14"/>
        <v>103</v>
      </c>
      <c r="X44" s="1353"/>
      <c r="Y44" s="3717"/>
      <c r="Z44" s="1354" t="str">
        <f t="shared" si="15"/>
        <v>内部装修维护情况</v>
      </c>
      <c r="AA44" s="1351">
        <f t="shared" si="3"/>
        <v>0.970873786407767</v>
      </c>
      <c r="AB44" s="1351">
        <f t="shared" si="4"/>
        <v>0.970873786407767</v>
      </c>
      <c r="AC44" s="1960">
        <f t="shared" si="5"/>
        <v>0.970873786407767</v>
      </c>
    </row>
    <row r="45" spans="1:29" s="107" customFormat="1" ht="15" hidden="1">
      <c r="A45" s="423"/>
      <c r="B45" s="3471" t="s">
        <v>3476</v>
      </c>
      <c r="C45" s="419">
        <v>2002</v>
      </c>
      <c r="D45" s="126">
        <v>100</v>
      </c>
      <c r="E45" s="382" t="s">
        <v>3480</v>
      </c>
      <c r="F45" s="375">
        <f>SUMIF(127:127,E45,128:128)-SUMIF(127:127,C45,128:128)+100</f>
        <v>100</v>
      </c>
      <c r="G45" s="382" t="s">
        <v>3478</v>
      </c>
      <c r="H45" s="126">
        <f>SUMIF(127:127,G45,128:128)-SUMIF(127:127,C45,128:128)+100</f>
        <v>100</v>
      </c>
      <c r="I45" s="382">
        <v>2014</v>
      </c>
      <c r="J45" s="126">
        <f>SUMIF(127:127,I45,128:128)-SUMIF(127:127,C45,128:128)+100</f>
        <v>100</v>
      </c>
      <c r="K45" s="561"/>
      <c r="L45" s="2711"/>
      <c r="M45" s="2712"/>
      <c r="N45" s="2712"/>
      <c r="O45" s="2712"/>
      <c r="P45" s="3715"/>
      <c r="Q45" s="1341" t="str">
        <f t="shared" si="11"/>
        <v>建成年代</v>
      </c>
      <c r="R45" s="699" t="s">
        <v>14</v>
      </c>
      <c r="S45" s="700">
        <f t="shared" si="12"/>
        <v>100</v>
      </c>
      <c r="T45" s="699" t="s">
        <v>14</v>
      </c>
      <c r="U45" s="700">
        <f t="shared" si="13"/>
        <v>100</v>
      </c>
      <c r="V45" s="699" t="s">
        <v>14</v>
      </c>
      <c r="W45" s="700">
        <f t="shared" si="14"/>
        <v>100</v>
      </c>
      <c r="X45" s="701"/>
      <c r="Y45" s="3717"/>
      <c r="Z45" s="52" t="str">
        <f t="shared" si="15"/>
        <v>建成年代</v>
      </c>
      <c r="AA45" s="702">
        <f t="shared" si="3"/>
        <v>1</v>
      </c>
      <c r="AB45" s="702">
        <f t="shared" si="4"/>
        <v>1</v>
      </c>
      <c r="AC45" s="1957">
        <f t="shared" si="5"/>
        <v>1</v>
      </c>
    </row>
    <row r="46" spans="1:29" ht="15" hidden="1">
      <c r="A46" s="422"/>
      <c r="B46" s="3471" t="s">
        <v>3485</v>
      </c>
      <c r="C46" s="3480" t="s">
        <v>3483</v>
      </c>
      <c r="D46" s="385">
        <v>100</v>
      </c>
      <c r="E46" s="3479" t="s">
        <v>3484</v>
      </c>
      <c r="F46" s="411">
        <f>SUMIF(129:129,E46,130:130)-SUMIF(129:129,C46,130:130)+100</f>
        <v>100</v>
      </c>
      <c r="G46" s="3479" t="s">
        <v>3484</v>
      </c>
      <c r="H46" s="385">
        <f>SUMIF(129:129,G46,130:130)-SUMIF(129:129,C46,130:130)+100</f>
        <v>100</v>
      </c>
      <c r="I46" s="3479" t="s">
        <v>3484</v>
      </c>
      <c r="J46" s="385">
        <f>SUMIF(129:129,I46,130:130)-SUMIF(129:129,C46,130:130)+100</f>
        <v>100</v>
      </c>
      <c r="K46" s="561"/>
      <c r="L46" s="2716"/>
      <c r="M46" s="2710"/>
      <c r="N46" s="2710"/>
      <c r="O46" s="2710"/>
      <c r="P46" s="3715"/>
      <c r="Q46" s="1350" t="str">
        <f t="shared" si="11"/>
        <v>户型</v>
      </c>
      <c r="R46" s="703" t="s">
        <v>14</v>
      </c>
      <c r="S46" s="704">
        <f t="shared" si="12"/>
        <v>100</v>
      </c>
      <c r="T46" s="703" t="s">
        <v>14</v>
      </c>
      <c r="U46" s="704">
        <f t="shared" si="13"/>
        <v>100</v>
      </c>
      <c r="V46" s="703" t="s">
        <v>14</v>
      </c>
      <c r="W46" s="704">
        <f t="shared" si="14"/>
        <v>100</v>
      </c>
      <c r="X46" s="1353"/>
      <c r="Y46" s="3717"/>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16"/>
      <c r="Q47" s="1350">
        <f t="shared" si="11"/>
        <v>111</v>
      </c>
      <c r="R47" s="703" t="s">
        <v>14</v>
      </c>
      <c r="S47" s="704">
        <f t="shared" si="12"/>
        <v>100</v>
      </c>
      <c r="T47" s="703" t="s">
        <v>14</v>
      </c>
      <c r="U47" s="704">
        <f t="shared" si="13"/>
        <v>100</v>
      </c>
      <c r="V47" s="703" t="s">
        <v>14</v>
      </c>
      <c r="W47" s="704">
        <f t="shared" si="14"/>
        <v>100</v>
      </c>
      <c r="X47" s="1353"/>
      <c r="Y47" s="3718"/>
      <c r="Z47" s="1354">
        <f t="shared" si="15"/>
        <v>111</v>
      </c>
      <c r="AA47" s="1351">
        <f t="shared" si="3"/>
        <v>1</v>
      </c>
      <c r="AB47" s="1351">
        <f t="shared" si="4"/>
        <v>1</v>
      </c>
      <c r="AC47" s="1960">
        <f t="shared" si="5"/>
        <v>1</v>
      </c>
    </row>
    <row r="48" spans="1:29" ht="15">
      <c r="A48" s="429" t="s">
        <v>1708</v>
      </c>
      <c r="B48" s="430"/>
      <c r="C48" s="1152" t="s">
        <v>0</v>
      </c>
      <c r="D48" s="1153"/>
      <c r="E48" s="1154">
        <v>30000</v>
      </c>
      <c r="F48" s="1155"/>
      <c r="G48" s="1156">
        <v>34857</v>
      </c>
      <c r="H48" s="1157"/>
      <c r="I48" s="1154">
        <v>35402</v>
      </c>
      <c r="J48" s="435"/>
      <c r="K48" s="712"/>
      <c r="L48" s="2718"/>
      <c r="M48" s="2710"/>
      <c r="N48" s="2710"/>
      <c r="O48" s="2710"/>
      <c r="P48" s="3720" t="str">
        <f>A48</f>
        <v>成交单价（元/平方米）</v>
      </c>
      <c r="Q48" s="3705"/>
      <c r="R48" s="3706">
        <f>E48</f>
        <v>30000</v>
      </c>
      <c r="S48" s="3706"/>
      <c r="T48" s="3706">
        <f>G48</f>
        <v>34857</v>
      </c>
      <c r="U48" s="3706"/>
      <c r="V48" s="3706">
        <f>I48</f>
        <v>35402</v>
      </c>
      <c r="W48" s="3706"/>
      <c r="X48" s="396"/>
      <c r="Y48" s="710"/>
      <c r="Z48" s="396"/>
      <c r="AA48" s="396"/>
      <c r="AB48" s="396"/>
      <c r="AC48" s="577"/>
    </row>
    <row r="49" spans="1:29" ht="15.75" thickBot="1">
      <c r="A49" s="436" t="s">
        <v>1793</v>
      </c>
      <c r="B49" s="437"/>
      <c r="C49" s="1158">
        <f>R50</f>
        <v>31071</v>
      </c>
      <c r="D49" s="2315" t="s">
        <v>2137</v>
      </c>
      <c r="E49" s="1159">
        <f>R49</f>
        <v>29175</v>
      </c>
      <c r="F49" s="2316"/>
      <c r="G49" s="1158">
        <f>T49</f>
        <v>32256</v>
      </c>
      <c r="H49" s="2316"/>
      <c r="I49" s="1159">
        <f>V49</f>
        <v>31781</v>
      </c>
      <c r="J49" s="2316"/>
      <c r="K49" s="2318">
        <f>F49+H49+J49</f>
        <v>0</v>
      </c>
      <c r="L49" s="2718"/>
      <c r="M49" s="2710"/>
      <c r="N49" s="2710"/>
      <c r="O49" s="2710"/>
      <c r="P49" s="3720" t="str">
        <f>A49</f>
        <v>比较价值（元/平方米）</v>
      </c>
      <c r="Q49" s="3705"/>
      <c r="R49" s="3706">
        <f>IF(F1="售价",ROUND(PRODUCT(R48,AA7:AA47),0),ROUND(PRODUCT(R48,AA7:AA47),1))</f>
        <v>29175</v>
      </c>
      <c r="S49" s="3706"/>
      <c r="T49" s="3706">
        <f>IF(F1="售价",ROUND(PRODUCT(T48,AB7:AB47),0),ROUND(PRODUCT(T48,AB7:AB47),1))</f>
        <v>32256</v>
      </c>
      <c r="U49" s="3706"/>
      <c r="V49" s="3706">
        <f>IF(F1="售价",ROUND(PRODUCT(V48,AC7:AC47),0),ROUND(PRODUCT(V48,AC7:AC47),1))</f>
        <v>31781</v>
      </c>
      <c r="W49" s="3706"/>
      <c r="X49" s="396"/>
      <c r="Y49" s="396"/>
      <c r="Z49" s="396"/>
      <c r="AA49" s="396"/>
      <c r="AB49" s="396"/>
      <c r="AC49" s="577"/>
    </row>
    <row r="50" spans="1:29" ht="15.75" thickBot="1">
      <c r="A50" s="440" t="s">
        <v>1794</v>
      </c>
      <c r="B50" s="441"/>
      <c r="C50" s="1161">
        <f>R50</f>
        <v>31071</v>
      </c>
      <c r="D50" s="1161"/>
      <c r="E50" s="1161"/>
      <c r="F50" s="1161"/>
      <c r="G50" s="1161"/>
      <c r="H50" s="1161"/>
      <c r="I50" s="1161"/>
      <c r="J50" s="442"/>
      <c r="K50" s="713"/>
      <c r="L50" s="2718"/>
      <c r="M50" s="2710"/>
      <c r="N50" s="2710"/>
      <c r="O50" s="2710"/>
      <c r="P50" s="3774" t="str">
        <f>A50</f>
        <v>估价对象XX用房的比较价值（楼面单价，元/平方米）</v>
      </c>
      <c r="Q50" s="3775"/>
      <c r="R50" s="3776">
        <f>IF(F1="售价",ROUND(IF(D49="简单平均",AVERAGE(R49:V49),R49*F49+T49*H49+V49*J49),0),ROUND(IF(D49="简单平均",AVERAGE(R49:V49),R49*F49+T49*H49+V49*J49),1))</f>
        <v>31071</v>
      </c>
      <c r="S50" s="3776"/>
      <c r="T50" s="3776"/>
      <c r="U50" s="3776"/>
      <c r="V50" s="3776"/>
      <c r="W50" s="3776"/>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2.8277634961439535E-2</v>
      </c>
      <c r="F53" s="448" t="str">
        <f>IF(OR(E53&gt;=0.3,E53&lt;=-0.3),"超过30%","")</f>
        <v/>
      </c>
      <c r="G53" s="447">
        <f>IF(G48&lt;G49,G49/G48-1,G48/G49-1)</f>
        <v>8.0636160714285809E-2</v>
      </c>
      <c r="H53" s="448" t="str">
        <f>IF(OR(G53&gt;=0.3,G53&lt;=-0.3),"超过30%","")</f>
        <v/>
      </c>
      <c r="I53" s="447">
        <f>IF(I48&lt;I49,I49/I48-1,I48/I49-1)</f>
        <v>0.11393599949655453</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0.10560411311053985</v>
      </c>
      <c r="F54" s="448" t="str">
        <f>IF(OR(E54&gt;=0.2,E54&lt;=-0.2),"超过20%","")</f>
        <v/>
      </c>
      <c r="G54" s="447">
        <f>IF(G49&lt;I49,I49/G49-1,G49/I49-1)</f>
        <v>1.494603694031027E-2</v>
      </c>
      <c r="H54" s="448" t="str">
        <f>IF(OR(G54&gt;=0.2,G54&lt;=-0.2),"超过20%","")</f>
        <v/>
      </c>
      <c r="I54" s="447">
        <f>IF(I49&lt;E49,E49/I49-1,I49/E49-1)</f>
        <v>8.9323050556983752E-2</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0.16189999999999993</v>
      </c>
      <c r="F55" s="448" t="str">
        <f>IF(OR(E55&gt;=0.3,E55&lt;=-0.3),"超过30%","")</f>
        <v/>
      </c>
      <c r="G55" s="447">
        <f>IF(G48&lt;I48,I48/G48-1,G48/I48-1)</f>
        <v>1.5635309980778667E-2</v>
      </c>
      <c r="H55" s="448" t="str">
        <f>IF(OR(G55&gt;=0.3,G55&lt;=-0.3),"超过30%","")</f>
        <v/>
      </c>
      <c r="I55" s="447">
        <f>IF(I48&lt;E48,E48/I48-1,I48/E48-1)</f>
        <v>0.1800666666666666</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2024-3</v>
      </c>
      <c r="D59" s="1183">
        <f>EDATE(C59,-1)</f>
        <v>45323</v>
      </c>
      <c r="E59" s="1183">
        <f>EDATE(D59,-1)</f>
        <v>45292</v>
      </c>
      <c r="F59" s="1183">
        <f t="shared" ref="F59:O59" si="16">EDATE(E59,-1)</f>
        <v>45261</v>
      </c>
      <c r="G59" s="1183">
        <f t="shared" si="16"/>
        <v>45231</v>
      </c>
      <c r="H59" s="1183">
        <f t="shared" si="16"/>
        <v>45200</v>
      </c>
      <c r="I59" s="1183">
        <f t="shared" si="16"/>
        <v>45170</v>
      </c>
      <c r="J59" s="1183">
        <f t="shared" si="16"/>
        <v>45139</v>
      </c>
      <c r="K59" s="1183">
        <f t="shared" si="16"/>
        <v>45108</v>
      </c>
      <c r="L59" s="1183">
        <f t="shared" si="16"/>
        <v>45078</v>
      </c>
      <c r="M59" s="1183">
        <f t="shared" si="16"/>
        <v>45047</v>
      </c>
      <c r="N59" s="1183">
        <f t="shared" si="16"/>
        <v>45017</v>
      </c>
      <c r="O59" s="1183">
        <f t="shared" si="16"/>
        <v>44986</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3445</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105</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办公</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3430</v>
      </c>
      <c r="D66" s="531" t="s">
        <v>3431</v>
      </c>
      <c r="E66" s="531" t="s">
        <v>3432</v>
      </c>
      <c r="F66" s="531" t="s">
        <v>3433</v>
      </c>
      <c r="G66" s="531" t="s">
        <v>3434</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3448</v>
      </c>
      <c r="D87" s="3475" t="s">
        <v>3449</v>
      </c>
      <c r="E87" s="3475" t="s">
        <v>3450</v>
      </c>
      <c r="F87" s="3475" t="s">
        <v>3451</v>
      </c>
      <c r="G87" s="3475" t="s">
        <v>3452</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3486</v>
      </c>
      <c r="D89" s="3475" t="s">
        <v>3488</v>
      </c>
      <c r="E89" s="3475" t="s">
        <v>3490</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3491</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95</v>
      </c>
      <c r="E102" s="492">
        <f t="shared" si="22"/>
        <v>90</v>
      </c>
      <c r="F102" s="492">
        <f t="shared" si="22"/>
        <v>85</v>
      </c>
      <c r="G102" s="492">
        <f t="shared" si="22"/>
        <v>80</v>
      </c>
      <c r="H102" s="492">
        <f t="shared" si="22"/>
        <v>75</v>
      </c>
      <c r="I102" s="492">
        <f t="shared" si="22"/>
        <v>70</v>
      </c>
      <c r="J102" s="492">
        <f t="shared" si="22"/>
        <v>65</v>
      </c>
      <c r="K102" s="492">
        <f t="shared" si="22"/>
        <v>60</v>
      </c>
      <c r="L102" s="492">
        <f t="shared" si="22"/>
        <v>55</v>
      </c>
      <c r="M102" s="493">
        <f t="shared" si="22"/>
        <v>50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3453</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3455</v>
      </c>
      <c r="D108" s="3475" t="s">
        <v>3457</v>
      </c>
      <c r="E108" s="3475" t="s">
        <v>3459</v>
      </c>
      <c r="F108" s="3478" t="s">
        <v>3460</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3473</v>
      </c>
      <c r="D113" s="3475" t="s">
        <v>3474</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3471</v>
      </c>
      <c r="D115" s="3475" t="s">
        <v>3472</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3464</v>
      </c>
      <c r="D117" s="3475" t="s">
        <v>3466</v>
      </c>
      <c r="E117" s="3475" t="s">
        <v>3467</v>
      </c>
      <c r="F117" s="3475" t="s">
        <v>3468</v>
      </c>
      <c r="G117" s="3475" t="s">
        <v>3469</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3462</v>
      </c>
      <c r="D119" s="3478" t="s">
        <v>3481</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3455</v>
      </c>
      <c r="D123" s="3475" t="s">
        <v>3457</v>
      </c>
      <c r="E123" s="3475" t="s">
        <v>3459</v>
      </c>
      <c r="F123" s="3478" t="s">
        <v>3460</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4" priority="20" stopIfTrue="1" operator="containsText" text="超过">
      <formula>NOT(ISERROR(SEARCH("超过",F53)))</formula>
    </cfRule>
  </conditionalFormatting>
  <conditionalFormatting sqref="H55">
    <cfRule type="containsText" dxfId="163" priority="19" stopIfTrue="1" operator="containsText" text="超过">
      <formula>NOT(ISERROR(SEARCH("超过",H55)))</formula>
    </cfRule>
  </conditionalFormatting>
  <conditionalFormatting sqref="F55">
    <cfRule type="containsText" dxfId="162" priority="18" stopIfTrue="1" operator="containsText" text="超过">
      <formula>NOT(ISERROR(SEARCH("超过",F55)))</formula>
    </cfRule>
  </conditionalFormatting>
  <conditionalFormatting sqref="F54 H54">
    <cfRule type="containsText" dxfId="161" priority="17" stopIfTrue="1" operator="containsText" text="超过">
      <formula>NOT(ISERROR(SEARCH("超过",F54)))</formula>
    </cfRule>
  </conditionalFormatting>
  <conditionalFormatting sqref="E53">
    <cfRule type="expression" dxfId="160" priority="16" stopIfTrue="1">
      <formula>$F$53="超过30%"</formula>
    </cfRule>
  </conditionalFormatting>
  <conditionalFormatting sqref="E54">
    <cfRule type="expression" dxfId="159" priority="15" stopIfTrue="1">
      <formula>$F$54="超过20%"</formula>
    </cfRule>
  </conditionalFormatting>
  <conditionalFormatting sqref="E55">
    <cfRule type="expression" dxfId="158" priority="14" stopIfTrue="1">
      <formula>$F$55="超过30%"</formula>
    </cfRule>
  </conditionalFormatting>
  <conditionalFormatting sqref="G55">
    <cfRule type="expression" dxfId="157" priority="13" stopIfTrue="1">
      <formula>$H$55="超过30%"</formula>
    </cfRule>
  </conditionalFormatting>
  <conditionalFormatting sqref="G53">
    <cfRule type="expression" dxfId="156" priority="12" stopIfTrue="1">
      <formula>$H$53="超过30%"</formula>
    </cfRule>
  </conditionalFormatting>
  <conditionalFormatting sqref="G54">
    <cfRule type="expression" dxfId="155" priority="11" stopIfTrue="1">
      <formula>$H$54="超过20%"</formula>
    </cfRule>
  </conditionalFormatting>
  <conditionalFormatting sqref="J53">
    <cfRule type="containsText" dxfId="154" priority="10" stopIfTrue="1" operator="containsText" text="超过">
      <formula>NOT(ISERROR(SEARCH("超过",J53)))</formula>
    </cfRule>
  </conditionalFormatting>
  <conditionalFormatting sqref="J55">
    <cfRule type="containsText" dxfId="153" priority="9" stopIfTrue="1" operator="containsText" text="超过">
      <formula>NOT(ISERROR(SEARCH("超过",J55)))</formula>
    </cfRule>
  </conditionalFormatting>
  <conditionalFormatting sqref="J54">
    <cfRule type="containsText" dxfId="152" priority="8" stopIfTrue="1" operator="containsText" text="超过">
      <formula>NOT(ISERROR(SEARCH("超过",J54)))</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7:F47 H7:H47 J7:J47">
    <cfRule type="cellIs" dxfId="14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14002</v>
      </c>
      <c r="C2" s="275" t="s">
        <v>1595</v>
      </c>
      <c r="D2" s="275"/>
      <c r="E2" s="2800"/>
      <c r="F2" s="2800"/>
      <c r="G2" s="2800"/>
      <c r="H2" s="2800"/>
      <c r="I2" s="2800"/>
      <c r="J2" s="2800"/>
      <c r="K2" s="2800"/>
    </row>
    <row r="3" spans="1:33" ht="18" customHeight="1" thickBot="1">
      <c r="A3" s="202" t="s">
        <v>1464</v>
      </c>
      <c r="B3" s="203">
        <f ca="1">ROUND(B2*10000/IF(C1="",'数据-汇总表'!E3,INDIRECT("'数据-取费表'!K"&amp;$K$1)),0)</f>
        <v>2279713</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61.42</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61.42</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-12283</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61.42</v>
      </c>
      <c r="E20" s="21">
        <f>'数据-取费表'!B28</f>
        <v>200</v>
      </c>
      <c r="F20" s="802"/>
      <c r="G20" s="12"/>
      <c r="H20" s="807"/>
      <c r="I20" s="807"/>
      <c r="J20" s="807"/>
      <c r="K20" s="808"/>
    </row>
    <row r="21" spans="1:33" s="801" customFormat="1" ht="13.5" customHeight="1">
      <c r="A21" s="788" t="s">
        <v>357</v>
      </c>
      <c r="B21" s="811" t="s">
        <v>1628</v>
      </c>
      <c r="C21" s="812">
        <f ca="1">C16+C17+C18</f>
        <v>-12283</v>
      </c>
      <c r="D21" s="813"/>
      <c r="E21" s="280"/>
      <c r="F21" s="280"/>
      <c r="G21" s="130" t="s">
        <v>1629</v>
      </c>
      <c r="H21" s="805"/>
      <c r="I21" s="805"/>
      <c r="J21" s="805"/>
      <c r="K21" s="806"/>
    </row>
    <row r="22" spans="1:33" s="801" customFormat="1" ht="13.5" customHeight="1">
      <c r="A22" s="788" t="s">
        <v>1601</v>
      </c>
      <c r="B22" s="811" t="s">
        <v>1630</v>
      </c>
      <c r="C22" s="812">
        <f ca="1">ROUND(C21*F22,0)</f>
        <v>-246</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-1879</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-1879</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14002</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74.3583</v>
      </c>
      <c r="C2" s="1870" t="s">
        <v>1651</v>
      </c>
      <c r="D2" s="1871" t="s">
        <v>1652</v>
      </c>
      <c r="E2" s="2603">
        <f>SUM(E6:E13)</f>
        <v>61.42</v>
      </c>
      <c r="F2" s="2701"/>
      <c r="G2" s="1487"/>
      <c r="H2" s="1487"/>
      <c r="I2" s="1487"/>
      <c r="J2" s="1487"/>
      <c r="K2" s="1487"/>
      <c r="L2" s="1487"/>
      <c r="M2" s="1487"/>
      <c r="N2" s="1487"/>
      <c r="O2" s="1487"/>
      <c r="P2" s="1487"/>
      <c r="Q2" s="1487"/>
      <c r="R2" s="1487"/>
      <c r="S2" s="1487"/>
    </row>
    <row r="3" spans="1:22" ht="15.75">
      <c r="A3" s="1868" t="s">
        <v>686</v>
      </c>
      <c r="B3" s="2597">
        <f ca="1">ROUND(B2*10000/E2,0)</f>
        <v>12107</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792" t="s">
        <v>1654</v>
      </c>
      <c r="C5" s="3793"/>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74.3583</v>
      </c>
      <c r="C6" s="1870" t="s">
        <v>1651</v>
      </c>
      <c r="D6" s="2703"/>
      <c r="E6" s="2602">
        <f>IF(OR(A6=0,F6="否"),0,'数据-取费表'!K6+'数据-取费表'!S6)</f>
        <v>61.42</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3392</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16.96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69</v>
      </c>
      <c r="C2" s="1385" t="s">
        <v>805</v>
      </c>
      <c r="D2" s="1385"/>
      <c r="E2" s="1386"/>
      <c r="F2" s="1387"/>
      <c r="G2" s="2700"/>
      <c r="H2" s="2689"/>
      <c r="I2" s="2689"/>
      <c r="J2" s="2689"/>
      <c r="K2" s="2690"/>
      <c r="L2" s="2689"/>
      <c r="M2" s="2689"/>
    </row>
    <row r="3" spans="1:37" ht="18" customHeight="1" thickBot="1">
      <c r="A3" s="1388" t="s">
        <v>806</v>
      </c>
      <c r="B3" s="1389">
        <f ca="1">IF(ISERROR(B2*10000/F43),0,ROUND(B2*10000/F43,0))</f>
        <v>11234</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f ca="1">C6+C10+C12</f>
        <v>6</v>
      </c>
      <c r="D5" s="1362" t="s">
        <v>693</v>
      </c>
      <c r="E5" s="1069"/>
      <c r="F5" s="1070"/>
      <c r="G5" s="1382"/>
      <c r="H5" s="298">
        <v>1</v>
      </c>
      <c r="I5" s="299" t="s">
        <v>692</v>
      </c>
      <c r="J5" s="1068">
        <f ca="1">J6+J10+J12</f>
        <v>0</v>
      </c>
      <c r="K5" s="1362" t="s">
        <v>693</v>
      </c>
      <c r="L5" s="1069"/>
      <c r="M5" s="1070"/>
    </row>
    <row r="6" spans="1:37" ht="18" customHeight="1">
      <c r="A6" s="1067" t="s">
        <v>398</v>
      </c>
      <c r="B6" s="3796" t="s">
        <v>694</v>
      </c>
      <c r="C6" s="1072">
        <f ca="1">ROUND(F6*F8*F7*(1-F9)/10000,0)</f>
        <v>6</v>
      </c>
      <c r="D6" s="154" t="s">
        <v>2108</v>
      </c>
      <c r="E6" s="301" t="s">
        <v>696</v>
      </c>
      <c r="F6" s="302">
        <f ca="1">INDIRECT("'数据-取费表'!u"&amp;$G$1)</f>
        <v>3</v>
      </c>
      <c r="G6" s="1382"/>
      <c r="H6" s="1067" t="s">
        <v>398</v>
      </c>
      <c r="I6" s="3796" t="s">
        <v>694</v>
      </c>
      <c r="J6" s="300">
        <f ca="1">ROUND(M6*M8*M7*(1-M9)/10000,0)</f>
        <v>0</v>
      </c>
      <c r="K6" s="154" t="s">
        <v>2107</v>
      </c>
      <c r="L6" s="301" t="s">
        <v>696</v>
      </c>
      <c r="M6" s="302">
        <f ca="1">INDIRECT("'数据-取费表'!z"&amp;$G$1)</f>
        <v>0</v>
      </c>
    </row>
    <row r="7" spans="1:37" ht="18" customHeight="1">
      <c r="A7" s="1071"/>
      <c r="B7" s="3797"/>
      <c r="C7" s="1073"/>
      <c r="D7" s="306"/>
      <c r="E7" s="1074" t="s">
        <v>697</v>
      </c>
      <c r="F7" s="302">
        <f ca="1">IF(INDIRECT("'数据-取费表'!ah"&amp;$G$1)="",INDIRECT("'数据-取费表'!k"&amp;$G$1),INDIRECT("'数据-取费表'!ah"&amp;$G$1))</f>
        <v>61.42</v>
      </c>
      <c r="G7" s="1382"/>
      <c r="H7" s="303"/>
      <c r="I7" s="3797"/>
      <c r="J7" s="305"/>
      <c r="K7" s="306"/>
      <c r="L7" s="301" t="s">
        <v>697</v>
      </c>
      <c r="M7" s="302">
        <f ca="1">F7</f>
        <v>61.42</v>
      </c>
    </row>
    <row r="8" spans="1:37" ht="18" customHeight="1">
      <c r="A8" s="303"/>
      <c r="B8" s="3797"/>
      <c r="C8" s="305"/>
      <c r="D8" s="306"/>
      <c r="E8" s="301" t="s">
        <v>698</v>
      </c>
      <c r="F8" s="302">
        <f ca="1">INDIRECT("'数据-取费表'!ai"&amp;$G$1)</f>
        <v>365</v>
      </c>
      <c r="G8" s="1382"/>
      <c r="H8" s="303"/>
      <c r="I8" s="3797"/>
      <c r="J8" s="305"/>
      <c r="K8" s="306"/>
      <c r="L8" s="301" t="s">
        <v>698</v>
      </c>
      <c r="M8" s="302">
        <f ca="1">INDIRECT("'数据-取费表'!ai"&amp;$G$1)</f>
        <v>365</v>
      </c>
    </row>
    <row r="9" spans="1:37" ht="18" customHeight="1">
      <c r="A9" s="303"/>
      <c r="B9" s="3798"/>
      <c r="C9" s="305"/>
      <c r="D9" s="306"/>
      <c r="E9" s="301" t="s">
        <v>699</v>
      </c>
      <c r="F9" s="311">
        <f ca="1">INDIRECT("'数据-取费表'!w"&amp;$G$1)</f>
        <v>0.1</v>
      </c>
      <c r="G9" s="1382"/>
      <c r="H9" s="303"/>
      <c r="I9" s="3798"/>
      <c r="J9" s="305"/>
      <c r="K9" s="306"/>
      <c r="L9" s="312" t="s">
        <v>699</v>
      </c>
      <c r="M9" s="313">
        <f ca="1">INDIRECT("'数据-取费表'!ab"&amp;$G$1)</f>
        <v>0</v>
      </c>
    </row>
    <row r="10" spans="1:37" ht="18" customHeight="1">
      <c r="A10" s="1067" t="s">
        <v>402</v>
      </c>
      <c r="B10" s="1363" t="s">
        <v>700</v>
      </c>
      <c r="C10" s="315">
        <f ca="1">ROUND(IF(F10="押一",C6/12*F11,IF(F10="押二",C6/12*2*F11,IF(F10="押三",C6/12*3*F11,C11*F11))),0)</f>
        <v>0</v>
      </c>
      <c r="D10" s="1364" t="s">
        <v>2116</v>
      </c>
      <c r="E10" s="312" t="s">
        <v>701</v>
      </c>
      <c r="F10" s="1114" t="s">
        <v>3417</v>
      </c>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32</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1" t="s">
        <v>707</v>
      </c>
      <c r="C14" s="317">
        <f ca="1">INDIRECT("'数据-取费表'!m"&amp;$G$1)+INDIRECT("'数据-取费表'!t"&amp;$G$1)</f>
        <v>29</v>
      </c>
      <c r="D14" s="1343" t="s">
        <v>708</v>
      </c>
      <c r="E14" s="1340"/>
      <c r="F14" s="318"/>
      <c r="G14" s="1382"/>
      <c r="H14" s="980" t="s">
        <v>398</v>
      </c>
      <c r="I14" s="301" t="s">
        <v>709</v>
      </c>
      <c r="J14" s="21">
        <f ca="1">C29</f>
        <v>41</v>
      </c>
      <c r="K14" s="12"/>
      <c r="L14" s="805"/>
      <c r="M14" s="806"/>
    </row>
    <row r="15" spans="1:37" s="1395" customFormat="1" ht="18" customHeight="1" thickBot="1">
      <c r="A15" s="980" t="s">
        <v>399</v>
      </c>
      <c r="B15" s="301" t="s">
        <v>710</v>
      </c>
      <c r="C15" s="21">
        <f ca="1">ROUND(C14*F15,0)</f>
        <v>1</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2"/>
      <c r="H16" s="1077" t="s">
        <v>393</v>
      </c>
      <c r="I16" s="1078" t="s">
        <v>714</v>
      </c>
      <c r="J16" s="309">
        <f ca="1">ROUND(J17+J22+J23+J24,0)</f>
        <v>0</v>
      </c>
      <c r="K16" s="1085" t="s">
        <v>715</v>
      </c>
      <c r="L16" s="1086"/>
      <c r="M16" s="1070"/>
    </row>
    <row r="17" spans="1:37" s="1395" customFormat="1" ht="18" customHeight="1">
      <c r="A17" s="980" t="s">
        <v>681</v>
      </c>
      <c r="B17" s="301" t="s">
        <v>716</v>
      </c>
      <c r="C17" s="21">
        <f ca="1">ROUND(F17*(F43+INDIRECT("'数据-取费表'!S"&amp;$G$1))/10000,0)</f>
        <v>1</v>
      </c>
      <c r="D17" s="301" t="s">
        <v>717</v>
      </c>
      <c r="E17" s="301" t="s">
        <v>718</v>
      </c>
      <c r="F17" s="23">
        <f>'数据-取费表'!B35</f>
        <v>200</v>
      </c>
      <c r="G17" s="1394"/>
      <c r="H17" s="980" t="s">
        <v>398</v>
      </c>
      <c r="I17" s="301" t="s">
        <v>719</v>
      </c>
      <c r="J17" s="2314">
        <f ca="1">ROUND(IF(AND(项目基本情况!B11="自然人",项目基本情况!B10="北京市"),J6*M17/(1+'数据-取费表'!C42),J18+J19+J20),2)</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0</v>
      </c>
      <c r="D18" s="301" t="s">
        <v>711</v>
      </c>
      <c r="E18" s="301" t="s">
        <v>712</v>
      </c>
      <c r="F18" s="321">
        <f>'数据-取费表'!B36</f>
        <v>1.4999999999999999E-2</v>
      </c>
      <c r="G18" s="1394"/>
      <c r="H18" s="980" t="s">
        <v>397</v>
      </c>
      <c r="I18" s="301" t="s">
        <v>723</v>
      </c>
      <c r="J18" s="21">
        <f ca="1">ROUND(J6*M18/(1+'数据-取费表'!C42),2)</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31</v>
      </c>
      <c r="D19" s="130" t="s">
        <v>726</v>
      </c>
      <c r="E19" s="1358"/>
      <c r="F19" s="23"/>
      <c r="G19" s="1382"/>
      <c r="H19" s="980" t="s">
        <v>399</v>
      </c>
      <c r="I19" s="301" t="s">
        <v>727</v>
      </c>
      <c r="J19" s="21">
        <f ca="1">IF(K19="按租金收入计税",ROUND(J6*M19/(1+'数据-取费表'!C42),2),ROUND(C29*M19*0.7,2))</f>
        <v>0</v>
      </c>
      <c r="K19" s="1368" t="s">
        <v>3336</v>
      </c>
      <c r="L19" s="301" t="s">
        <v>712</v>
      </c>
      <c r="M19" s="321">
        <f>IF(K19="按租金收入计税",'数据-取费表'!B51,'数据-取费表'!B50)</f>
        <v>0.12</v>
      </c>
    </row>
    <row r="20" spans="1:37" s="1395" customFormat="1" ht="18" customHeight="1">
      <c r="A20" s="980" t="s">
        <v>402</v>
      </c>
      <c r="B20" s="301" t="s">
        <v>728</v>
      </c>
      <c r="C20" s="21">
        <f ca="1">ROUND(C19*F20,0)</f>
        <v>1</v>
      </c>
      <c r="D20" s="322" t="s">
        <v>729</v>
      </c>
      <c r="E20" s="301" t="s">
        <v>712</v>
      </c>
      <c r="F20" s="321">
        <f>'数据-取费表'!B37</f>
        <v>0.02</v>
      </c>
      <c r="G20" s="1394"/>
      <c r="H20" s="980" t="s">
        <v>680</v>
      </c>
      <c r="I20" s="154" t="s">
        <v>730</v>
      </c>
      <c r="J20" s="22">
        <f ca="1">ROUND(M20*M21/10000,2)</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ROUND(J14*M22,2)</f>
        <v>0.21</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ROUND(J13*M23,2)</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f ca="1">J5-J16</f>
        <v>0</v>
      </c>
      <c r="K25" s="1093" t="s">
        <v>753</v>
      </c>
      <c r="L25" s="1094"/>
      <c r="M25" s="1095"/>
    </row>
    <row r="26" spans="1:37">
      <c r="A26" s="980" t="s">
        <v>397</v>
      </c>
      <c r="B26" s="301" t="s">
        <v>754</v>
      </c>
      <c r="C26" s="21">
        <f ca="1">ROUND((C19+C20)*F26,0)</f>
        <v>5</v>
      </c>
      <c r="D26" s="322" t="s">
        <v>755</v>
      </c>
      <c r="E26" s="312" t="s">
        <v>756</v>
      </c>
      <c r="F26" s="311">
        <f ca="1">INDIRECT("'数据-取费表'!q"&amp;$G$1)</f>
        <v>0.15</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41</v>
      </c>
      <c r="D29" s="1090"/>
      <c r="E29" s="1088"/>
      <c r="F29" s="1091"/>
      <c r="G29" s="1394"/>
      <c r="H29" s="333" t="s">
        <v>396</v>
      </c>
      <c r="I29" s="334" t="s">
        <v>768</v>
      </c>
      <c r="J29" s="335">
        <f ca="1">ROUND(J26/(1+F40)^F41,0)</f>
        <v>0</v>
      </c>
      <c r="K29" s="336" t="s">
        <v>769</v>
      </c>
      <c r="L29" s="337"/>
      <c r="M29" s="338">
        <f ca="1">INDIRECT("'数据-取费表'!k"&amp;$G$1)</f>
        <v>61.42</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ROUND(IF(AND(项目基本情况!B11="自然人",项目基本情况!B10="北京市"),C6*F31/(1+'数据-取费表'!C42),C32+C33+C34),2)</f>
        <v>0.4</v>
      </c>
      <c r="D31" s="1343" t="s">
        <v>720</v>
      </c>
      <c r="E31" s="1342" t="s">
        <v>770</v>
      </c>
      <c r="F31" s="2313">
        <f ca="1">IF(项目基本情况!B11="企业","——",IF(M47="住宅",IF(F6*F7*F8/12/(1+'数据-取费表'!F30)&gt;100000,4%,2.5%),IF(F6*F7*F8/12/(1+'数据-取费表'!F30)&gt;100000,12%,7%)))</f>
        <v>7.0000000000000007E-2</v>
      </c>
      <c r="G31" s="1382"/>
      <c r="H31" s="2802" t="s">
        <v>2309</v>
      </c>
      <c r="I31" s="1396"/>
      <c r="J31" s="1397"/>
      <c r="K31" s="2472"/>
      <c r="L31" s="2692"/>
      <c r="M31" s="2693"/>
    </row>
    <row r="32" spans="1:37" ht="18" customHeight="1">
      <c r="A32" s="980" t="s">
        <v>397</v>
      </c>
      <c r="B32" s="301" t="s">
        <v>723</v>
      </c>
      <c r="C32" s="21" t="str">
        <f>IF(项目基本情况!B11="自然人","——",ROUND(C6*F32/(1+'数据-取费表'!C42),2))</f>
        <v>——</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IF(项目基本情况!B11="自然人","——",IF(D33="按租金收入计税",ROUND(C6*F33/(1+'数据-取费表'!C42),2),IF(D33="按房产原值计税",ROUND(C29*F33*0.7,2),INDIRECT("'数据-取费表'!Aj"&amp;$G$1))))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IF(项目基本情况!B11="自然人","——",ROUND(F34*F35/10000,2))</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ROUND(C29*F36,2)</f>
        <v>0.21</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ROUND(C13*F37,2)</f>
        <v>0.03</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ROUND(C5*F38,2)</f>
        <v>0.03</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5</v>
      </c>
      <c r="D39" s="1093" t="s">
        <v>773</v>
      </c>
      <c r="E39" s="1094"/>
      <c r="F39" s="1095"/>
      <c r="G39" s="1382"/>
      <c r="H39" s="2694"/>
      <c r="I39" s="1396"/>
      <c r="J39" s="1397"/>
      <c r="K39" s="2698"/>
      <c r="L39" s="2694"/>
      <c r="M39" s="2694"/>
    </row>
    <row r="40" spans="1:18" ht="18" customHeight="1">
      <c r="A40" s="298" t="s">
        <v>395</v>
      </c>
      <c r="B40" s="299" t="s">
        <v>774</v>
      </c>
      <c r="C40" s="300">
        <f ca="1">ROUND(C39*(1-((1+F42)/(1+F40))^F41)/(F40-F42),0)</f>
        <v>64</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16.96</v>
      </c>
      <c r="G41" s="1382"/>
      <c r="H41" s="1189"/>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ROUND(C40*10000/F43,0)</f>
        <v>10420</v>
      </c>
      <c r="D43" s="336" t="s">
        <v>777</v>
      </c>
      <c r="E43" s="337" t="s">
        <v>778</v>
      </c>
      <c r="F43" s="338">
        <f ca="1">INDIRECT("'数据-取费表'!k"&amp;$G$1)</f>
        <v>61.42</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f ca="1">C68-C40</f>
        <v>-64</v>
      </c>
      <c r="D46" s="1404" t="str">
        <f>C2</f>
        <v>万元</v>
      </c>
      <c r="E46" s="1398"/>
      <c r="F46" s="1398"/>
      <c r="I46" s="1405" t="s">
        <v>810</v>
      </c>
      <c r="J46" s="1406"/>
      <c r="K46" s="1407"/>
      <c r="L46" s="1408">
        <f ca="1">IF(M47="住宅",0,IF(L48&gt;J51,L60,J60))</f>
        <v>5</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3406</v>
      </c>
      <c r="K47" s="1414" t="s">
        <v>816</v>
      </c>
      <c r="L47" s="1415">
        <f ca="1">INDIRECT("'数据-取费表'!d"&amp;$G$1)</f>
        <v>40</v>
      </c>
      <c r="M47" s="1378" t="str">
        <f>IF(ISNUMBER(FIND("住宅",C1)),"住宅","非住宅")</f>
        <v>非住宅</v>
      </c>
      <c r="O47" s="1416" t="s">
        <v>403</v>
      </c>
      <c r="P47" s="1417" t="s">
        <v>817</v>
      </c>
      <c r="Q47" s="1418">
        <f ca="1">C40+J29</f>
        <v>64</v>
      </c>
      <c r="R47" s="1418" t="s">
        <v>818</v>
      </c>
    </row>
    <row r="48" spans="1:18" s="1382" customFormat="1" ht="28.5" thickBot="1">
      <c r="A48" s="1108" t="s">
        <v>438</v>
      </c>
      <c r="B48" s="299" t="s">
        <v>692</v>
      </c>
      <c r="C48" s="1357">
        <f ca="1">C49+C53+C55</f>
        <v>0</v>
      </c>
      <c r="D48" s="1110"/>
      <c r="E48" s="1111"/>
      <c r="F48" s="960"/>
      <c r="G48" s="720"/>
      <c r="H48" s="721"/>
      <c r="I48" s="1419" t="s">
        <v>819</v>
      </c>
      <c r="J48" s="1420" t="s">
        <v>3407</v>
      </c>
      <c r="K48" s="1421" t="s">
        <v>820</v>
      </c>
      <c r="L48" s="1422">
        <f ca="1">INDIRECT("'数据-取费表'!f"&amp;$G$1)</f>
        <v>16.96</v>
      </c>
      <c r="O48" s="1416" t="s">
        <v>404</v>
      </c>
      <c r="P48" s="1417" t="s">
        <v>821</v>
      </c>
      <c r="Q48" s="1418">
        <f ca="1">J60</f>
        <v>5</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f>'数据-取费表'!N18</f>
        <v>2004</v>
      </c>
      <c r="K49" s="1421" t="s">
        <v>824</v>
      </c>
      <c r="L49" s="1425"/>
      <c r="O49" s="1426" t="s">
        <v>405</v>
      </c>
      <c r="P49" s="1417" t="s">
        <v>825</v>
      </c>
      <c r="Q49" s="1418">
        <f ca="1">C29</f>
        <v>41</v>
      </c>
      <c r="R49" s="1418" t="s">
        <v>818</v>
      </c>
    </row>
    <row r="50" spans="1:18" s="1382" customFormat="1" ht="13.5" thickBot="1">
      <c r="A50" s="974"/>
      <c r="B50" s="977"/>
      <c r="C50" s="1116"/>
      <c r="D50" s="951"/>
      <c r="E50" s="1054" t="s">
        <v>697</v>
      </c>
      <c r="F50" s="1055">
        <f ca="1">F7</f>
        <v>61.42</v>
      </c>
      <c r="H50" s="721"/>
      <c r="I50" s="1419" t="s">
        <v>826</v>
      </c>
      <c r="J50" s="1427">
        <f>SUMPRODUCT((I63:I65=J47)*(J62:L62=J48)*(J63:L65))</f>
        <v>50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30</v>
      </c>
      <c r="K51" s="1432" t="s">
        <v>830</v>
      </c>
      <c r="L51" s="1433">
        <f ca="1">ROUND(-PV(INDIRECT("'数据-取费表'!h"&amp;$G$1),J51,(C39-C13*C76),0),0)</f>
        <v>42</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f ca="1">J53</f>
        <v>16.96</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f ca="1">IF(M47="住宅",IF(D1="——",MAX(J51,L48),MAX(J51,L48-'数据-取费表'!B24)),IF(D1="——",MIN(J51,L48),MIN(J51,L48-'数据-取费表'!B24)))</f>
        <v>16.96</v>
      </c>
      <c r="K53" s="3794" t="s">
        <v>837</v>
      </c>
      <c r="L53" s="3795"/>
      <c r="O53" s="1416" t="s">
        <v>409</v>
      </c>
      <c r="P53" s="1417" t="s">
        <v>838</v>
      </c>
      <c r="Q53" s="1418">
        <f ca="1">Q47+Q48</f>
        <v>69</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0.27600000000000002</v>
      </c>
      <c r="K55" s="1443" t="s">
        <v>841</v>
      </c>
      <c r="L55" s="1444"/>
      <c r="O55" s="1409" t="s">
        <v>811</v>
      </c>
      <c r="P55" s="1410" t="s">
        <v>812</v>
      </c>
      <c r="Q55" s="1411" t="s">
        <v>813</v>
      </c>
      <c r="R55" s="1411" t="s">
        <v>814</v>
      </c>
    </row>
    <row r="56" spans="1:18" s="1382" customFormat="1" ht="25.5" thickTop="1" thickBot="1">
      <c r="A56" s="955">
        <v>2</v>
      </c>
      <c r="B56" s="956" t="s">
        <v>704</v>
      </c>
      <c r="C56" s="231">
        <f ca="1">C13</f>
        <v>32</v>
      </c>
      <c r="D56" s="1445"/>
      <c r="E56" s="1446"/>
      <c r="F56" s="1438"/>
      <c r="I56" s="1447" t="s">
        <v>842</v>
      </c>
      <c r="J56" s="1448" t="s">
        <v>3383</v>
      </c>
      <c r="K56" s="1419" t="s">
        <v>843</v>
      </c>
      <c r="L56" s="1422" t="str">
        <f ca="1">IF(L48&lt;J51,"——",L48-J53)</f>
        <v>——</v>
      </c>
      <c r="O56" s="1416" t="s">
        <v>403</v>
      </c>
      <c r="P56" s="1417" t="s">
        <v>817</v>
      </c>
      <c r="Q56" s="1418">
        <f ca="1">C40+J29</f>
        <v>64</v>
      </c>
      <c r="R56" s="1418" t="s">
        <v>818</v>
      </c>
    </row>
    <row r="57" spans="1:18" s="1382" customFormat="1" ht="24.75" thickBot="1">
      <c r="A57" s="1449"/>
      <c r="B57" s="948" t="s">
        <v>767</v>
      </c>
      <c r="C57" s="237">
        <f ca="1">C29</f>
        <v>41</v>
      </c>
      <c r="D57" s="1450"/>
      <c r="E57" s="1451"/>
      <c r="F57" s="1452"/>
      <c r="I57" s="1453" t="s">
        <v>844</v>
      </c>
      <c r="J57" s="1454">
        <f ca="1">IF(OR(M47="住宅",J51&lt;L48,J56="是"),"——",J51-L48)</f>
        <v>13.04</v>
      </c>
      <c r="K57" s="1419" t="s">
        <v>845</v>
      </c>
      <c r="L57" s="1422" t="str">
        <f ca="1">IF(L48&lt;J51,"——",IF(L55="比较法",L49,IF(L55="基准地价",L50,L51)))</f>
        <v>——</v>
      </c>
      <c r="O57" s="1416" t="s">
        <v>404</v>
      </c>
      <c r="P57" s="1417" t="s">
        <v>846</v>
      </c>
      <c r="Q57" s="1418">
        <f ca="1">L60</f>
        <v>0</v>
      </c>
      <c r="R57" s="1418" t="s">
        <v>847</v>
      </c>
    </row>
    <row r="58" spans="1:18" s="1382" customFormat="1" ht="24.75" thickBot="1">
      <c r="A58" s="314" t="s">
        <v>393</v>
      </c>
      <c r="B58" s="956" t="s">
        <v>714</v>
      </c>
      <c r="C58" s="315">
        <f ca="1">ROUND(C59+C64+C65+C66,0)</f>
        <v>0</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16</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t="str">
        <f>IF(项目基本情况!B11="自然人","——",ROUND(C48*F60/(1+'数据-取费表'!C42),2))</f>
        <v>——</v>
      </c>
      <c r="D60" s="962" t="s">
        <v>724</v>
      </c>
      <c r="E60" s="948" t="s">
        <v>712</v>
      </c>
      <c r="F60" s="330">
        <f t="shared" ref="F60:F66" si="0">F32</f>
        <v>5.6000000000000001E-2</v>
      </c>
      <c r="I60" s="1456" t="s">
        <v>853</v>
      </c>
      <c r="J60" s="1457">
        <f ca="1">IF(OR(M47="住宅",J51&lt;L48,J56="是"),"0",ROUND(J59/(1+J52)^J53,0))</f>
        <v>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t="str">
        <f ca="1">IF(项目基本情况!B11="自然人","——",IF(D61="按租金收入计税",ROUND(C49*F61/(1+'数据-取费表'!C42),2),IF(D61="按房产原值计税",ROUND(C57*F61*0.7,2),INDIRECT("'数据-取费表'!Aj"&amp;$G$1))))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t="str">
        <f>IF(项目基本情况!B11="自然人","——",ROUND(F62*F63/10000,2))</f>
        <v>——</v>
      </c>
      <c r="D62" s="963" t="s">
        <v>786</v>
      </c>
      <c r="E62" s="948" t="s">
        <v>787</v>
      </c>
      <c r="F62" s="324">
        <f t="shared" si="0"/>
        <v>1.5</v>
      </c>
      <c r="I62" s="1460" t="s">
        <v>858</v>
      </c>
      <c r="J62" s="1461" t="s">
        <v>859</v>
      </c>
      <c r="K62" s="1461" t="s">
        <v>860</v>
      </c>
      <c r="L62" s="1461" t="s">
        <v>861</v>
      </c>
      <c r="M62" s="1462" t="s">
        <v>862</v>
      </c>
      <c r="O62" s="1416" t="s">
        <v>409</v>
      </c>
      <c r="P62" s="1417" t="s">
        <v>863</v>
      </c>
      <c r="Q62" s="1418">
        <f ca="1">Q56+Q57</f>
        <v>64</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0.21</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0.03</v>
      </c>
      <c r="D65" s="962" t="s">
        <v>743</v>
      </c>
      <c r="E65" s="948" t="s">
        <v>744</v>
      </c>
      <c r="F65" s="329">
        <f t="shared" ca="1" si="0"/>
        <v>1E-3</v>
      </c>
      <c r="I65" s="1460" t="s">
        <v>867</v>
      </c>
      <c r="J65" s="1461">
        <v>40</v>
      </c>
      <c r="K65" s="1461">
        <v>30</v>
      </c>
      <c r="L65" s="1461">
        <v>50</v>
      </c>
      <c r="M65" s="1463">
        <v>0.02</v>
      </c>
      <c r="O65" s="1416" t="s">
        <v>403</v>
      </c>
      <c r="P65" s="1417" t="s">
        <v>868</v>
      </c>
      <c r="Q65" s="1418">
        <f ca="1">C40+J29</f>
        <v>64</v>
      </c>
      <c r="R65" s="1418" t="s">
        <v>818</v>
      </c>
    </row>
    <row r="66" spans="1:18" s="1382" customFormat="1" ht="16.5" thickBot="1">
      <c r="A66" s="980" t="s">
        <v>793</v>
      </c>
      <c r="B66" s="948" t="s">
        <v>728</v>
      </c>
      <c r="C66" s="21">
        <f ca="1">ROUND(C48*F66,2)</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0</v>
      </c>
      <c r="D67" s="961" t="s">
        <v>753</v>
      </c>
      <c r="E67" s="966"/>
      <c r="F67" s="967"/>
      <c r="O67" s="1426" t="s">
        <v>405</v>
      </c>
      <c r="P67" s="1417" t="s">
        <v>850</v>
      </c>
      <c r="Q67" s="1464">
        <f ca="1">L51</f>
        <v>42</v>
      </c>
      <c r="R67" s="1418" t="s">
        <v>870</v>
      </c>
    </row>
    <row r="68" spans="1:18" s="1382" customFormat="1" ht="16.5" thickBot="1">
      <c r="A68" s="945" t="s">
        <v>395</v>
      </c>
      <c r="B68" s="946" t="s">
        <v>774</v>
      </c>
      <c r="C68" s="300">
        <f ca="1">ROUND(C67*(1-((1+F70)/(1+F68))^F69)/(F68-F70),0)</f>
        <v>0</v>
      </c>
      <c r="D68" s="963" t="s">
        <v>758</v>
      </c>
      <c r="E68" s="948" t="s">
        <v>759</v>
      </c>
      <c r="F68" s="311">
        <f ca="1">F40</f>
        <v>5.5E-2</v>
      </c>
      <c r="O68" s="1426" t="s">
        <v>406</v>
      </c>
      <c r="P68" s="1465" t="s">
        <v>871</v>
      </c>
      <c r="Q68" s="1418">
        <f ca="1">ROUND(Q69-Q70*Q71,0)</f>
        <v>3</v>
      </c>
      <c r="R68" s="1418" t="s">
        <v>414</v>
      </c>
    </row>
    <row r="69" spans="1:18" s="1382" customFormat="1" ht="13.5" thickBot="1">
      <c r="A69" s="949"/>
      <c r="B69" s="950"/>
      <c r="C69" s="305"/>
      <c r="D69" s="968" t="s">
        <v>762</v>
      </c>
      <c r="E69" s="948" t="s">
        <v>763</v>
      </c>
      <c r="F69" s="332">
        <f ca="1">F41</f>
        <v>16.96</v>
      </c>
      <c r="O69" s="1426" t="s">
        <v>411</v>
      </c>
      <c r="P69" s="1465" t="s">
        <v>872</v>
      </c>
      <c r="Q69" s="1418">
        <f ca="1">C39</f>
        <v>5</v>
      </c>
      <c r="R69" s="1418" t="s">
        <v>818</v>
      </c>
    </row>
    <row r="70" spans="1:18" s="1382" customFormat="1" ht="13.5" thickBot="1">
      <c r="A70" s="952"/>
      <c r="B70" s="953"/>
      <c r="C70" s="309"/>
      <c r="D70" s="964"/>
      <c r="E70" s="948" t="s">
        <v>766</v>
      </c>
      <c r="F70" s="1052"/>
      <c r="O70" s="1426" t="s">
        <v>412</v>
      </c>
      <c r="P70" s="1465" t="s">
        <v>873</v>
      </c>
      <c r="Q70" s="1418">
        <f ca="1">C13</f>
        <v>32</v>
      </c>
      <c r="R70" s="1418" t="s">
        <v>818</v>
      </c>
    </row>
    <row r="71" spans="1:18" s="1382" customFormat="1" ht="13.5" thickBot="1">
      <c r="A71" s="969" t="s">
        <v>396</v>
      </c>
      <c r="B71" s="970" t="s">
        <v>776</v>
      </c>
      <c r="C71" s="335">
        <f ca="1">ROUND(C68*10000/F71,0)</f>
        <v>0</v>
      </c>
      <c r="D71" s="971" t="s">
        <v>777</v>
      </c>
      <c r="E71" s="972" t="s">
        <v>778</v>
      </c>
      <c r="F71" s="338">
        <f ca="1">F43</f>
        <v>61.42</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2</v>
      </c>
      <c r="D75" s="1382"/>
      <c r="E75" s="1382"/>
      <c r="F75" s="1382"/>
      <c r="K75" s="1400"/>
      <c r="L75" s="1382"/>
      <c r="O75" s="1416" t="s">
        <v>409</v>
      </c>
      <c r="P75" s="1417" t="s">
        <v>838</v>
      </c>
      <c r="Q75" s="1418">
        <f ca="1">Q65+Q66</f>
        <v>64</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0.6</v>
      </c>
    </row>
    <row r="80" spans="1:18">
      <c r="B80" s="339" t="s">
        <v>800</v>
      </c>
      <c r="C80" s="273">
        <f ca="1">ROUND(C75/C39,3)</f>
        <v>0.4</v>
      </c>
    </row>
    <row r="81" spans="2:3">
      <c r="B81" s="269" t="s">
        <v>801</v>
      </c>
      <c r="C81" s="237"/>
    </row>
    <row r="82" spans="2:3">
      <c r="B82" s="272" t="s">
        <v>802</v>
      </c>
      <c r="C82" s="274">
        <f ca="1">1-C83</f>
        <v>0.5</v>
      </c>
    </row>
    <row r="83" spans="2:3">
      <c r="B83" s="272" t="s">
        <v>803</v>
      </c>
      <c r="C83" s="273">
        <f ca="1">ROUND(C13/C40,3)</f>
        <v>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4" priority="56">
      <formula>$L$48&gt;$J$51</formula>
    </cfRule>
  </conditionalFormatting>
  <conditionalFormatting sqref="I55 I60">
    <cfRule type="expression" dxfId="143" priority="57">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2437</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83" t="s">
        <v>2318</v>
      </c>
      <c r="B2" s="2836" t="e">
        <f ca="1">IF(D2="——",C40,C40+E2)</f>
        <v>#N/A</v>
      </c>
      <c r="C2" s="2837" t="s">
        <v>2319</v>
      </c>
      <c r="D2" s="3436" t="s">
        <v>3359</v>
      </c>
      <c r="E2" s="3437" t="e">
        <f ca="1">'收益法-残值'!L46</f>
        <v>#N/A</v>
      </c>
      <c r="F2" s="2839"/>
      <c r="G2" s="2840"/>
      <c r="H2" s="2841"/>
      <c r="I2" s="2842"/>
      <c r="J2" s="3805" t="s">
        <v>2320</v>
      </c>
      <c r="K2" s="3806"/>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 ca="1">ROUND(B2*10000/B4,0)</f>
        <v>#N/A</v>
      </c>
      <c r="C3" s="2837" t="s">
        <v>2329</v>
      </c>
      <c r="D3" s="2837"/>
      <c r="E3" s="2838"/>
      <c r="F3" s="2839"/>
      <c r="G3" s="2840"/>
      <c r="H3" s="2841"/>
      <c r="I3" s="2842"/>
      <c r="J3" s="3807" t="s">
        <v>2330</v>
      </c>
      <c r="K3" s="3808"/>
      <c r="L3" s="2849">
        <f>B4</f>
        <v>0</v>
      </c>
      <c r="M3" s="2849"/>
      <c r="N3" s="2849"/>
      <c r="O3" s="2849"/>
      <c r="P3" s="2849"/>
      <c r="Q3" s="2850"/>
      <c r="R3" s="2851">
        <f>SUM(L3:Q3)</f>
        <v>0</v>
      </c>
      <c r="S3" s="2834"/>
      <c r="T3" s="2834"/>
      <c r="U3" s="2834"/>
      <c r="V3" s="2842"/>
    </row>
    <row r="4" spans="1:22" s="2846" customFormat="1" ht="13.15" customHeight="1">
      <c r="A4" s="2852" t="s">
        <v>2331</v>
      </c>
      <c r="B4" s="2853">
        <f>'数据-汇总表'!F20</f>
        <v>0</v>
      </c>
      <c r="C4" s="2837"/>
      <c r="D4" s="2837"/>
      <c r="E4" s="2838"/>
      <c r="F4" s="2839"/>
      <c r="G4" s="2840"/>
      <c r="H4" s="2841"/>
      <c r="I4" s="2842"/>
      <c r="J4" s="3807" t="s">
        <v>2332</v>
      </c>
      <c r="K4" s="3808"/>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58</v>
      </c>
      <c r="S5" s="2834"/>
      <c r="T5" s="2834" t="s">
        <v>2335</v>
      </c>
      <c r="U5" s="2834" t="e">
        <f>ROUND(R5*10000/365/R3,1)</f>
        <v>#DIV/0!</v>
      </c>
      <c r="V5" s="2842"/>
    </row>
    <row r="6" spans="1:22" s="2846" customFormat="1" ht="13.15" customHeight="1" thickBot="1">
      <c r="A6" s="3813" t="s">
        <v>2336</v>
      </c>
      <c r="B6" s="3814"/>
      <c r="C6" s="3815"/>
      <c r="D6" s="2863">
        <f>R5</f>
        <v>58</v>
      </c>
      <c r="E6" s="2864"/>
      <c r="F6" s="2865"/>
      <c r="G6" s="2866"/>
      <c r="H6" s="2841"/>
      <c r="I6" s="2842"/>
      <c r="J6" s="3799">
        <v>1</v>
      </c>
      <c r="K6" s="3800"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 ca="1">SUM(D9,D10,D11,D17,0)</f>
        <v>30</v>
      </c>
      <c r="E7" s="2873">
        <f ca="1">E9+E10+E11+E17</f>
        <v>0.50172413793103443</v>
      </c>
      <c r="F7" s="2874"/>
      <c r="G7" s="2875"/>
      <c r="H7" s="2841"/>
      <c r="I7" s="2842"/>
      <c r="J7" s="3799"/>
      <c r="K7" s="3801"/>
      <c r="L7" s="2876" t="s">
        <v>2347</v>
      </c>
      <c r="M7" s="2877">
        <v>16</v>
      </c>
      <c r="N7" s="2853">
        <v>120</v>
      </c>
      <c r="O7" s="2878">
        <v>0.98</v>
      </c>
      <c r="P7" s="2878">
        <v>0.85</v>
      </c>
      <c r="Q7" s="2879">
        <v>365</v>
      </c>
      <c r="R7" s="2880">
        <f>ROUND(M7*N7*O7*P7*Q7/10000,0)</f>
        <v>58</v>
      </c>
      <c r="S7" s="2834"/>
      <c r="T7" s="2834" t="s">
        <v>2348</v>
      </c>
      <c r="U7" s="2834"/>
      <c r="V7" s="2842"/>
    </row>
    <row r="8" spans="1:22" s="2846" customFormat="1" ht="13.15" customHeight="1">
      <c r="A8" s="2881" t="s">
        <v>2349</v>
      </c>
      <c r="B8" s="3816" t="s">
        <v>2350</v>
      </c>
      <c r="C8" s="3817"/>
      <c r="D8" s="2882" t="s">
        <v>2351</v>
      </c>
      <c r="E8" s="2883" t="s">
        <v>2352</v>
      </c>
      <c r="F8" s="2884" t="s">
        <v>2353</v>
      </c>
      <c r="G8" s="2885"/>
      <c r="H8" s="2841"/>
      <c r="I8" s="2842"/>
      <c r="J8" s="3799"/>
      <c r="K8" s="3801"/>
      <c r="L8" s="2876" t="s">
        <v>2354</v>
      </c>
      <c r="M8" s="2877"/>
      <c r="N8" s="2853"/>
      <c r="O8" s="2878"/>
      <c r="P8" s="2878"/>
      <c r="Q8" s="2879">
        <v>365</v>
      </c>
      <c r="R8" s="2880">
        <f t="shared" ref="R8:R13" si="0">ROUND(M8*N8*O8*P8*Q8/10000,0)</f>
        <v>0</v>
      </c>
      <c r="S8" s="2834"/>
      <c r="T8" s="2834" t="s">
        <v>2355</v>
      </c>
      <c r="U8" s="2834">
        <v>2</v>
      </c>
      <c r="V8" s="2842"/>
    </row>
    <row r="9" spans="1:22" s="2846" customFormat="1" ht="13.15" customHeight="1">
      <c r="A9" s="2881">
        <v>1</v>
      </c>
      <c r="B9" s="3816" t="s">
        <v>2356</v>
      </c>
      <c r="C9" s="3817"/>
      <c r="D9" s="2882">
        <f>ROUND(D6*E9,0)</f>
        <v>12</v>
      </c>
      <c r="E9" s="2886">
        <v>0.2</v>
      </c>
      <c r="F9" s="2887" t="s">
        <v>2357</v>
      </c>
      <c r="G9" s="2866"/>
      <c r="H9" s="2841"/>
      <c r="I9" s="2842"/>
      <c r="J9" s="3799"/>
      <c r="K9" s="3801"/>
      <c r="L9" s="2876" t="s">
        <v>2358</v>
      </c>
      <c r="M9" s="2877"/>
      <c r="N9" s="2853"/>
      <c r="O9" s="2878"/>
      <c r="P9" s="2878"/>
      <c r="Q9" s="2879">
        <v>365</v>
      </c>
      <c r="R9" s="2880">
        <f t="shared" si="0"/>
        <v>0</v>
      </c>
      <c r="S9" s="2834"/>
      <c r="T9" s="2834"/>
      <c r="U9" s="2834"/>
      <c r="V9" s="2842"/>
    </row>
    <row r="10" spans="1:22" s="2846" customFormat="1" ht="13.15" customHeight="1">
      <c r="A10" s="2881">
        <v>2</v>
      </c>
      <c r="B10" s="3816" t="s">
        <v>2359</v>
      </c>
      <c r="C10" s="3817"/>
      <c r="D10" s="2882">
        <f>ROUND(D6*E10,0)</f>
        <v>9</v>
      </c>
      <c r="E10" s="2886">
        <v>0.15</v>
      </c>
      <c r="F10" s="2887" t="s">
        <v>2360</v>
      </c>
      <c r="G10" s="2866"/>
      <c r="H10" s="2841"/>
      <c r="I10" s="2842"/>
      <c r="J10" s="3799"/>
      <c r="K10" s="3801"/>
      <c r="L10" s="2876" t="s">
        <v>2361</v>
      </c>
      <c r="M10" s="2877"/>
      <c r="N10" s="2853"/>
      <c r="O10" s="2878"/>
      <c r="P10" s="2878"/>
      <c r="Q10" s="2879">
        <v>365</v>
      </c>
      <c r="R10" s="2880">
        <f t="shared" si="0"/>
        <v>0</v>
      </c>
      <c r="S10" s="2834"/>
      <c r="T10" s="2834"/>
      <c r="U10" s="2834"/>
      <c r="V10" s="2842"/>
    </row>
    <row r="11" spans="1:22" s="2846" customFormat="1" ht="13.15" customHeight="1">
      <c r="A11" s="2881">
        <v>3</v>
      </c>
      <c r="B11" s="3816" t="s">
        <v>2362</v>
      </c>
      <c r="C11" s="3817"/>
      <c r="D11" s="2882">
        <f ca="1">D12+D14+D15+D16</f>
        <v>3</v>
      </c>
      <c r="E11" s="2888">
        <f ca="1">D11/D6</f>
        <v>5.1724137931034482E-2</v>
      </c>
      <c r="F11" s="2884"/>
      <c r="G11" s="2885"/>
      <c r="H11" s="2841"/>
      <c r="I11" s="2842"/>
      <c r="J11" s="3799"/>
      <c r="K11" s="3801"/>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809" t="s">
        <v>2365</v>
      </c>
      <c r="C12" s="3810"/>
      <c r="D12" s="2890">
        <f ca="1">ROUND(D13*1.2%*(1-30%),0)</f>
        <v>0</v>
      </c>
      <c r="E12" s="2891">
        <v>1.2E-2</v>
      </c>
      <c r="F12" s="2884" t="s">
        <v>2366</v>
      </c>
      <c r="G12" s="2885"/>
      <c r="H12" s="2841"/>
      <c r="I12" s="2842"/>
      <c r="J12" s="3799"/>
      <c r="K12" s="3801"/>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f ca="1">成本法!C49</f>
        <v>41</v>
      </c>
      <c r="E13" s="2895"/>
      <c r="F13" s="2884"/>
      <c r="G13" s="2885"/>
      <c r="H13" s="2841"/>
      <c r="I13" s="2842"/>
      <c r="J13" s="3799"/>
      <c r="K13" s="3801"/>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809" t="s">
        <v>2371</v>
      </c>
      <c r="C14" s="3810"/>
      <c r="D14" s="2890">
        <f>ROUND(E14*B5/10000,0)</f>
        <v>0</v>
      </c>
      <c r="E14" s="2879">
        <f>'数据-取费表'!B59</f>
        <v>1.5</v>
      </c>
      <c r="F14" s="2884" t="s">
        <v>2372</v>
      </c>
      <c r="G14" s="2885"/>
      <c r="H14" s="2841"/>
      <c r="I14" s="2842"/>
      <c r="J14" s="3799"/>
      <c r="K14" s="3802"/>
      <c r="L14" s="2896" t="s">
        <v>2373</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2374</v>
      </c>
      <c r="B15" s="3809" t="s">
        <v>2375</v>
      </c>
      <c r="C15" s="3810"/>
      <c r="D15" s="2890">
        <f>ROUND(D6*E15,0)</f>
        <v>3</v>
      </c>
      <c r="E15" s="2891">
        <v>5.5E-2</v>
      </c>
      <c r="F15" s="2884" t="s">
        <v>2376</v>
      </c>
      <c r="G15" s="2866"/>
      <c r="H15" s="2841"/>
      <c r="I15" s="2842"/>
      <c r="J15" s="3799">
        <v>2</v>
      </c>
      <c r="K15" s="3800"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809" t="s">
        <v>2384</v>
      </c>
      <c r="C16" s="3810"/>
      <c r="D16" s="2901">
        <f>D6*E16</f>
        <v>0</v>
      </c>
      <c r="E16" s="2902">
        <v>0</v>
      </c>
      <c r="F16" s="2887" t="s">
        <v>2385</v>
      </c>
      <c r="G16" s="2866"/>
      <c r="H16" s="2841"/>
      <c r="I16" s="2842"/>
      <c r="J16" s="3799"/>
      <c r="K16" s="3801"/>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811" t="s">
        <v>2387</v>
      </c>
      <c r="C17" s="3812"/>
      <c r="D17" s="2904">
        <f>ROUND(D6*E17,0)</f>
        <v>6</v>
      </c>
      <c r="E17" s="2905">
        <v>0.1</v>
      </c>
      <c r="F17" s="2906" t="s">
        <v>2388</v>
      </c>
      <c r="G17" s="2866"/>
      <c r="H17" s="2841"/>
      <c r="I17" s="2842"/>
      <c r="J17" s="3799"/>
      <c r="K17" s="3801"/>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3</v>
      </c>
      <c r="E18" s="2908">
        <v>0.05</v>
      </c>
      <c r="F18" s="2909" t="s">
        <v>2391</v>
      </c>
      <c r="G18" s="2866"/>
      <c r="H18" s="2841"/>
      <c r="I18" s="2842"/>
      <c r="J18" s="3799"/>
      <c r="K18" s="3801"/>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799"/>
      <c r="K19" s="3802"/>
      <c r="L19" s="2896" t="s">
        <v>2373</v>
      </c>
      <c r="M19" s="2897"/>
      <c r="N19" s="2897">
        <f>SUM(N16:N18)</f>
        <v>0</v>
      </c>
      <c r="O19" s="2898"/>
      <c r="P19" s="2911" t="s">
        <v>3405</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99">
        <v>3</v>
      </c>
      <c r="K20" s="3800"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799"/>
      <c r="K21" s="3801"/>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799"/>
      <c r="K22" s="3801"/>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58</v>
      </c>
      <c r="D23" s="2927">
        <f>C23*(1+D24)</f>
        <v>58</v>
      </c>
      <c r="E23" s="2928">
        <f>D23*(1+E24)</f>
        <v>58</v>
      </c>
      <c r="F23" s="2929"/>
      <c r="G23" s="2930"/>
      <c r="H23" s="2841"/>
      <c r="I23" s="2842"/>
      <c r="J23" s="3799"/>
      <c r="K23" s="3801"/>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799"/>
      <c r="K24" s="3802"/>
      <c r="L24" s="2896" t="s">
        <v>2373</v>
      </c>
      <c r="M24" s="2897">
        <f>SUM(M21:M23)</f>
        <v>0</v>
      </c>
      <c r="N24" s="2897"/>
      <c r="O24" s="2898"/>
      <c r="P24" s="2911" t="s">
        <v>3405</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 ca="1">D7</f>
        <v>30</v>
      </c>
      <c r="D26" s="2927">
        <f ca="1">D23*D27</f>
        <v>29.099999999999998</v>
      </c>
      <c r="E26" s="2928">
        <f>E23*E27</f>
        <v>0</v>
      </c>
      <c r="F26" s="2929"/>
      <c r="G26" s="2930"/>
      <c r="H26" s="2841"/>
      <c r="I26" s="2842"/>
      <c r="J26" s="3803">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f ca="1">E7</f>
        <v>0.50172413793103443</v>
      </c>
      <c r="D27" s="2934">
        <f ca="1">E9+E10+E11+E17</f>
        <v>0.50172413793103443</v>
      </c>
      <c r="E27" s="2935"/>
      <c r="F27" s="2936"/>
      <c r="G27" s="2930"/>
      <c r="H27" s="2951"/>
      <c r="I27" s="2942"/>
      <c r="J27" s="3804"/>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 ca="1">C23-C26-C29</f>
        <v>25.1</v>
      </c>
      <c r="D32" s="2927">
        <f ca="1">D23-D26-D29</f>
        <v>26</v>
      </c>
      <c r="E32" s="2928">
        <f>E23-E26-E29</f>
        <v>55.1</v>
      </c>
      <c r="F32" s="2929"/>
      <c r="G32" s="2923"/>
      <c r="H32" s="2841"/>
      <c r="I32" s="2842"/>
      <c r="J32" s="3805" t="s">
        <v>2320</v>
      </c>
      <c r="K32" s="3806"/>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807" t="s">
        <v>2330</v>
      </c>
      <c r="K33" s="3808"/>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f>'数据-取费表'!I6</f>
        <v>5.5E-2</v>
      </c>
      <c r="D34" s="2971">
        <v>0.01</v>
      </c>
      <c r="E34" s="2972">
        <v>0.01</v>
      </c>
      <c r="F34" s="2929"/>
      <c r="G34" s="2923"/>
      <c r="H34" s="2951"/>
      <c r="I34" s="2942"/>
      <c r="J34" s="3807" t="s">
        <v>2332</v>
      </c>
      <c r="K34" s="3808"/>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v>0</v>
      </c>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f>项目基本情况!D15</f>
        <v>16.96</v>
      </c>
      <c r="D36" s="2981"/>
      <c r="E36" s="2982"/>
      <c r="F36" s="2983">
        <f>C36+D36+E36</f>
        <v>16.96</v>
      </c>
      <c r="G36" s="2923"/>
      <c r="H36" s="2841"/>
      <c r="I36" s="2842"/>
      <c r="J36" s="3799">
        <v>1</v>
      </c>
      <c r="K36" s="3800"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799"/>
      <c r="K37" s="3801"/>
      <c r="L37" s="2876"/>
      <c r="M37" s="2877"/>
      <c r="N37" s="2853"/>
      <c r="O37" s="2878"/>
      <c r="P37" s="2878"/>
      <c r="Q37" s="2879"/>
      <c r="R37" s="2880"/>
      <c r="S37" s="2915"/>
      <c r="T37" s="2834" t="s">
        <v>2348</v>
      </c>
      <c r="U37" s="2834"/>
      <c r="V37" s="2842"/>
    </row>
    <row r="38" spans="1:23" s="2846" customFormat="1" ht="13.15" customHeight="1">
      <c r="A38" s="2924">
        <v>8</v>
      </c>
      <c r="B38" s="2925"/>
      <c r="C38" s="2882">
        <f ca="1">ROUND(C32*(1-((1+C35)/(1+C34))^C36)/(C34-C35),0)</f>
        <v>272</v>
      </c>
      <c r="D38" s="2882">
        <f ca="1">IF(D23=0,0,ROUND(D32*(1-((1+D35)/(1+D34))^D36)/(D34-D35),0))</f>
        <v>0</v>
      </c>
      <c r="E38" s="2882">
        <f>IF(E23=0,0,ROUND(E32*(1-((1+E35)/(1+E34))^E36)/(E34-E35),0))</f>
        <v>0</v>
      </c>
      <c r="F38" s="2929"/>
      <c r="G38" s="2923"/>
      <c r="H38" s="2841"/>
      <c r="I38" s="2842"/>
      <c r="J38" s="3799"/>
      <c r="K38" s="3801"/>
      <c r="L38" s="2876"/>
      <c r="M38" s="2877"/>
      <c r="N38" s="2853"/>
      <c r="O38" s="2878"/>
      <c r="P38" s="2878"/>
      <c r="Q38" s="2879"/>
      <c r="R38" s="2880"/>
      <c r="S38" s="2915"/>
      <c r="T38" s="2834" t="s">
        <v>2355</v>
      </c>
      <c r="U38" s="2834"/>
      <c r="V38" s="2842"/>
    </row>
    <row r="39" spans="1:23" s="2846" customFormat="1" ht="13.15" customHeight="1">
      <c r="A39" s="2924">
        <v>9</v>
      </c>
      <c r="B39" s="2925" t="s">
        <v>2433</v>
      </c>
      <c r="C39" s="2890">
        <f ca="1">C38</f>
        <v>272</v>
      </c>
      <c r="D39" s="2925">
        <f ca="1">D38/(1+D34)^C36</f>
        <v>0</v>
      </c>
      <c r="E39" s="2925">
        <f>E38/(1+E34)^(C36+D36)</f>
        <v>0</v>
      </c>
      <c r="F39" s="2929"/>
      <c r="G39" s="2984"/>
      <c r="H39" s="2841"/>
      <c r="I39" s="2842"/>
      <c r="J39" s="3799"/>
      <c r="K39" s="3801"/>
      <c r="L39" s="2876"/>
      <c r="M39" s="2877"/>
      <c r="N39" s="2853"/>
      <c r="O39" s="2878"/>
      <c r="P39" s="2878"/>
      <c r="Q39" s="2879"/>
      <c r="R39" s="2880"/>
      <c r="S39" s="2915"/>
      <c r="T39" s="2834"/>
      <c r="U39" s="2834"/>
      <c r="V39" s="2842"/>
    </row>
    <row r="40" spans="1:23" s="2846" customFormat="1" ht="13.15" customHeight="1">
      <c r="A40" s="2985">
        <v>10</v>
      </c>
      <c r="B40" s="2925" t="s">
        <v>2434</v>
      </c>
      <c r="C40" s="2986">
        <f ca="1">C39+D39+E39</f>
        <v>272</v>
      </c>
      <c r="D40" s="2987"/>
      <c r="E40" s="2987"/>
      <c r="F40" s="2988"/>
      <c r="G40" s="2923"/>
      <c r="H40" s="2841"/>
      <c r="I40" s="2842"/>
      <c r="J40" s="3799"/>
      <c r="K40" s="3802"/>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 ca="1">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803">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804"/>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61.42</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24" t="s">
        <v>1667</v>
      </c>
      <c r="D4" s="3725"/>
      <c r="E4" s="3726" t="s">
        <v>1668</v>
      </c>
      <c r="F4" s="3727"/>
      <c r="G4" s="3724" t="s">
        <v>1669</v>
      </c>
      <c r="H4" s="3725"/>
      <c r="I4" s="3724" t="s">
        <v>1670</v>
      </c>
      <c r="J4" s="3725"/>
      <c r="K4" s="1887" t="s">
        <v>1671</v>
      </c>
      <c r="L4" s="2709"/>
      <c r="M4" s="2710"/>
      <c r="N4" s="2710"/>
      <c r="O4" s="2710"/>
      <c r="P4" s="3728" t="s">
        <v>1672</v>
      </c>
      <c r="Q4" s="3729"/>
      <c r="R4" s="3734" t="s">
        <v>1668</v>
      </c>
      <c r="S4" s="3735"/>
      <c r="T4" s="3734" t="s">
        <v>1669</v>
      </c>
      <c r="U4" s="3735"/>
      <c r="V4" s="3719" t="s">
        <v>1670</v>
      </c>
      <c r="W4" s="3719"/>
      <c r="X4" s="1353"/>
      <c r="Y4" s="3734" t="s">
        <v>1672</v>
      </c>
      <c r="Z4" s="3735"/>
      <c r="AA4" s="3721" t="s">
        <v>1668</v>
      </c>
      <c r="AB4" s="3721" t="s">
        <v>1669</v>
      </c>
      <c r="AC4" s="3721" t="s">
        <v>1670</v>
      </c>
    </row>
    <row r="5" spans="1:29" ht="15">
      <c r="A5" s="357"/>
      <c r="B5" s="358"/>
      <c r="C5" s="3818" t="s">
        <v>1673</v>
      </c>
      <c r="D5" s="3743"/>
      <c r="E5" s="3819" t="s">
        <v>1674</v>
      </c>
      <c r="F5" s="3791"/>
      <c r="G5" s="3818" t="s">
        <v>1675</v>
      </c>
      <c r="H5" s="3743"/>
      <c r="I5" s="3818" t="s">
        <v>1676</v>
      </c>
      <c r="J5" s="3743"/>
      <c r="K5" s="188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188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44" t="s">
        <v>1680</v>
      </c>
      <c r="Q7" s="3746"/>
      <c r="R7" s="699" t="s">
        <v>20</v>
      </c>
      <c r="S7" s="700">
        <f t="shared" ref="S7:S15" si="0">F7</f>
        <v>0</v>
      </c>
      <c r="T7" s="699" t="s">
        <v>20</v>
      </c>
      <c r="U7" s="700">
        <f t="shared" ref="U7:U15" si="1">H7</f>
        <v>0</v>
      </c>
      <c r="V7" s="699" t="s">
        <v>20</v>
      </c>
      <c r="W7" s="700">
        <f t="shared" ref="W7:W15"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44" t="s">
        <v>1683</v>
      </c>
      <c r="Q8" s="3745"/>
      <c r="R8" s="699" t="s">
        <v>20</v>
      </c>
      <c r="S8" s="700">
        <f t="shared" si="0"/>
        <v>100</v>
      </c>
      <c r="T8" s="699" t="s">
        <v>20</v>
      </c>
      <c r="U8" s="700">
        <f t="shared" si="1"/>
        <v>100</v>
      </c>
      <c r="V8" s="699" t="s">
        <v>20</v>
      </c>
      <c r="W8" s="700">
        <f t="shared" si="2"/>
        <v>100</v>
      </c>
      <c r="X8" s="701"/>
      <c r="Y8" s="3744" t="s">
        <v>1683</v>
      </c>
      <c r="Z8" s="3745"/>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20"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20"/>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20"/>
      <c r="Q11" s="1341" t="str">
        <f t="shared" si="6"/>
        <v>容积率</v>
      </c>
      <c r="R11" s="699" t="s">
        <v>18</v>
      </c>
      <c r="S11" s="700" t="e">
        <f t="shared" si="0"/>
        <v>#N/A</v>
      </c>
      <c r="T11" s="699" t="s">
        <v>18</v>
      </c>
      <c r="U11" s="700" t="e">
        <f t="shared" si="1"/>
        <v>#N/A</v>
      </c>
      <c r="V11" s="699" t="s">
        <v>18</v>
      </c>
      <c r="W11" s="700" t="e">
        <f t="shared" si="2"/>
        <v>#N/A</v>
      </c>
      <c r="X11" s="701"/>
      <c r="Y11" s="3605"/>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20"/>
      <c r="Q12" s="1341">
        <f t="shared" si="6"/>
        <v>111</v>
      </c>
      <c r="R12" s="699" t="s">
        <v>18</v>
      </c>
      <c r="S12" s="700">
        <f t="shared" si="0"/>
        <v>100</v>
      </c>
      <c r="T12" s="699" t="s">
        <v>18</v>
      </c>
      <c r="U12" s="700">
        <f t="shared" si="1"/>
        <v>100</v>
      </c>
      <c r="V12" s="699" t="s">
        <v>18</v>
      </c>
      <c r="W12" s="700">
        <f t="shared" si="2"/>
        <v>100</v>
      </c>
      <c r="X12" s="701"/>
      <c r="Y12" s="3605"/>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20"/>
      <c r="Q13" s="1341">
        <f t="shared" si="6"/>
        <v>111</v>
      </c>
      <c r="R13" s="699" t="s">
        <v>18</v>
      </c>
      <c r="S13" s="700">
        <f t="shared" si="0"/>
        <v>100</v>
      </c>
      <c r="T13" s="699" t="s">
        <v>18</v>
      </c>
      <c r="U13" s="700">
        <f t="shared" si="1"/>
        <v>100</v>
      </c>
      <c r="V13" s="699" t="s">
        <v>18</v>
      </c>
      <c r="W13" s="700">
        <f t="shared" si="2"/>
        <v>100</v>
      </c>
      <c r="X13" s="701"/>
      <c r="Y13" s="3605"/>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20"/>
      <c r="Q14" s="1341">
        <f t="shared" si="6"/>
        <v>111</v>
      </c>
      <c r="R14" s="699" t="s">
        <v>18</v>
      </c>
      <c r="S14" s="700">
        <f t="shared" si="0"/>
        <v>100</v>
      </c>
      <c r="T14" s="699" t="s">
        <v>18</v>
      </c>
      <c r="U14" s="700">
        <f t="shared" si="1"/>
        <v>100</v>
      </c>
      <c r="V14" s="699" t="s">
        <v>18</v>
      </c>
      <c r="W14" s="700">
        <f t="shared" si="2"/>
        <v>100</v>
      </c>
      <c r="X14" s="701"/>
      <c r="Y14" s="3605"/>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10" t="s">
        <v>1691</v>
      </c>
      <c r="Q15" s="1350" t="str">
        <f t="shared" si="6"/>
        <v>居住社区成熟度</v>
      </c>
      <c r="R15" s="703" t="s">
        <v>18</v>
      </c>
      <c r="S15" s="704">
        <f t="shared" si="0"/>
        <v>100</v>
      </c>
      <c r="T15" s="703" t="s">
        <v>18</v>
      </c>
      <c r="U15" s="704">
        <f t="shared" si="1"/>
        <v>100</v>
      </c>
      <c r="V15" s="703" t="s">
        <v>18</v>
      </c>
      <c r="W15" s="704">
        <f t="shared" si="2"/>
        <v>100</v>
      </c>
      <c r="X15" s="1353"/>
      <c r="Y15" s="3712"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11"/>
      <c r="Q16" s="1350"/>
      <c r="R16" s="703"/>
      <c r="S16" s="704"/>
      <c r="T16" s="703"/>
      <c r="U16" s="704"/>
      <c r="V16" s="703"/>
      <c r="W16" s="704"/>
      <c r="X16" s="1353"/>
      <c r="Y16" s="3713"/>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11"/>
      <c r="Q17" s="1350" t="str">
        <f>B17</f>
        <v>交通便捷度</v>
      </c>
      <c r="R17" s="703" t="s">
        <v>18</v>
      </c>
      <c r="S17" s="704">
        <f>F17</f>
        <v>100</v>
      </c>
      <c r="T17" s="703" t="s">
        <v>18</v>
      </c>
      <c r="U17" s="704">
        <f>H17</f>
        <v>100</v>
      </c>
      <c r="V17" s="703" t="s">
        <v>18</v>
      </c>
      <c r="W17" s="704">
        <f>J17</f>
        <v>100</v>
      </c>
      <c r="X17" s="1353"/>
      <c r="Y17" s="3713"/>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11"/>
      <c r="Q18" s="1350"/>
      <c r="R18" s="703"/>
      <c r="S18" s="704"/>
      <c r="T18" s="703"/>
      <c r="U18" s="704"/>
      <c r="V18" s="703"/>
      <c r="W18" s="704"/>
      <c r="X18" s="1353"/>
      <c r="Y18" s="3713"/>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11"/>
      <c r="Q19" s="1350" t="str">
        <f>B19</f>
        <v>公共配套设施</v>
      </c>
      <c r="R19" s="703" t="s">
        <v>18</v>
      </c>
      <c r="S19" s="704">
        <f>F19</f>
        <v>100</v>
      </c>
      <c r="T19" s="703" t="s">
        <v>18</v>
      </c>
      <c r="U19" s="704">
        <f>H19</f>
        <v>100</v>
      </c>
      <c r="V19" s="703" t="s">
        <v>18</v>
      </c>
      <c r="W19" s="704">
        <f>J19</f>
        <v>100</v>
      </c>
      <c r="X19" s="1353"/>
      <c r="Y19" s="3713"/>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11"/>
      <c r="Q20" s="1350"/>
      <c r="R20" s="703"/>
      <c r="S20" s="704"/>
      <c r="T20" s="703"/>
      <c r="U20" s="704"/>
      <c r="V20" s="703"/>
      <c r="W20" s="704"/>
      <c r="X20" s="1353"/>
      <c r="Y20" s="3713"/>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11"/>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11"/>
      <c r="Q22" s="1350"/>
      <c r="R22" s="703"/>
      <c r="S22" s="704"/>
      <c r="T22" s="703"/>
      <c r="U22" s="704"/>
      <c r="V22" s="703"/>
      <c r="W22" s="704"/>
      <c r="X22" s="1353"/>
      <c r="Y22" s="3713"/>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11"/>
      <c r="Q23" s="1350" t="str">
        <f>B23</f>
        <v>自然及人文环境</v>
      </c>
      <c r="R23" s="703" t="s">
        <v>18</v>
      </c>
      <c r="S23" s="704">
        <f>F23</f>
        <v>100</v>
      </c>
      <c r="T23" s="703" t="s">
        <v>18</v>
      </c>
      <c r="U23" s="704">
        <f>H23</f>
        <v>100</v>
      </c>
      <c r="V23" s="703" t="s">
        <v>18</v>
      </c>
      <c r="W23" s="704">
        <f>J23</f>
        <v>100</v>
      </c>
      <c r="X23" s="1353"/>
      <c r="Y23" s="3713"/>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11"/>
      <c r="Q24" s="1350"/>
      <c r="R24" s="703"/>
      <c r="S24" s="704"/>
      <c r="T24" s="703"/>
      <c r="U24" s="704"/>
      <c r="V24" s="703"/>
      <c r="W24" s="704"/>
      <c r="X24" s="1353"/>
      <c r="Y24" s="3713"/>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11"/>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13"/>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11"/>
      <c r="Q26" s="1350" t="str">
        <f t="shared" si="11"/>
        <v>朝向</v>
      </c>
      <c r="R26" s="703" t="s">
        <v>18</v>
      </c>
      <c r="S26" s="704">
        <f t="shared" si="12"/>
        <v>100</v>
      </c>
      <c r="T26" s="703" t="s">
        <v>18</v>
      </c>
      <c r="U26" s="704">
        <f t="shared" si="13"/>
        <v>100</v>
      </c>
      <c r="V26" s="703" t="s">
        <v>18</v>
      </c>
      <c r="W26" s="704">
        <f t="shared" si="14"/>
        <v>100</v>
      </c>
      <c r="X26" s="1353"/>
      <c r="Y26" s="3713"/>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11"/>
      <c r="Q27" s="1341">
        <f t="shared" si="11"/>
        <v>111</v>
      </c>
      <c r="R27" s="699" t="s">
        <v>18</v>
      </c>
      <c r="S27" s="700">
        <f t="shared" si="12"/>
        <v>100</v>
      </c>
      <c r="T27" s="699" t="s">
        <v>18</v>
      </c>
      <c r="U27" s="700">
        <f t="shared" si="13"/>
        <v>100</v>
      </c>
      <c r="V27" s="699" t="s">
        <v>18</v>
      </c>
      <c r="W27" s="700">
        <f t="shared" si="14"/>
        <v>100</v>
      </c>
      <c r="X27" s="701"/>
      <c r="Y27" s="3713"/>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11"/>
      <c r="Q28" s="1350">
        <f t="shared" si="11"/>
        <v>111</v>
      </c>
      <c r="R28" s="703" t="s">
        <v>18</v>
      </c>
      <c r="S28" s="704">
        <f t="shared" si="12"/>
        <v>100</v>
      </c>
      <c r="T28" s="703" t="s">
        <v>18</v>
      </c>
      <c r="U28" s="704">
        <f t="shared" si="13"/>
        <v>100</v>
      </c>
      <c r="V28" s="703" t="s">
        <v>18</v>
      </c>
      <c r="W28" s="704">
        <f t="shared" si="14"/>
        <v>100</v>
      </c>
      <c r="X28" s="1353"/>
      <c r="Y28" s="3713"/>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11"/>
      <c r="Q29" s="1350">
        <f t="shared" si="11"/>
        <v>111</v>
      </c>
      <c r="R29" s="703" t="s">
        <v>18</v>
      </c>
      <c r="S29" s="704">
        <f t="shared" si="12"/>
        <v>100</v>
      </c>
      <c r="T29" s="703" t="s">
        <v>18</v>
      </c>
      <c r="U29" s="704">
        <f t="shared" si="13"/>
        <v>100</v>
      </c>
      <c r="V29" s="703" t="s">
        <v>18</v>
      </c>
      <c r="W29" s="704">
        <f t="shared" si="14"/>
        <v>100</v>
      </c>
      <c r="X29" s="1353"/>
      <c r="Y29" s="3713"/>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11"/>
      <c r="Q30" s="1350">
        <f t="shared" si="11"/>
        <v>111</v>
      </c>
      <c r="R30" s="703" t="s">
        <v>18</v>
      </c>
      <c r="S30" s="704">
        <f t="shared" si="12"/>
        <v>100</v>
      </c>
      <c r="T30" s="703" t="s">
        <v>18</v>
      </c>
      <c r="U30" s="704">
        <f t="shared" si="13"/>
        <v>100</v>
      </c>
      <c r="V30" s="703" t="s">
        <v>18</v>
      </c>
      <c r="W30" s="704">
        <f t="shared" si="14"/>
        <v>100</v>
      </c>
      <c r="X30" s="1353"/>
      <c r="Y30" s="3713"/>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11"/>
      <c r="Q31" s="1350">
        <f t="shared" si="11"/>
        <v>111</v>
      </c>
      <c r="R31" s="703" t="s">
        <v>18</v>
      </c>
      <c r="S31" s="704">
        <f t="shared" si="12"/>
        <v>100</v>
      </c>
      <c r="T31" s="703" t="s">
        <v>18</v>
      </c>
      <c r="U31" s="704">
        <f t="shared" si="13"/>
        <v>100</v>
      </c>
      <c r="V31" s="703" t="s">
        <v>18</v>
      </c>
      <c r="W31" s="704">
        <f t="shared" si="14"/>
        <v>100</v>
      </c>
      <c r="X31" s="1353"/>
      <c r="Y31" s="3713"/>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14" t="s">
        <v>1696</v>
      </c>
      <c r="Q32" s="1350" t="str">
        <f t="shared" si="11"/>
        <v>建筑类型</v>
      </c>
      <c r="R32" s="703" t="s">
        <v>18</v>
      </c>
      <c r="S32" s="704">
        <f t="shared" si="12"/>
        <v>100</v>
      </c>
      <c r="T32" s="703" t="s">
        <v>18</v>
      </c>
      <c r="U32" s="704">
        <f t="shared" si="13"/>
        <v>100</v>
      </c>
      <c r="V32" s="703" t="s">
        <v>18</v>
      </c>
      <c r="W32" s="704">
        <f t="shared" si="14"/>
        <v>100</v>
      </c>
      <c r="X32" s="1353"/>
      <c r="Y32" s="3717"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15"/>
      <c r="Q33" s="705" t="str">
        <f t="shared" si="11"/>
        <v>项目建筑规模</v>
      </c>
      <c r="R33" s="706" t="s">
        <v>18</v>
      </c>
      <c r="S33" s="707" t="e">
        <f t="shared" si="12"/>
        <v>#N/A</v>
      </c>
      <c r="T33" s="706" t="s">
        <v>18</v>
      </c>
      <c r="U33" s="707" t="e">
        <f t="shared" si="13"/>
        <v>#N/A</v>
      </c>
      <c r="V33" s="706" t="s">
        <v>18</v>
      </c>
      <c r="W33" s="707" t="e">
        <f t="shared" si="14"/>
        <v>#N/A</v>
      </c>
      <c r="X33" s="708"/>
      <c r="Y33" s="3717"/>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15"/>
      <c r="Q34" s="1350" t="str">
        <f t="shared" si="11"/>
        <v>建筑结构</v>
      </c>
      <c r="R34" s="703" t="s">
        <v>18</v>
      </c>
      <c r="S34" s="704">
        <f t="shared" si="12"/>
        <v>100</v>
      </c>
      <c r="T34" s="703" t="s">
        <v>18</v>
      </c>
      <c r="U34" s="704">
        <f t="shared" si="13"/>
        <v>100</v>
      </c>
      <c r="V34" s="703" t="s">
        <v>18</v>
      </c>
      <c r="W34" s="704">
        <f t="shared" si="14"/>
        <v>100</v>
      </c>
      <c r="X34" s="1353"/>
      <c r="Y34" s="3717"/>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15"/>
      <c r="Q35" s="1350" t="str">
        <f t="shared" si="11"/>
        <v>建筑品质</v>
      </c>
      <c r="R35" s="703" t="s">
        <v>18</v>
      </c>
      <c r="S35" s="704">
        <f t="shared" si="12"/>
        <v>100</v>
      </c>
      <c r="T35" s="703" t="s">
        <v>18</v>
      </c>
      <c r="U35" s="704">
        <f t="shared" si="13"/>
        <v>100</v>
      </c>
      <c r="V35" s="703" t="s">
        <v>18</v>
      </c>
      <c r="W35" s="704">
        <f t="shared" si="14"/>
        <v>100</v>
      </c>
      <c r="X35" s="1353"/>
      <c r="Y35" s="3717"/>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15"/>
      <c r="Q36" s="1350" t="str">
        <f t="shared" si="11"/>
        <v>公共部分装修</v>
      </c>
      <c r="R36" s="703" t="s">
        <v>18</v>
      </c>
      <c r="S36" s="704">
        <f t="shared" si="12"/>
        <v>100</v>
      </c>
      <c r="T36" s="703" t="s">
        <v>18</v>
      </c>
      <c r="U36" s="704">
        <f t="shared" si="13"/>
        <v>100</v>
      </c>
      <c r="V36" s="703" t="s">
        <v>18</v>
      </c>
      <c r="W36" s="704">
        <f t="shared" si="14"/>
        <v>100</v>
      </c>
      <c r="X36" s="1353"/>
      <c r="Y36" s="3717"/>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15"/>
      <c r="Q37" s="1341" t="str">
        <f t="shared" si="11"/>
        <v>成新度</v>
      </c>
      <c r="R37" s="699" t="s">
        <v>18</v>
      </c>
      <c r="S37" s="700" t="e">
        <f t="shared" si="12"/>
        <v>#N/A</v>
      </c>
      <c r="T37" s="699" t="s">
        <v>18</v>
      </c>
      <c r="U37" s="700" t="e">
        <f t="shared" si="13"/>
        <v>#N/A</v>
      </c>
      <c r="V37" s="699" t="s">
        <v>18</v>
      </c>
      <c r="W37" s="700" t="e">
        <f t="shared" si="14"/>
        <v>#N/A</v>
      </c>
      <c r="X37" s="701"/>
      <c r="Y37" s="3717"/>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15" t="s">
        <v>1696</v>
      </c>
      <c r="Q38" s="1350" t="str">
        <f t="shared" si="11"/>
        <v>物业管理</v>
      </c>
      <c r="R38" s="703" t="s">
        <v>18</v>
      </c>
      <c r="S38" s="704">
        <f t="shared" si="12"/>
        <v>100</v>
      </c>
      <c r="T38" s="703" t="s">
        <v>18</v>
      </c>
      <c r="U38" s="704">
        <f t="shared" si="13"/>
        <v>100</v>
      </c>
      <c r="V38" s="703" t="s">
        <v>18</v>
      </c>
      <c r="W38" s="704">
        <f t="shared" si="14"/>
        <v>100</v>
      </c>
      <c r="X38" s="1353"/>
      <c r="Y38" s="3717"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15"/>
      <c r="Q39" s="1350" t="str">
        <f t="shared" si="11"/>
        <v>市政基础设施</v>
      </c>
      <c r="R39" s="703" t="s">
        <v>18</v>
      </c>
      <c r="S39" s="704">
        <f t="shared" si="12"/>
        <v>100</v>
      </c>
      <c r="T39" s="703" t="s">
        <v>18</v>
      </c>
      <c r="U39" s="704">
        <f t="shared" si="13"/>
        <v>100</v>
      </c>
      <c r="V39" s="703" t="s">
        <v>18</v>
      </c>
      <c r="W39" s="704">
        <f t="shared" si="14"/>
        <v>100</v>
      </c>
      <c r="X39" s="1353"/>
      <c r="Y39" s="3717"/>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15"/>
      <c r="Q40" s="1350" t="str">
        <f t="shared" si="11"/>
        <v>房型</v>
      </c>
      <c r="R40" s="703" t="s">
        <v>18</v>
      </c>
      <c r="S40" s="704">
        <f t="shared" si="12"/>
        <v>100</v>
      </c>
      <c r="T40" s="703" t="s">
        <v>18</v>
      </c>
      <c r="U40" s="704">
        <f t="shared" si="13"/>
        <v>100</v>
      </c>
      <c r="V40" s="703" t="s">
        <v>18</v>
      </c>
      <c r="W40" s="704">
        <f t="shared" si="14"/>
        <v>100</v>
      </c>
      <c r="X40" s="1353"/>
      <c r="Y40" s="3717"/>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15"/>
      <c r="Q41" s="705" t="str">
        <f t="shared" si="11"/>
        <v>单套/主力户型建筑面积</v>
      </c>
      <c r="R41" s="706" t="s">
        <v>18</v>
      </c>
      <c r="S41" s="707">
        <f t="shared" si="12"/>
        <v>100</v>
      </c>
      <c r="T41" s="706" t="s">
        <v>18</v>
      </c>
      <c r="U41" s="707">
        <f t="shared" si="13"/>
        <v>100</v>
      </c>
      <c r="V41" s="706" t="s">
        <v>18</v>
      </c>
      <c r="W41" s="707">
        <f t="shared" si="14"/>
        <v>100</v>
      </c>
      <c r="X41" s="708"/>
      <c r="Y41" s="3717"/>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15"/>
      <c r="Q42" s="1350" t="str">
        <f t="shared" si="11"/>
        <v>内部装修</v>
      </c>
      <c r="R42" s="703" t="s">
        <v>18</v>
      </c>
      <c r="S42" s="704">
        <f t="shared" si="12"/>
        <v>100</v>
      </c>
      <c r="T42" s="703" t="s">
        <v>18</v>
      </c>
      <c r="U42" s="704">
        <f t="shared" si="13"/>
        <v>100</v>
      </c>
      <c r="V42" s="703" t="s">
        <v>18</v>
      </c>
      <c r="W42" s="704">
        <f t="shared" si="14"/>
        <v>100</v>
      </c>
      <c r="X42" s="1353"/>
      <c r="Y42" s="3717"/>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15"/>
      <c r="Q43" s="1350" t="str">
        <f t="shared" si="11"/>
        <v>内部装修维护情况</v>
      </c>
      <c r="R43" s="703" t="s">
        <v>18</v>
      </c>
      <c r="S43" s="704">
        <f t="shared" si="12"/>
        <v>100</v>
      </c>
      <c r="T43" s="703" t="s">
        <v>18</v>
      </c>
      <c r="U43" s="704">
        <f t="shared" si="13"/>
        <v>100</v>
      </c>
      <c r="V43" s="703" t="s">
        <v>18</v>
      </c>
      <c r="W43" s="704">
        <f t="shared" si="14"/>
        <v>100</v>
      </c>
      <c r="X43" s="1353"/>
      <c r="Y43" s="3717"/>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15"/>
      <c r="Q44" s="1341">
        <f t="shared" si="11"/>
        <v>111</v>
      </c>
      <c r="R44" s="699" t="s">
        <v>18</v>
      </c>
      <c r="S44" s="700">
        <f t="shared" si="12"/>
        <v>100</v>
      </c>
      <c r="T44" s="699" t="s">
        <v>18</v>
      </c>
      <c r="U44" s="700">
        <f t="shared" si="13"/>
        <v>100</v>
      </c>
      <c r="V44" s="699" t="s">
        <v>18</v>
      </c>
      <c r="W44" s="700">
        <f t="shared" si="14"/>
        <v>100</v>
      </c>
      <c r="X44" s="701"/>
      <c r="Y44" s="3717"/>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15"/>
      <c r="Q45" s="1350">
        <f t="shared" si="11"/>
        <v>111</v>
      </c>
      <c r="R45" s="703" t="s">
        <v>18</v>
      </c>
      <c r="S45" s="704">
        <f t="shared" si="12"/>
        <v>100</v>
      </c>
      <c r="T45" s="703" t="s">
        <v>18</v>
      </c>
      <c r="U45" s="704">
        <f t="shared" si="13"/>
        <v>100</v>
      </c>
      <c r="V45" s="703" t="s">
        <v>18</v>
      </c>
      <c r="W45" s="704">
        <f t="shared" si="14"/>
        <v>100</v>
      </c>
      <c r="X45" s="1353"/>
      <c r="Y45" s="3717"/>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16"/>
      <c r="Q46" s="1350">
        <f t="shared" si="11"/>
        <v>111</v>
      </c>
      <c r="R46" s="703" t="s">
        <v>17</v>
      </c>
      <c r="S46" s="704">
        <f t="shared" si="12"/>
        <v>100</v>
      </c>
      <c r="T46" s="703" t="s">
        <v>17</v>
      </c>
      <c r="U46" s="704">
        <f t="shared" si="13"/>
        <v>100</v>
      </c>
      <c r="V46" s="703" t="s">
        <v>17</v>
      </c>
      <c r="W46" s="704">
        <f t="shared" si="14"/>
        <v>100</v>
      </c>
      <c r="X46" s="1353"/>
      <c r="Y46" s="3718"/>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05" t="str">
        <f>A47</f>
        <v>成交单价（元/平方米）</v>
      </c>
      <c r="Q47" s="3705"/>
      <c r="R47" s="3706">
        <f>E47</f>
        <v>0</v>
      </c>
      <c r="S47" s="3706"/>
      <c r="T47" s="3706">
        <f>G47</f>
        <v>0</v>
      </c>
      <c r="U47" s="3706"/>
      <c r="V47" s="3706">
        <f>I47</f>
        <v>0</v>
      </c>
      <c r="W47" s="3706"/>
      <c r="X47" s="688"/>
      <c r="Y47" s="710"/>
      <c r="Z47" s="688"/>
      <c r="AA47" s="688"/>
      <c r="AB47" s="688"/>
      <c r="AC47" s="688"/>
    </row>
    <row r="48" spans="1:29" ht="15.75" thickBot="1">
      <c r="A48" s="436" t="s">
        <v>1709</v>
      </c>
      <c r="B48" s="437"/>
      <c r="C48" s="1158" t="e">
        <f>R49</f>
        <v>#DIV/0!</v>
      </c>
      <c r="D48" s="2315" t="s">
        <v>2137</v>
      </c>
      <c r="E48" s="1159" t="e">
        <f>R48</f>
        <v>#DIV/0!</v>
      </c>
      <c r="F48" s="2316"/>
      <c r="G48" s="1158" t="e">
        <f>T48</f>
        <v>#DIV/0!</v>
      </c>
      <c r="H48" s="2316"/>
      <c r="I48" s="1159" t="e">
        <f>V48</f>
        <v>#DIV/0!</v>
      </c>
      <c r="J48" s="2316"/>
      <c r="K48" s="2317">
        <f>F48+H48+J48</f>
        <v>0</v>
      </c>
      <c r="L48" s="2718"/>
      <c r="M48" s="2719"/>
      <c r="N48" s="2719"/>
      <c r="O48" s="2719"/>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07" t="str">
        <f>A49</f>
        <v>估价对象XX用房的比较价值（楼面单价，元/平方米）</v>
      </c>
      <c r="Q49" s="3708"/>
      <c r="R49" s="3709" t="e">
        <f>IF(F1="售价",ROUND(IF(D48="简单平均",AVERAGE(R48:V48),R48*F48+T48*H48+V48*J48),0),ROUND(IF(D48="简单平均",AVERAGE(R48:V48),R48*F48+T48*H48+V48*J48),1))</f>
        <v>#DIV/0!</v>
      </c>
      <c r="S49" s="3709"/>
      <c r="T49" s="3709"/>
      <c r="U49" s="3709"/>
      <c r="V49" s="3709"/>
      <c r="W49" s="3709"/>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2024-3</v>
      </c>
      <c r="D58" s="1183">
        <f>EDATE(C58,-1)</f>
        <v>45323</v>
      </c>
      <c r="E58" s="1183">
        <f>EDATE(D58,-1)</f>
        <v>45292</v>
      </c>
      <c r="F58" s="1183">
        <f t="shared" ref="F58:O58" si="19">EDATE(E58,-1)</f>
        <v>45261</v>
      </c>
      <c r="G58" s="1183">
        <f t="shared" si="19"/>
        <v>45231</v>
      </c>
      <c r="H58" s="1183">
        <f t="shared" si="19"/>
        <v>45200</v>
      </c>
      <c r="I58" s="1183">
        <f t="shared" si="19"/>
        <v>45170</v>
      </c>
      <c r="J58" s="1183">
        <f t="shared" si="19"/>
        <v>45139</v>
      </c>
      <c r="K58" s="1183">
        <f t="shared" si="19"/>
        <v>45108</v>
      </c>
      <c r="L58" s="1183">
        <f t="shared" si="19"/>
        <v>45078</v>
      </c>
      <c r="M58" s="1183">
        <f t="shared" si="19"/>
        <v>45047</v>
      </c>
      <c r="N58" s="1183">
        <f t="shared" si="19"/>
        <v>45017</v>
      </c>
      <c r="O58" s="1183">
        <f t="shared" si="19"/>
        <v>44986</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9" priority="19" stopIfTrue="1" operator="containsText" text="超过">
      <formula>NOT(ISERROR(SEARCH("超过",F52)))</formula>
    </cfRule>
  </conditionalFormatting>
  <conditionalFormatting sqref="J54">
    <cfRule type="containsText" dxfId="138" priority="18" stopIfTrue="1" operator="containsText" text="超过">
      <formula>NOT(ISERROR(SEARCH("超过",J54)))</formula>
    </cfRule>
  </conditionalFormatting>
  <conditionalFormatting sqref="H54">
    <cfRule type="containsText" dxfId="137" priority="17" stopIfTrue="1" operator="containsText" text="超过">
      <formula>NOT(ISERROR(SEARCH("超过",H54)))</formula>
    </cfRule>
  </conditionalFormatting>
  <conditionalFormatting sqref="F54">
    <cfRule type="containsText" dxfId="136" priority="16" stopIfTrue="1" operator="containsText" text="超过">
      <formula>NOT(ISERROR(SEARCH("超过",F54)))</formula>
    </cfRule>
  </conditionalFormatting>
  <conditionalFormatting sqref="F53 H53 J53">
    <cfRule type="containsText" dxfId="135" priority="15" stopIfTrue="1" operator="containsText" text="超过">
      <formula>NOT(ISERROR(SEARCH("超过",F53)))</formula>
    </cfRule>
  </conditionalFormatting>
  <conditionalFormatting sqref="E52">
    <cfRule type="expression" dxfId="134" priority="14" stopIfTrue="1">
      <formula>$F$52="超过30%"</formula>
    </cfRule>
  </conditionalFormatting>
  <conditionalFormatting sqref="G54">
    <cfRule type="expression" dxfId="133" priority="12" stopIfTrue="1">
      <formula>$H$54="超过30%"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2">
    <cfRule type="expression" dxfId="130" priority="9" stopIfTrue="1">
      <formula>$H$52="超过30%"</formula>
    </cfRule>
  </conditionalFormatting>
  <conditionalFormatting sqref="G53">
    <cfRule type="expression" dxfId="129" priority="8" stopIfTrue="1">
      <formula>$H$53="超过20%"</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61.42</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911"/>
      <c r="M4" s="912"/>
      <c r="N4" s="912"/>
      <c r="O4" s="912"/>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911"/>
      <c r="M5" s="912"/>
      <c r="N5" s="912"/>
      <c r="O5" s="912"/>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558" t="s">
        <v>1678</v>
      </c>
      <c r="L6" s="911"/>
      <c r="M6" s="912"/>
      <c r="N6" s="912"/>
      <c r="O6" s="912"/>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SUMIF(52:52,YEAR(E7)&amp;"-"&amp;MONTH(E7),53:53)</f>
        <v>0</v>
      </c>
      <c r="G7" s="365"/>
      <c r="H7" s="364">
        <f>SUMIF(52:52,YEAR(G7)&amp;"-"&amp;MONTH(G7),53:53)</f>
        <v>0</v>
      </c>
      <c r="I7" s="365"/>
      <c r="J7" s="364">
        <f>SUMIF(52:52,YEAR(I7)&amp;"-"&amp;MONTH(I7),53:53)</f>
        <v>0</v>
      </c>
      <c r="K7" s="559"/>
      <c r="L7" s="913"/>
      <c r="M7" s="914"/>
      <c r="N7" s="914"/>
      <c r="O7" s="914"/>
      <c r="P7" s="3744" t="s">
        <v>1680</v>
      </c>
      <c r="Q7" s="3746"/>
      <c r="R7" s="699" t="s">
        <v>14</v>
      </c>
      <c r="S7" s="700">
        <f t="shared" ref="S7:S15" si="0">F7</f>
        <v>0</v>
      </c>
      <c r="T7" s="699" t="s">
        <v>14</v>
      </c>
      <c r="U7" s="700">
        <f t="shared" ref="U7:U15" si="1">H7</f>
        <v>0</v>
      </c>
      <c r="V7" s="699" t="s">
        <v>14</v>
      </c>
      <c r="W7" s="700">
        <f t="shared" ref="W7:W15"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44" t="s">
        <v>1683</v>
      </c>
      <c r="Q8" s="3745"/>
      <c r="R8" s="699" t="s">
        <v>14</v>
      </c>
      <c r="S8" s="700">
        <f t="shared" si="0"/>
        <v>100</v>
      </c>
      <c r="T8" s="699" t="s">
        <v>14</v>
      </c>
      <c r="U8" s="700">
        <f t="shared" si="1"/>
        <v>100</v>
      </c>
      <c r="V8" s="699" t="s">
        <v>14</v>
      </c>
      <c r="W8" s="700">
        <f t="shared" si="2"/>
        <v>100</v>
      </c>
      <c r="X8" s="701"/>
      <c r="Y8" s="3744" t="s">
        <v>1683</v>
      </c>
      <c r="Z8" s="3745"/>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05"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05"/>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05"/>
      <c r="Q11" s="1341" t="str">
        <f t="shared" si="6"/>
        <v>容积率</v>
      </c>
      <c r="R11" s="699" t="s">
        <v>14</v>
      </c>
      <c r="S11" s="700">
        <f t="shared" si="0"/>
        <v>100</v>
      </c>
      <c r="T11" s="699" t="s">
        <v>14</v>
      </c>
      <c r="U11" s="700">
        <f t="shared" si="1"/>
        <v>100</v>
      </c>
      <c r="V11" s="699" t="s">
        <v>14</v>
      </c>
      <c r="W11" s="700">
        <f t="shared" si="2"/>
        <v>100</v>
      </c>
      <c r="X11" s="701"/>
      <c r="Y11" s="3605"/>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05"/>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12" t="s">
        <v>1691</v>
      </c>
      <c r="Q15" s="1350" t="str">
        <f t="shared" si="6"/>
        <v>产业集聚程度</v>
      </c>
      <c r="R15" s="703" t="s">
        <v>14</v>
      </c>
      <c r="S15" s="704">
        <f t="shared" si="0"/>
        <v>100</v>
      </c>
      <c r="T15" s="703" t="s">
        <v>14</v>
      </c>
      <c r="U15" s="704">
        <f t="shared" si="1"/>
        <v>100</v>
      </c>
      <c r="V15" s="703" t="s">
        <v>14</v>
      </c>
      <c r="W15" s="704">
        <f t="shared" si="2"/>
        <v>100</v>
      </c>
      <c r="X15" s="1353"/>
      <c r="Y15" s="3712"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13"/>
      <c r="Q16" s="1350"/>
      <c r="R16" s="703"/>
      <c r="S16" s="704"/>
      <c r="T16" s="703"/>
      <c r="U16" s="704"/>
      <c r="V16" s="703"/>
      <c r="W16" s="704"/>
      <c r="X16" s="1353"/>
      <c r="Y16" s="3713"/>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13"/>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13"/>
      <c r="Q18" s="1350"/>
      <c r="R18" s="703"/>
      <c r="S18" s="704"/>
      <c r="T18" s="703"/>
      <c r="U18" s="704"/>
      <c r="V18" s="703"/>
      <c r="W18" s="704"/>
      <c r="X18" s="1353"/>
      <c r="Y18" s="3713"/>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13"/>
      <c r="Q19" s="1350" t="str">
        <f>B19</f>
        <v>公共配套设施</v>
      </c>
      <c r="R19" s="703" t="s">
        <v>14</v>
      </c>
      <c r="S19" s="704">
        <f>F19</f>
        <v>100</v>
      </c>
      <c r="T19" s="703" t="s">
        <v>14</v>
      </c>
      <c r="U19" s="704">
        <f>H19</f>
        <v>100</v>
      </c>
      <c r="V19" s="703" t="s">
        <v>14</v>
      </c>
      <c r="W19" s="704">
        <f>J19</f>
        <v>100</v>
      </c>
      <c r="X19" s="1353"/>
      <c r="Y19" s="3713"/>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13"/>
      <c r="Q20" s="1350"/>
      <c r="R20" s="703"/>
      <c r="S20" s="704"/>
      <c r="T20" s="703"/>
      <c r="U20" s="704"/>
      <c r="V20" s="703"/>
      <c r="W20" s="704"/>
      <c r="X20" s="1353"/>
      <c r="Y20" s="3713"/>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13"/>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13"/>
      <c r="Q22" s="1350"/>
      <c r="R22" s="703"/>
      <c r="S22" s="704"/>
      <c r="T22" s="703"/>
      <c r="U22" s="704"/>
      <c r="V22" s="703"/>
      <c r="W22" s="704"/>
      <c r="X22" s="1353"/>
      <c r="Y22" s="3713"/>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13"/>
      <c r="Q23" s="1350" t="str">
        <f>B23</f>
        <v>环境质量</v>
      </c>
      <c r="R23" s="703" t="s">
        <v>14</v>
      </c>
      <c r="S23" s="704">
        <f>F23</f>
        <v>100</v>
      </c>
      <c r="T23" s="703" t="s">
        <v>14</v>
      </c>
      <c r="U23" s="704">
        <f>H23</f>
        <v>100</v>
      </c>
      <c r="V23" s="703" t="s">
        <v>14</v>
      </c>
      <c r="W23" s="704">
        <f>J23</f>
        <v>100</v>
      </c>
      <c r="X23" s="1353"/>
      <c r="Y23" s="3713"/>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13"/>
      <c r="Q24" s="1350"/>
      <c r="R24" s="703"/>
      <c r="S24" s="704"/>
      <c r="T24" s="703"/>
      <c r="U24" s="704"/>
      <c r="V24" s="703"/>
      <c r="W24" s="704"/>
      <c r="X24" s="1353"/>
      <c r="Y24" s="3713"/>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13"/>
      <c r="Q25" s="1350">
        <f>B25</f>
        <v>111</v>
      </c>
      <c r="R25" s="703" t="s">
        <v>14</v>
      </c>
      <c r="S25" s="704">
        <f>F25</f>
        <v>100</v>
      </c>
      <c r="T25" s="703" t="s">
        <v>14</v>
      </c>
      <c r="U25" s="704">
        <f>H25</f>
        <v>100</v>
      </c>
      <c r="V25" s="703" t="s">
        <v>14</v>
      </c>
      <c r="W25" s="704">
        <f>J25</f>
        <v>100</v>
      </c>
      <c r="X25" s="1353"/>
      <c r="Y25" s="3713"/>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13"/>
      <c r="Q26" s="1350">
        <f t="shared" ref="Q26:Q40" si="11">B26</f>
        <v>111</v>
      </c>
      <c r="R26" s="703" t="s">
        <v>14</v>
      </c>
      <c r="S26" s="704">
        <f>F26</f>
        <v>100</v>
      </c>
      <c r="T26" s="703" t="s">
        <v>14</v>
      </c>
      <c r="U26" s="704">
        <f>H26</f>
        <v>100</v>
      </c>
      <c r="V26" s="703" t="s">
        <v>14</v>
      </c>
      <c r="W26" s="704">
        <f>J26</f>
        <v>100</v>
      </c>
      <c r="X26" s="1353"/>
      <c r="Y26" s="3713"/>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13"/>
      <c r="Q27" s="1341">
        <f t="shared" si="11"/>
        <v>111</v>
      </c>
      <c r="R27" s="699" t="s">
        <v>14</v>
      </c>
      <c r="S27" s="700">
        <f>F27</f>
        <v>100</v>
      </c>
      <c r="T27" s="699" t="s">
        <v>14</v>
      </c>
      <c r="U27" s="700">
        <f>H27</f>
        <v>100</v>
      </c>
      <c r="V27" s="699" t="s">
        <v>14</v>
      </c>
      <c r="W27" s="700">
        <f>J27</f>
        <v>100</v>
      </c>
      <c r="X27" s="701"/>
      <c r="Y27" s="3713"/>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13"/>
      <c r="Q28" s="1350">
        <f t="shared" si="11"/>
        <v>111</v>
      </c>
      <c r="R28" s="703" t="s">
        <v>14</v>
      </c>
      <c r="S28" s="704">
        <f t="shared" ref="S28:S40" si="12">F28</f>
        <v>100</v>
      </c>
      <c r="T28" s="703" t="s">
        <v>14</v>
      </c>
      <c r="U28" s="704">
        <f t="shared" ref="U28:U40" si="13">H28</f>
        <v>100</v>
      </c>
      <c r="V28" s="703" t="s">
        <v>14</v>
      </c>
      <c r="W28" s="704">
        <f t="shared" ref="W28:W40" si="14">J28</f>
        <v>100</v>
      </c>
      <c r="X28" s="1353"/>
      <c r="Y28" s="3713"/>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20" t="s">
        <v>1696</v>
      </c>
      <c r="Q29" s="1350" t="str">
        <f t="shared" si="11"/>
        <v>建筑类型</v>
      </c>
      <c r="R29" s="703" t="s">
        <v>14</v>
      </c>
      <c r="S29" s="704">
        <f t="shared" si="12"/>
        <v>100</v>
      </c>
      <c r="T29" s="703" t="s">
        <v>14</v>
      </c>
      <c r="U29" s="704">
        <f t="shared" si="13"/>
        <v>100</v>
      </c>
      <c r="V29" s="703" t="s">
        <v>14</v>
      </c>
      <c r="W29" s="704">
        <f t="shared" si="14"/>
        <v>100</v>
      </c>
      <c r="X29" s="1353"/>
      <c r="Y29" s="3717"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17"/>
      <c r="Q30" s="705" t="str">
        <f t="shared" si="11"/>
        <v>项目建筑规模</v>
      </c>
      <c r="R30" s="706" t="s">
        <v>14</v>
      </c>
      <c r="S30" s="707" t="e">
        <f t="shared" si="12"/>
        <v>#N/A</v>
      </c>
      <c r="T30" s="706" t="s">
        <v>14</v>
      </c>
      <c r="U30" s="707" t="e">
        <f t="shared" si="13"/>
        <v>#N/A</v>
      </c>
      <c r="V30" s="706" t="s">
        <v>14</v>
      </c>
      <c r="W30" s="707" t="e">
        <f t="shared" si="14"/>
        <v>#N/A</v>
      </c>
      <c r="X30" s="708"/>
      <c r="Y30" s="3717"/>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17"/>
      <c r="Q31" s="1350" t="str">
        <f t="shared" si="11"/>
        <v>建筑结构</v>
      </c>
      <c r="R31" s="703" t="s">
        <v>14</v>
      </c>
      <c r="S31" s="704">
        <f t="shared" si="12"/>
        <v>100</v>
      </c>
      <c r="T31" s="703" t="s">
        <v>14</v>
      </c>
      <c r="U31" s="704">
        <f t="shared" si="13"/>
        <v>100</v>
      </c>
      <c r="V31" s="703" t="s">
        <v>14</v>
      </c>
      <c r="W31" s="704">
        <f t="shared" si="14"/>
        <v>100</v>
      </c>
      <c r="X31" s="1353"/>
      <c r="Y31" s="3717"/>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17"/>
      <c r="Q32" s="1350" t="str">
        <f t="shared" si="11"/>
        <v>公共部分装修</v>
      </c>
      <c r="R32" s="703" t="s">
        <v>14</v>
      </c>
      <c r="S32" s="704">
        <f t="shared" si="12"/>
        <v>100</v>
      </c>
      <c r="T32" s="703" t="s">
        <v>14</v>
      </c>
      <c r="U32" s="704">
        <f t="shared" si="13"/>
        <v>100</v>
      </c>
      <c r="V32" s="703" t="s">
        <v>14</v>
      </c>
      <c r="W32" s="704">
        <f t="shared" si="14"/>
        <v>100</v>
      </c>
      <c r="X32" s="1353"/>
      <c r="Y32" s="3717"/>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17"/>
      <c r="Q33" s="1350" t="str">
        <f t="shared" si="11"/>
        <v>成新度</v>
      </c>
      <c r="R33" s="703" t="s">
        <v>14</v>
      </c>
      <c r="S33" s="704" t="e">
        <f t="shared" si="12"/>
        <v>#N/A</v>
      </c>
      <c r="T33" s="703" t="s">
        <v>14</v>
      </c>
      <c r="U33" s="704" t="e">
        <f t="shared" si="13"/>
        <v>#N/A</v>
      </c>
      <c r="V33" s="703" t="s">
        <v>14</v>
      </c>
      <c r="W33" s="704" t="e">
        <f t="shared" si="14"/>
        <v>#N/A</v>
      </c>
      <c r="X33" s="1353"/>
      <c r="Y33" s="3717"/>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17"/>
      <c r="Q34" s="1341" t="str">
        <f t="shared" si="11"/>
        <v>物业管理</v>
      </c>
      <c r="R34" s="699" t="s">
        <v>14</v>
      </c>
      <c r="S34" s="700">
        <f t="shared" si="12"/>
        <v>100</v>
      </c>
      <c r="T34" s="699" t="s">
        <v>14</v>
      </c>
      <c r="U34" s="700">
        <f t="shared" si="13"/>
        <v>100</v>
      </c>
      <c r="V34" s="699" t="s">
        <v>14</v>
      </c>
      <c r="W34" s="700">
        <f t="shared" si="14"/>
        <v>100</v>
      </c>
      <c r="X34" s="701"/>
      <c r="Y34" s="3717"/>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17" t="s">
        <v>1696</v>
      </c>
      <c r="Q35" s="1350" t="str">
        <f t="shared" si="11"/>
        <v>市政基础设施</v>
      </c>
      <c r="R35" s="703" t="s">
        <v>14</v>
      </c>
      <c r="S35" s="704">
        <f t="shared" si="12"/>
        <v>100</v>
      </c>
      <c r="T35" s="703" t="s">
        <v>14</v>
      </c>
      <c r="U35" s="704">
        <f t="shared" si="13"/>
        <v>100</v>
      </c>
      <c r="V35" s="703" t="s">
        <v>14</v>
      </c>
      <c r="W35" s="704">
        <f t="shared" si="14"/>
        <v>100</v>
      </c>
      <c r="X35" s="1353"/>
      <c r="Y35" s="3717"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17"/>
      <c r="Q36" s="1350" t="str">
        <f t="shared" si="11"/>
        <v>内部装修</v>
      </c>
      <c r="R36" s="703" t="s">
        <v>14</v>
      </c>
      <c r="S36" s="704">
        <f t="shared" si="12"/>
        <v>100</v>
      </c>
      <c r="T36" s="703" t="s">
        <v>14</v>
      </c>
      <c r="U36" s="704">
        <f t="shared" si="13"/>
        <v>100</v>
      </c>
      <c r="V36" s="703" t="s">
        <v>14</v>
      </c>
      <c r="W36" s="704">
        <f t="shared" si="14"/>
        <v>100</v>
      </c>
      <c r="X36" s="1353"/>
      <c r="Y36" s="3717"/>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17"/>
      <c r="Q37" s="1350" t="str">
        <f t="shared" si="11"/>
        <v>内部装修状况</v>
      </c>
      <c r="R37" s="703" t="s">
        <v>14</v>
      </c>
      <c r="S37" s="704">
        <f t="shared" si="12"/>
        <v>100</v>
      </c>
      <c r="T37" s="703" t="s">
        <v>14</v>
      </c>
      <c r="U37" s="704">
        <f t="shared" si="13"/>
        <v>100</v>
      </c>
      <c r="V37" s="703" t="s">
        <v>14</v>
      </c>
      <c r="W37" s="704">
        <f t="shared" si="14"/>
        <v>100</v>
      </c>
      <c r="X37" s="1353"/>
      <c r="Y37" s="3717"/>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17"/>
      <c r="Q38" s="705">
        <f t="shared" si="11"/>
        <v>111</v>
      </c>
      <c r="R38" s="706" t="s">
        <v>14</v>
      </c>
      <c r="S38" s="707">
        <f t="shared" si="12"/>
        <v>100</v>
      </c>
      <c r="T38" s="706" t="s">
        <v>14</v>
      </c>
      <c r="U38" s="707">
        <f t="shared" si="13"/>
        <v>100</v>
      </c>
      <c r="V38" s="706" t="s">
        <v>14</v>
      </c>
      <c r="W38" s="707">
        <f t="shared" si="14"/>
        <v>100</v>
      </c>
      <c r="X38" s="708"/>
      <c r="Y38" s="3717"/>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17"/>
      <c r="Q39" s="1350">
        <f t="shared" si="11"/>
        <v>111</v>
      </c>
      <c r="R39" s="703" t="s">
        <v>14</v>
      </c>
      <c r="S39" s="704">
        <f t="shared" si="12"/>
        <v>100</v>
      </c>
      <c r="T39" s="703" t="s">
        <v>14</v>
      </c>
      <c r="U39" s="704">
        <f t="shared" si="13"/>
        <v>100</v>
      </c>
      <c r="V39" s="703" t="s">
        <v>14</v>
      </c>
      <c r="W39" s="704">
        <f t="shared" si="14"/>
        <v>100</v>
      </c>
      <c r="X39" s="1353"/>
      <c r="Y39" s="3717"/>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18"/>
      <c r="Q40" s="1350">
        <f t="shared" si="11"/>
        <v>111</v>
      </c>
      <c r="R40" s="703" t="s">
        <v>14</v>
      </c>
      <c r="S40" s="704">
        <f t="shared" si="12"/>
        <v>100</v>
      </c>
      <c r="T40" s="703" t="s">
        <v>14</v>
      </c>
      <c r="U40" s="704">
        <f t="shared" si="13"/>
        <v>100</v>
      </c>
      <c r="V40" s="703" t="s">
        <v>14</v>
      </c>
      <c r="W40" s="704">
        <f t="shared" si="14"/>
        <v>100</v>
      </c>
      <c r="X40" s="1353"/>
      <c r="Y40" s="3718"/>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05" t="str">
        <f>A41</f>
        <v>成交单价（元/平方米）</v>
      </c>
      <c r="Q41" s="3705"/>
      <c r="R41" s="3706">
        <f>E41</f>
        <v>0</v>
      </c>
      <c r="S41" s="3706"/>
      <c r="T41" s="3706">
        <f>G41</f>
        <v>0</v>
      </c>
      <c r="U41" s="3706"/>
      <c r="V41" s="3706">
        <f>I41</f>
        <v>0</v>
      </c>
      <c r="W41" s="3706"/>
      <c r="X41" s="688"/>
      <c r="Y41" s="710"/>
      <c r="Z41" s="688"/>
      <c r="AA41" s="688"/>
      <c r="AB41" s="688"/>
      <c r="AC41" s="688"/>
    </row>
    <row r="42" spans="1:29" ht="15.75" thickBot="1">
      <c r="A42" s="436" t="s">
        <v>1793</v>
      </c>
      <c r="B42" s="437"/>
      <c r="C42" s="1158" t="e">
        <f>R43</f>
        <v>#DIV/0!</v>
      </c>
      <c r="D42" s="2315" t="s">
        <v>2137</v>
      </c>
      <c r="E42" s="1159" t="e">
        <f>R42</f>
        <v>#DIV/0!</v>
      </c>
      <c r="F42" s="2316"/>
      <c r="G42" s="1158" t="e">
        <f>T42</f>
        <v>#DIV/0!</v>
      </c>
      <c r="H42" s="2316"/>
      <c r="I42" s="1159" t="e">
        <f>V42</f>
        <v>#DIV/0!</v>
      </c>
      <c r="J42" s="2316"/>
      <c r="K42" s="2318">
        <f>F42+H42+J42</f>
        <v>0</v>
      </c>
      <c r="L42" s="924"/>
      <c r="M42" s="925"/>
      <c r="N42" s="912"/>
      <c r="O42" s="925"/>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07" t="str">
        <f>A43</f>
        <v>估价对象XX用房的比较价值（楼面单价，元/平方米）</v>
      </c>
      <c r="Q43" s="3708"/>
      <c r="R43" s="3709" t="e">
        <f>IF(F1="售价",ROUND(IF(D42="简单平均",AVERAGE(R42:V42),R42*F42+T42*H42+V42*J42),0),ROUND(IF(D42="简单平均",AVERAGE(R42:V42),R42*F42+T42*H42+V42*J42),1))</f>
        <v>#DIV/0!</v>
      </c>
      <c r="S43" s="3709"/>
      <c r="T43" s="3709"/>
      <c r="U43" s="3709"/>
      <c r="V43" s="3709"/>
      <c r="W43" s="3709"/>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2024-3</v>
      </c>
      <c r="D52" s="1183">
        <f>EDATE(C52,-1)</f>
        <v>45323</v>
      </c>
      <c r="E52" s="1183">
        <f t="shared" ref="E52:O52" si="16">EDATE(D52,-1)</f>
        <v>45292</v>
      </c>
      <c r="F52" s="1183">
        <f t="shared" si="16"/>
        <v>45261</v>
      </c>
      <c r="G52" s="1183">
        <f t="shared" si="16"/>
        <v>45231</v>
      </c>
      <c r="H52" s="1183">
        <f t="shared" si="16"/>
        <v>45200</v>
      </c>
      <c r="I52" s="1183">
        <f t="shared" si="16"/>
        <v>45170</v>
      </c>
      <c r="J52" s="1183">
        <f t="shared" si="16"/>
        <v>45139</v>
      </c>
      <c r="K52" s="1183">
        <f t="shared" si="16"/>
        <v>45108</v>
      </c>
      <c r="L52" s="1183">
        <f t="shared" si="16"/>
        <v>45078</v>
      </c>
      <c r="M52" s="1183">
        <f t="shared" si="16"/>
        <v>45047</v>
      </c>
      <c r="N52" s="1183">
        <f t="shared" si="16"/>
        <v>45017</v>
      </c>
      <c r="O52" s="1183">
        <f t="shared" si="16"/>
        <v>44986</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1" priority="20" stopIfTrue="1" operator="containsText" text="超过">
      <formula>NOT(ISERROR(SEARCH("超过",F46)))</formula>
    </cfRule>
  </conditionalFormatting>
  <conditionalFormatting sqref="H48">
    <cfRule type="containsText" dxfId="120" priority="19" stopIfTrue="1" operator="containsText" text="超过">
      <formula>NOT(ISERROR(SEARCH("超过",H48)))</formula>
    </cfRule>
  </conditionalFormatting>
  <conditionalFormatting sqref="F48">
    <cfRule type="containsText" dxfId="119" priority="18" stopIfTrue="1" operator="containsText" text="超过">
      <formula>NOT(ISERROR(SEARCH("超过",F48)))</formula>
    </cfRule>
  </conditionalFormatting>
  <conditionalFormatting sqref="F47 H47">
    <cfRule type="containsText" dxfId="118" priority="17" stopIfTrue="1" operator="containsText" text="超过">
      <formula>NOT(ISERROR(SEARCH("超过",F47)))</formula>
    </cfRule>
  </conditionalFormatting>
  <conditionalFormatting sqref="E46">
    <cfRule type="expression" dxfId="117" priority="16" stopIfTrue="1">
      <formula>$F$46="超过30%"</formula>
    </cfRule>
  </conditionalFormatting>
  <conditionalFormatting sqref="E47">
    <cfRule type="expression" dxfId="116" priority="15" stopIfTrue="1">
      <formula>$F$47="超过20%"</formula>
    </cfRule>
  </conditionalFormatting>
  <conditionalFormatting sqref="E48">
    <cfRule type="expression" dxfId="115" priority="14" stopIfTrue="1">
      <formula>$F$48="超过30%"</formula>
    </cfRule>
  </conditionalFormatting>
  <conditionalFormatting sqref="G48">
    <cfRule type="expression" dxfId="114" priority="13" stopIfTrue="1">
      <formula>$H$48="超过30%"</formula>
    </cfRule>
  </conditionalFormatting>
  <conditionalFormatting sqref="G46">
    <cfRule type="expression" dxfId="113" priority="12" stopIfTrue="1">
      <formula>$H$46="超过30%"</formula>
    </cfRule>
  </conditionalFormatting>
  <conditionalFormatting sqref="G47">
    <cfRule type="expression" dxfId="112" priority="11" stopIfTrue="1">
      <formula>$H$47="超过20%"</formula>
    </cfRule>
  </conditionalFormatting>
  <conditionalFormatting sqref="J46">
    <cfRule type="containsText" dxfId="111" priority="10" stopIfTrue="1" operator="containsText" text="超过">
      <formula>NOT(ISERROR(SEARCH("超过",J46)))</formula>
    </cfRule>
  </conditionalFormatting>
  <conditionalFormatting sqref="J48">
    <cfRule type="containsText" dxfId="110" priority="9" stopIfTrue="1" operator="containsText" text="超过">
      <formula>NOT(ISERROR(SEARCH("超过",J48)))</formula>
    </cfRule>
  </conditionalFormatting>
  <conditionalFormatting sqref="J47">
    <cfRule type="containsText" dxfId="109" priority="8" stopIfTrue="1" operator="containsText" text="超过">
      <formula>NOT(ISERROR(SEARCH("超过",J47)))</formula>
    </cfRule>
  </conditionalFormatting>
  <conditionalFormatting sqref="I46">
    <cfRule type="expression" dxfId="108" priority="7" stopIfTrue="1">
      <formula>$J$46="超过30%"</formula>
    </cfRule>
  </conditionalFormatting>
  <conditionalFormatting sqref="I47">
    <cfRule type="expression" dxfId="107" priority="6" stopIfTrue="1">
      <formula>$J$47="超过20%"</formula>
    </cfRule>
  </conditionalFormatting>
  <conditionalFormatting sqref="I48">
    <cfRule type="expression" dxfId="106" priority="5" stopIfTrue="1">
      <formula>$J$48="超过30%"</formula>
    </cfRule>
  </conditionalFormatting>
  <conditionalFormatting sqref="F42">
    <cfRule type="expression" dxfId="105" priority="4">
      <formula>$D$42="简单平均"</formula>
    </cfRule>
  </conditionalFormatting>
  <conditionalFormatting sqref="H42">
    <cfRule type="expression" dxfId="104" priority="3">
      <formula>$D$42="简单平均"</formula>
    </cfRule>
  </conditionalFormatting>
  <conditionalFormatting sqref="J42">
    <cfRule type="expression" dxfId="103" priority="2">
      <formula>$D$42="简单平均"</formula>
    </cfRule>
  </conditionalFormatting>
  <conditionalFormatting sqref="F7:F40 H7:H40 J7:J40">
    <cfRule type="cellIs" dxfId="10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3334</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44" t="s">
        <v>1680</v>
      </c>
      <c r="Q7" s="3746"/>
      <c r="R7" s="699" t="s">
        <v>14</v>
      </c>
      <c r="S7" s="700">
        <f t="shared" ref="S7:S14" si="0">F7</f>
        <v>0</v>
      </c>
      <c r="T7" s="699" t="s">
        <v>14</v>
      </c>
      <c r="U7" s="700">
        <f t="shared" ref="U7:U14" si="1">H7</f>
        <v>0</v>
      </c>
      <c r="V7" s="699" t="s">
        <v>14</v>
      </c>
      <c r="W7" s="700">
        <f t="shared" ref="W7:W14"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44" t="s">
        <v>1683</v>
      </c>
      <c r="Q8" s="3745"/>
      <c r="R8" s="699" t="s">
        <v>14</v>
      </c>
      <c r="S8" s="700">
        <f t="shared" si="0"/>
        <v>100</v>
      </c>
      <c r="T8" s="699" t="s">
        <v>14</v>
      </c>
      <c r="U8" s="700">
        <f t="shared" si="1"/>
        <v>100</v>
      </c>
      <c r="V8" s="699" t="s">
        <v>14</v>
      </c>
      <c r="W8" s="700">
        <f t="shared" si="2"/>
        <v>100</v>
      </c>
      <c r="X8" s="701"/>
      <c r="Y8" s="3744" t="s">
        <v>1683</v>
      </c>
      <c r="Z8" s="3745"/>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05" t="s">
        <v>1686</v>
      </c>
      <c r="Q9" s="1341" t="str">
        <f t="shared" ref="Q9:Q14" si="6">B9</f>
        <v>用途</v>
      </c>
      <c r="R9" s="699" t="s">
        <v>14</v>
      </c>
      <c r="S9" s="700">
        <f t="shared" si="0"/>
        <v>100</v>
      </c>
      <c r="T9" s="699" t="s">
        <v>14</v>
      </c>
      <c r="U9" s="700">
        <f t="shared" si="1"/>
        <v>100</v>
      </c>
      <c r="V9" s="699" t="s">
        <v>14</v>
      </c>
      <c r="W9" s="700">
        <f t="shared" si="2"/>
        <v>100</v>
      </c>
      <c r="X9" s="701"/>
      <c r="Y9" s="3605"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05"/>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05"/>
      <c r="Q11" s="1341">
        <f t="shared" si="6"/>
        <v>111</v>
      </c>
      <c r="R11" s="699" t="s">
        <v>14</v>
      </c>
      <c r="S11" s="700">
        <f t="shared" si="0"/>
        <v>100</v>
      </c>
      <c r="T11" s="699" t="s">
        <v>14</v>
      </c>
      <c r="U11" s="700">
        <f t="shared" si="1"/>
        <v>100</v>
      </c>
      <c r="V11" s="699" t="s">
        <v>14</v>
      </c>
      <c r="W11" s="700">
        <f t="shared" si="2"/>
        <v>100</v>
      </c>
      <c r="X11" s="701"/>
      <c r="Y11" s="3605"/>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12" t="s">
        <v>1691</v>
      </c>
      <c r="Q14" s="1350" t="str">
        <f t="shared" si="6"/>
        <v>交通便捷度</v>
      </c>
      <c r="R14" s="703" t="s">
        <v>14</v>
      </c>
      <c r="S14" s="704">
        <f t="shared" si="0"/>
        <v>100</v>
      </c>
      <c r="T14" s="703" t="s">
        <v>14</v>
      </c>
      <c r="U14" s="704">
        <f t="shared" si="1"/>
        <v>100</v>
      </c>
      <c r="V14" s="703" t="s">
        <v>14</v>
      </c>
      <c r="W14" s="704">
        <f t="shared" si="2"/>
        <v>100</v>
      </c>
      <c r="X14" s="1353"/>
      <c r="Y14" s="3712"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13"/>
      <c r="Q15" s="1350"/>
      <c r="R15" s="703"/>
      <c r="S15" s="704"/>
      <c r="T15" s="703"/>
      <c r="U15" s="704"/>
      <c r="V15" s="703"/>
      <c r="W15" s="704"/>
      <c r="X15" s="1353"/>
      <c r="Y15" s="3713"/>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13"/>
      <c r="Q16" s="1350" t="str">
        <f>B16</f>
        <v>公共配套设施</v>
      </c>
      <c r="R16" s="703" t="s">
        <v>14</v>
      </c>
      <c r="S16" s="704">
        <f>F16</f>
        <v>100</v>
      </c>
      <c r="T16" s="703" t="s">
        <v>14</v>
      </c>
      <c r="U16" s="704">
        <f>H16</f>
        <v>100</v>
      </c>
      <c r="V16" s="703" t="s">
        <v>14</v>
      </c>
      <c r="W16" s="704">
        <f>J16</f>
        <v>100</v>
      </c>
      <c r="X16" s="1353"/>
      <c r="Y16" s="3713"/>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13"/>
      <c r="Q17" s="1350"/>
      <c r="R17" s="703"/>
      <c r="S17" s="704"/>
      <c r="T17" s="703"/>
      <c r="U17" s="704"/>
      <c r="V17" s="703"/>
      <c r="W17" s="704"/>
      <c r="X17" s="1353"/>
      <c r="Y17" s="3713"/>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13"/>
      <c r="Q18" s="1350" t="str">
        <f>B18</f>
        <v>基础设施水平</v>
      </c>
      <c r="R18" s="703" t="s">
        <v>14</v>
      </c>
      <c r="S18" s="704">
        <f>F18</f>
        <v>100</v>
      </c>
      <c r="T18" s="703" t="s">
        <v>14</v>
      </c>
      <c r="U18" s="704">
        <f>H18</f>
        <v>100</v>
      </c>
      <c r="V18" s="703" t="s">
        <v>14</v>
      </c>
      <c r="W18" s="704">
        <f>J18</f>
        <v>100</v>
      </c>
      <c r="X18" s="1353"/>
      <c r="Y18" s="3713"/>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13"/>
      <c r="Q19" s="1350"/>
      <c r="R19" s="703"/>
      <c r="S19" s="704"/>
      <c r="T19" s="703"/>
      <c r="U19" s="704"/>
      <c r="V19" s="703"/>
      <c r="W19" s="704"/>
      <c r="X19" s="1353"/>
      <c r="Y19" s="3713"/>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13"/>
      <c r="Q20" s="1350" t="str">
        <f>B20</f>
        <v>自然及人文环境</v>
      </c>
      <c r="R20" s="703" t="s">
        <v>14</v>
      </c>
      <c r="S20" s="704">
        <f>F20</f>
        <v>100</v>
      </c>
      <c r="T20" s="703" t="s">
        <v>14</v>
      </c>
      <c r="U20" s="704">
        <f>H20</f>
        <v>100</v>
      </c>
      <c r="V20" s="703" t="s">
        <v>14</v>
      </c>
      <c r="W20" s="704">
        <f>J20</f>
        <v>100</v>
      </c>
      <c r="X20" s="1353"/>
      <c r="Y20" s="3713"/>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13"/>
      <c r="Q21" s="1350"/>
      <c r="R21" s="703"/>
      <c r="S21" s="704"/>
      <c r="T21" s="703"/>
      <c r="U21" s="704"/>
      <c r="V21" s="703"/>
      <c r="W21" s="704"/>
      <c r="X21" s="1353"/>
      <c r="Y21" s="3713"/>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13"/>
      <c r="Q22" s="1350" t="str">
        <f>B22</f>
        <v>楼层</v>
      </c>
      <c r="R22" s="703" t="s">
        <v>14</v>
      </c>
      <c r="S22" s="704">
        <f>F22</f>
        <v>100</v>
      </c>
      <c r="T22" s="703" t="s">
        <v>14</v>
      </c>
      <c r="U22" s="704">
        <f>H22</f>
        <v>100</v>
      </c>
      <c r="V22" s="703" t="s">
        <v>14</v>
      </c>
      <c r="W22" s="704">
        <f>J22</f>
        <v>100</v>
      </c>
      <c r="X22" s="1353"/>
      <c r="Y22" s="3713"/>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13"/>
      <c r="Q23" s="1350">
        <f>B23</f>
        <v>111</v>
      </c>
      <c r="R23" s="703" t="s">
        <v>14</v>
      </c>
      <c r="S23" s="704">
        <f>F23</f>
        <v>100</v>
      </c>
      <c r="T23" s="703" t="s">
        <v>14</v>
      </c>
      <c r="U23" s="704">
        <f>H23</f>
        <v>100</v>
      </c>
      <c r="V23" s="703" t="s">
        <v>14</v>
      </c>
      <c r="W23" s="704">
        <f>J23</f>
        <v>100</v>
      </c>
      <c r="X23" s="1353"/>
      <c r="Y23" s="3713"/>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13"/>
      <c r="Q24" s="1350">
        <f t="shared" ref="Q24:Q36" si="11">B24</f>
        <v>111</v>
      </c>
      <c r="R24" s="703" t="s">
        <v>14</v>
      </c>
      <c r="S24" s="704">
        <f>F24</f>
        <v>100</v>
      </c>
      <c r="T24" s="703" t="s">
        <v>14</v>
      </c>
      <c r="U24" s="704">
        <f>H24</f>
        <v>100</v>
      </c>
      <c r="V24" s="703" t="s">
        <v>14</v>
      </c>
      <c r="W24" s="704">
        <f>J24</f>
        <v>100</v>
      </c>
      <c r="X24" s="1353"/>
      <c r="Y24" s="3713"/>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13"/>
      <c r="Q25" s="1341">
        <f t="shared" si="11"/>
        <v>111</v>
      </c>
      <c r="R25" s="699" t="s">
        <v>14</v>
      </c>
      <c r="S25" s="700">
        <f>F25</f>
        <v>100</v>
      </c>
      <c r="T25" s="699" t="s">
        <v>14</v>
      </c>
      <c r="U25" s="700">
        <f>H25</f>
        <v>100</v>
      </c>
      <c r="V25" s="699" t="s">
        <v>14</v>
      </c>
      <c r="W25" s="700">
        <f>J25</f>
        <v>100</v>
      </c>
      <c r="X25" s="701"/>
      <c r="Y25" s="3713"/>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20"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17"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17"/>
      <c r="Q27" s="705" t="str">
        <f t="shared" si="11"/>
        <v>项目停车位配比</v>
      </c>
      <c r="R27" s="706" t="s">
        <v>14</v>
      </c>
      <c r="S27" s="707">
        <f t="shared" si="12"/>
        <v>100</v>
      </c>
      <c r="T27" s="706" t="s">
        <v>14</v>
      </c>
      <c r="U27" s="707">
        <f t="shared" si="13"/>
        <v>100</v>
      </c>
      <c r="V27" s="706" t="s">
        <v>14</v>
      </c>
      <c r="W27" s="707">
        <f t="shared" si="14"/>
        <v>100</v>
      </c>
      <c r="X27" s="708"/>
      <c r="Y27" s="3717"/>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17"/>
      <c r="Q28" s="1350" t="str">
        <f t="shared" si="11"/>
        <v>公共部分装修</v>
      </c>
      <c r="R28" s="703" t="s">
        <v>14</v>
      </c>
      <c r="S28" s="704">
        <f t="shared" si="12"/>
        <v>100</v>
      </c>
      <c r="T28" s="703" t="s">
        <v>14</v>
      </c>
      <c r="U28" s="704">
        <f t="shared" si="13"/>
        <v>100</v>
      </c>
      <c r="V28" s="703" t="s">
        <v>14</v>
      </c>
      <c r="W28" s="704">
        <f t="shared" si="14"/>
        <v>100</v>
      </c>
      <c r="X28" s="1353"/>
      <c r="Y28" s="3717"/>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17"/>
      <c r="Q29" s="1350" t="str">
        <f t="shared" si="11"/>
        <v>成新率</v>
      </c>
      <c r="R29" s="703" t="s">
        <v>14</v>
      </c>
      <c r="S29" s="704" t="e">
        <f t="shared" si="12"/>
        <v>#N/A</v>
      </c>
      <c r="T29" s="703" t="s">
        <v>14</v>
      </c>
      <c r="U29" s="704" t="e">
        <f t="shared" si="13"/>
        <v>#N/A</v>
      </c>
      <c r="V29" s="703" t="s">
        <v>14</v>
      </c>
      <c r="W29" s="704" t="e">
        <f t="shared" si="14"/>
        <v>#N/A</v>
      </c>
      <c r="X29" s="1353"/>
      <c r="Y29" s="3717"/>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17"/>
      <c r="Q30" s="1350" t="str">
        <f t="shared" si="11"/>
        <v>物业等级</v>
      </c>
      <c r="R30" s="703" t="s">
        <v>14</v>
      </c>
      <c r="S30" s="704">
        <f t="shared" si="12"/>
        <v>100</v>
      </c>
      <c r="T30" s="703" t="s">
        <v>14</v>
      </c>
      <c r="U30" s="704">
        <f t="shared" si="13"/>
        <v>100</v>
      </c>
      <c r="V30" s="703" t="s">
        <v>14</v>
      </c>
      <c r="W30" s="704">
        <f t="shared" si="14"/>
        <v>100</v>
      </c>
      <c r="X30" s="1353"/>
      <c r="Y30" s="3717"/>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17"/>
      <c r="Q31" s="1341" t="str">
        <f t="shared" si="11"/>
        <v>停车位面积</v>
      </c>
      <c r="R31" s="699" t="s">
        <v>14</v>
      </c>
      <c r="S31" s="700" t="e">
        <f t="shared" si="12"/>
        <v>#N/A</v>
      </c>
      <c r="T31" s="699" t="s">
        <v>14</v>
      </c>
      <c r="U31" s="700" t="e">
        <f t="shared" si="13"/>
        <v>#N/A</v>
      </c>
      <c r="V31" s="699" t="s">
        <v>14</v>
      </c>
      <c r="W31" s="700" t="e">
        <f t="shared" si="14"/>
        <v>#N/A</v>
      </c>
      <c r="X31" s="701"/>
      <c r="Y31" s="3717"/>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17" t="s">
        <v>1696</v>
      </c>
      <c r="Q32" s="1350" t="str">
        <f t="shared" si="11"/>
        <v>车位类型</v>
      </c>
      <c r="R32" s="703" t="s">
        <v>14</v>
      </c>
      <c r="S32" s="704">
        <f t="shared" si="12"/>
        <v>100</v>
      </c>
      <c r="T32" s="703" t="s">
        <v>14</v>
      </c>
      <c r="U32" s="704">
        <f t="shared" si="13"/>
        <v>100</v>
      </c>
      <c r="V32" s="703" t="s">
        <v>14</v>
      </c>
      <c r="W32" s="704">
        <f t="shared" si="14"/>
        <v>100</v>
      </c>
      <c r="X32" s="1353"/>
      <c r="Y32" s="3717"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17"/>
      <c r="Q33" s="1350" t="str">
        <f t="shared" si="11"/>
        <v>是否直接入户</v>
      </c>
      <c r="R33" s="703" t="s">
        <v>14</v>
      </c>
      <c r="S33" s="704">
        <f t="shared" si="12"/>
        <v>100</v>
      </c>
      <c r="T33" s="703" t="s">
        <v>14</v>
      </c>
      <c r="U33" s="704">
        <f t="shared" si="13"/>
        <v>100</v>
      </c>
      <c r="V33" s="703" t="s">
        <v>14</v>
      </c>
      <c r="W33" s="704">
        <f t="shared" si="14"/>
        <v>100</v>
      </c>
      <c r="X33" s="1353"/>
      <c r="Y33" s="3717"/>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17"/>
      <c r="Q34" s="1350">
        <f t="shared" si="11"/>
        <v>111</v>
      </c>
      <c r="R34" s="703" t="s">
        <v>14</v>
      </c>
      <c r="S34" s="704">
        <f t="shared" si="12"/>
        <v>100</v>
      </c>
      <c r="T34" s="703" t="s">
        <v>14</v>
      </c>
      <c r="U34" s="704">
        <f t="shared" si="13"/>
        <v>100</v>
      </c>
      <c r="V34" s="703" t="s">
        <v>14</v>
      </c>
      <c r="W34" s="704">
        <f t="shared" si="14"/>
        <v>100</v>
      </c>
      <c r="X34" s="1353"/>
      <c r="Y34" s="3717"/>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17"/>
      <c r="Q35" s="705">
        <f t="shared" si="11"/>
        <v>111</v>
      </c>
      <c r="R35" s="706" t="s">
        <v>14</v>
      </c>
      <c r="S35" s="707">
        <f t="shared" si="12"/>
        <v>100</v>
      </c>
      <c r="T35" s="706" t="s">
        <v>14</v>
      </c>
      <c r="U35" s="707">
        <f t="shared" si="13"/>
        <v>100</v>
      </c>
      <c r="V35" s="706" t="s">
        <v>14</v>
      </c>
      <c r="W35" s="707">
        <f t="shared" si="14"/>
        <v>100</v>
      </c>
      <c r="X35" s="708"/>
      <c r="Y35" s="3717"/>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17"/>
      <c r="Q36" s="1350">
        <f t="shared" si="11"/>
        <v>111</v>
      </c>
      <c r="R36" s="703" t="s">
        <v>14</v>
      </c>
      <c r="S36" s="704">
        <f t="shared" si="12"/>
        <v>100</v>
      </c>
      <c r="T36" s="703" t="s">
        <v>14</v>
      </c>
      <c r="U36" s="704">
        <f t="shared" si="13"/>
        <v>100</v>
      </c>
      <c r="V36" s="703" t="s">
        <v>14</v>
      </c>
      <c r="W36" s="704">
        <f t="shared" si="14"/>
        <v>100</v>
      </c>
      <c r="X36" s="1353"/>
      <c r="Y36" s="3717"/>
      <c r="Z36" s="1354">
        <f t="shared" si="15"/>
        <v>111</v>
      </c>
      <c r="AA36" s="1351">
        <f t="shared" si="3"/>
        <v>1</v>
      </c>
      <c r="AB36" s="1351">
        <f t="shared" si="4"/>
        <v>1</v>
      </c>
      <c r="AC36" s="1351">
        <f t="shared" si="5"/>
        <v>1</v>
      </c>
    </row>
    <row r="37" spans="1:29" ht="15">
      <c r="A37" s="429" t="s">
        <v>1844</v>
      </c>
      <c r="B37" s="1971" t="s">
        <v>3354</v>
      </c>
      <c r="C37" s="1152" t="s">
        <v>0</v>
      </c>
      <c r="D37" s="1153"/>
      <c r="E37" s="1154"/>
      <c r="F37" s="1155"/>
      <c r="G37" s="1156"/>
      <c r="H37" s="1157"/>
      <c r="I37" s="1154"/>
      <c r="J37" s="1157"/>
      <c r="K37" s="567"/>
      <c r="L37" s="2718"/>
      <c r="M37" s="2719"/>
      <c r="N37" s="2710"/>
      <c r="O37" s="2719"/>
      <c r="P37" s="3705" t="str">
        <f>A37</f>
        <v>成交单价</v>
      </c>
      <c r="Q37" s="3705"/>
      <c r="R37" s="3706">
        <f>E37</f>
        <v>0</v>
      </c>
      <c r="S37" s="3706"/>
      <c r="T37" s="3706">
        <f>G37</f>
        <v>0</v>
      </c>
      <c r="U37" s="3706"/>
      <c r="V37" s="3706">
        <f>I37</f>
        <v>0</v>
      </c>
      <c r="W37" s="3706"/>
      <c r="X37" s="688"/>
      <c r="Y37" s="710"/>
      <c r="Z37" s="688"/>
      <c r="AA37" s="688"/>
      <c r="AB37" s="688"/>
      <c r="AC37" s="688"/>
    </row>
    <row r="38" spans="1:29" ht="15.75" thickBot="1">
      <c r="A38" s="436" t="s">
        <v>1845</v>
      </c>
      <c r="B38" s="437" t="str">
        <f>B37</f>
        <v>元/平方米</v>
      </c>
      <c r="C38" s="1158" t="e">
        <f>R39</f>
        <v>#DIV/0!</v>
      </c>
      <c r="D38" s="2315" t="s">
        <v>2137</v>
      </c>
      <c r="E38" s="1159" t="e">
        <f>R38</f>
        <v>#DIV/0!</v>
      </c>
      <c r="F38" s="2316"/>
      <c r="G38" s="1158" t="e">
        <f>T38</f>
        <v>#DIV/0!</v>
      </c>
      <c r="H38" s="2316"/>
      <c r="I38" s="1159" t="e">
        <f>V38</f>
        <v>#DIV/0!</v>
      </c>
      <c r="J38" s="2316"/>
      <c r="K38" s="2318">
        <f>F38+H38+J38</f>
        <v>0</v>
      </c>
      <c r="L38" s="2718"/>
      <c r="M38" s="2719"/>
      <c r="N38" s="2719"/>
      <c r="O38" s="2719"/>
      <c r="P38" s="3705" t="str">
        <f>A38</f>
        <v>比较价值（元/平方米）</v>
      </c>
      <c r="Q38" s="3705"/>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07" t="str">
        <f>A39</f>
        <v>估价对象XX用房的比较价值（楼面单价，元/平方米）</v>
      </c>
      <c r="Q39" s="3708"/>
      <c r="R39" s="3821" t="e">
        <f>IF(F1="售价",ROUND(IF(D38="简单平均",AVERAGE(R38:W38),R38*F38+T38*H38+V38*J38),0),ROUND(IF(D38="简单平均",AVERAGE(R38:V38),R38*F38+T38*H38+V38*J38),1))</f>
        <v>#DIV/0!</v>
      </c>
      <c r="S39" s="3821"/>
      <c r="T39" s="3821"/>
      <c r="U39" s="3821"/>
      <c r="V39" s="3821"/>
      <c r="W39" s="3821"/>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2024-3</v>
      </c>
      <c r="D48" s="1183">
        <f>EDATE(C48,-1)</f>
        <v>45323</v>
      </c>
      <c r="E48" s="1183">
        <f t="shared" ref="E48:O48" si="16">EDATE(D48,-1)</f>
        <v>45292</v>
      </c>
      <c r="F48" s="1183">
        <f t="shared" si="16"/>
        <v>45261</v>
      </c>
      <c r="G48" s="1183">
        <f t="shared" si="16"/>
        <v>45231</v>
      </c>
      <c r="H48" s="1183">
        <f t="shared" si="16"/>
        <v>45200</v>
      </c>
      <c r="I48" s="1183">
        <f t="shared" si="16"/>
        <v>45170</v>
      </c>
      <c r="J48" s="1183">
        <f t="shared" si="16"/>
        <v>45139</v>
      </c>
      <c r="K48" s="1183">
        <f t="shared" si="16"/>
        <v>45108</v>
      </c>
      <c r="L48" s="1183">
        <f t="shared" si="16"/>
        <v>45078</v>
      </c>
      <c r="M48" s="1183">
        <f t="shared" si="16"/>
        <v>45047</v>
      </c>
      <c r="N48" s="1183">
        <f t="shared" si="16"/>
        <v>45017</v>
      </c>
      <c r="O48" s="1183">
        <f t="shared" si="16"/>
        <v>44986</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1" priority="18" stopIfTrue="1" operator="containsText" text="超过">
      <formula>NOT(ISERROR(SEARCH("超过",F42)))</formula>
    </cfRule>
  </conditionalFormatting>
  <conditionalFormatting sqref="J44">
    <cfRule type="containsText" dxfId="100" priority="17" stopIfTrue="1" operator="containsText" text="超过">
      <formula>NOT(ISERROR(SEARCH("超过",J44)))</formula>
    </cfRule>
  </conditionalFormatting>
  <conditionalFormatting sqref="H44">
    <cfRule type="containsText" dxfId="99" priority="16" stopIfTrue="1" operator="containsText" text="超过">
      <formula>NOT(ISERROR(SEARCH("超过",H44)))</formula>
    </cfRule>
  </conditionalFormatting>
  <conditionalFormatting sqref="F44">
    <cfRule type="containsText" dxfId="98" priority="15" stopIfTrue="1" operator="containsText" text="超过">
      <formula>NOT(ISERROR(SEARCH("超过",F44)))</formula>
    </cfRule>
  </conditionalFormatting>
  <conditionalFormatting sqref="F43 H43 J43">
    <cfRule type="containsText" dxfId="97" priority="14" stopIfTrue="1" operator="containsText" text="超过">
      <formula>NOT(ISERROR(SEARCH("超过",F43)))</formula>
    </cfRule>
  </conditionalFormatting>
  <conditionalFormatting sqref="E42">
    <cfRule type="expression" dxfId="96" priority="13" stopIfTrue="1">
      <formula>$F$42="超过30%"</formula>
    </cfRule>
  </conditionalFormatting>
  <conditionalFormatting sqref="G44">
    <cfRule type="expression" dxfId="95" priority="12" stopIfTrue="1">
      <formula>$H$54+$H$44="超过30%"</formula>
    </cfRule>
  </conditionalFormatting>
  <conditionalFormatting sqref="E43">
    <cfRule type="expression" dxfId="94" priority="11" stopIfTrue="1">
      <formula>$F$43="超过20%"</formula>
    </cfRule>
  </conditionalFormatting>
  <conditionalFormatting sqref="E44">
    <cfRule type="expression" dxfId="93" priority="10" stopIfTrue="1">
      <formula>$F$44="超过30%"</formula>
    </cfRule>
  </conditionalFormatting>
  <conditionalFormatting sqref="G42">
    <cfRule type="expression" dxfId="92" priority="9" stopIfTrue="1">
      <formula>$H$52+$H$42="超过30%"</formula>
    </cfRule>
  </conditionalFormatting>
  <conditionalFormatting sqref="G43">
    <cfRule type="expression" dxfId="91" priority="8" stopIfTrue="1">
      <formula>$H$43="超过20%"</formula>
    </cfRule>
  </conditionalFormatting>
  <conditionalFormatting sqref="I42">
    <cfRule type="expression" dxfId="90" priority="7" stopIfTrue="1">
      <formula>$J$52+$J$42="超过30%"</formula>
    </cfRule>
  </conditionalFormatting>
  <conditionalFormatting sqref="I43">
    <cfRule type="expression" dxfId="89" priority="6" stopIfTrue="1">
      <formula>$J$53+$J$43="超过20%"</formula>
    </cfRule>
  </conditionalFormatting>
  <conditionalFormatting sqref="I44">
    <cfRule type="expression" dxfId="88" priority="5" stopIfTrue="1">
      <formula>$J$44="超过30%"</formula>
    </cfRule>
  </conditionalFormatting>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F7:F36 H7:H36 J7:J36">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3335</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44" t="s">
        <v>1680</v>
      </c>
      <c r="Q7" s="3746"/>
      <c r="R7" s="699" t="s">
        <v>14</v>
      </c>
      <c r="S7" s="700">
        <f t="shared" ref="S7:S14" si="0">F7</f>
        <v>0</v>
      </c>
      <c r="T7" s="699" t="s">
        <v>14</v>
      </c>
      <c r="U7" s="700">
        <f t="shared" ref="U7:U14" si="1">H7</f>
        <v>0</v>
      </c>
      <c r="V7" s="699" t="s">
        <v>14</v>
      </c>
      <c r="W7" s="700">
        <f t="shared" ref="W7:W14"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44" t="s">
        <v>1683</v>
      </c>
      <c r="Q8" s="3745"/>
      <c r="R8" s="699" t="s">
        <v>14</v>
      </c>
      <c r="S8" s="700">
        <f t="shared" si="0"/>
        <v>100</v>
      </c>
      <c r="T8" s="699" t="s">
        <v>14</v>
      </c>
      <c r="U8" s="700">
        <f t="shared" si="1"/>
        <v>100</v>
      </c>
      <c r="V8" s="699" t="s">
        <v>14</v>
      </c>
      <c r="W8" s="700">
        <f t="shared" si="2"/>
        <v>100</v>
      </c>
      <c r="X8" s="701"/>
      <c r="Y8" s="3744" t="s">
        <v>1683</v>
      </c>
      <c r="Z8" s="3745"/>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05" t="s">
        <v>1686</v>
      </c>
      <c r="Q9" s="1341" t="str">
        <f t="shared" ref="Q9:Q14" si="6">B9</f>
        <v>用途</v>
      </c>
      <c r="R9" s="699" t="s">
        <v>14</v>
      </c>
      <c r="S9" s="700">
        <f t="shared" si="0"/>
        <v>100</v>
      </c>
      <c r="T9" s="699" t="s">
        <v>14</v>
      </c>
      <c r="U9" s="700">
        <f t="shared" si="1"/>
        <v>100</v>
      </c>
      <c r="V9" s="699" t="s">
        <v>14</v>
      </c>
      <c r="W9" s="700">
        <f t="shared" si="2"/>
        <v>100</v>
      </c>
      <c r="X9" s="701"/>
      <c r="Y9" s="3605"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05"/>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05"/>
      <c r="Q11" s="1341">
        <f t="shared" si="6"/>
        <v>111</v>
      </c>
      <c r="R11" s="699" t="s">
        <v>14</v>
      </c>
      <c r="S11" s="700">
        <f t="shared" si="0"/>
        <v>100</v>
      </c>
      <c r="T11" s="699" t="s">
        <v>14</v>
      </c>
      <c r="U11" s="700">
        <f t="shared" si="1"/>
        <v>100</v>
      </c>
      <c r="V11" s="699" t="s">
        <v>14</v>
      </c>
      <c r="W11" s="700">
        <f t="shared" si="2"/>
        <v>100</v>
      </c>
      <c r="X11" s="701"/>
      <c r="Y11" s="3605"/>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12" t="s">
        <v>1691</v>
      </c>
      <c r="Q14" s="1350" t="str">
        <f t="shared" si="6"/>
        <v>交通便捷度</v>
      </c>
      <c r="R14" s="703" t="s">
        <v>14</v>
      </c>
      <c r="S14" s="704">
        <f t="shared" si="0"/>
        <v>100</v>
      </c>
      <c r="T14" s="703" t="s">
        <v>14</v>
      </c>
      <c r="U14" s="704">
        <f t="shared" si="1"/>
        <v>100</v>
      </c>
      <c r="V14" s="703" t="s">
        <v>14</v>
      </c>
      <c r="W14" s="704">
        <f t="shared" si="2"/>
        <v>100</v>
      </c>
      <c r="X14" s="1353"/>
      <c r="Y14" s="3712"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13"/>
      <c r="Q15" s="1350"/>
      <c r="R15" s="703"/>
      <c r="S15" s="704"/>
      <c r="T15" s="703"/>
      <c r="U15" s="704"/>
      <c r="V15" s="703"/>
      <c r="W15" s="704"/>
      <c r="X15" s="1353"/>
      <c r="Y15" s="3713"/>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13"/>
      <c r="Q16" s="1350" t="str">
        <f>B16</f>
        <v>公共配套设施</v>
      </c>
      <c r="R16" s="703" t="s">
        <v>14</v>
      </c>
      <c r="S16" s="704">
        <f>F16</f>
        <v>100</v>
      </c>
      <c r="T16" s="703" t="s">
        <v>14</v>
      </c>
      <c r="U16" s="704">
        <f>H16</f>
        <v>100</v>
      </c>
      <c r="V16" s="703" t="s">
        <v>14</v>
      </c>
      <c r="W16" s="704">
        <f>J16</f>
        <v>100</v>
      </c>
      <c r="X16" s="1353"/>
      <c r="Y16" s="3713"/>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13"/>
      <c r="Q17" s="1350"/>
      <c r="R17" s="703"/>
      <c r="S17" s="704"/>
      <c r="T17" s="703"/>
      <c r="U17" s="704"/>
      <c r="V17" s="703"/>
      <c r="W17" s="704"/>
      <c r="X17" s="1353"/>
      <c r="Y17" s="3713"/>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13"/>
      <c r="Q18" s="1350" t="str">
        <f>B18</f>
        <v>基础设施水平</v>
      </c>
      <c r="R18" s="703" t="s">
        <v>14</v>
      </c>
      <c r="S18" s="704">
        <f>F18</f>
        <v>100</v>
      </c>
      <c r="T18" s="703" t="s">
        <v>14</v>
      </c>
      <c r="U18" s="704">
        <f>H18</f>
        <v>100</v>
      </c>
      <c r="V18" s="703" t="s">
        <v>14</v>
      </c>
      <c r="W18" s="704">
        <f>J18</f>
        <v>100</v>
      </c>
      <c r="X18" s="1353"/>
      <c r="Y18" s="3713"/>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13"/>
      <c r="Q19" s="1350"/>
      <c r="R19" s="703"/>
      <c r="S19" s="704"/>
      <c r="T19" s="703"/>
      <c r="U19" s="704"/>
      <c r="V19" s="703"/>
      <c r="W19" s="704"/>
      <c r="X19" s="1353"/>
      <c r="Y19" s="3713"/>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13"/>
      <c r="Q20" s="1350" t="str">
        <f>B20</f>
        <v>自然及人文环境</v>
      </c>
      <c r="R20" s="703" t="s">
        <v>14</v>
      </c>
      <c r="S20" s="704">
        <f>F20</f>
        <v>100</v>
      </c>
      <c r="T20" s="703" t="s">
        <v>14</v>
      </c>
      <c r="U20" s="704">
        <f>H20</f>
        <v>100</v>
      </c>
      <c r="V20" s="703" t="s">
        <v>14</v>
      </c>
      <c r="W20" s="704">
        <f>J20</f>
        <v>100</v>
      </c>
      <c r="X20" s="1353"/>
      <c r="Y20" s="3713"/>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13"/>
      <c r="Q21" s="1350"/>
      <c r="R21" s="703"/>
      <c r="S21" s="704"/>
      <c r="T21" s="703"/>
      <c r="U21" s="704"/>
      <c r="V21" s="703"/>
      <c r="W21" s="704"/>
      <c r="X21" s="1353"/>
      <c r="Y21" s="3713"/>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13"/>
      <c r="Q22" s="1350" t="str">
        <f>B22</f>
        <v>楼层</v>
      </c>
      <c r="R22" s="703" t="s">
        <v>14</v>
      </c>
      <c r="S22" s="704">
        <f>F22</f>
        <v>100</v>
      </c>
      <c r="T22" s="703" t="s">
        <v>14</v>
      </c>
      <c r="U22" s="704">
        <f>H22</f>
        <v>100</v>
      </c>
      <c r="V22" s="703" t="s">
        <v>14</v>
      </c>
      <c r="W22" s="704">
        <f>J22</f>
        <v>100</v>
      </c>
      <c r="X22" s="1353"/>
      <c r="Y22" s="3713"/>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13"/>
      <c r="Q23" s="1350">
        <f>B23</f>
        <v>111</v>
      </c>
      <c r="R23" s="703" t="s">
        <v>14</v>
      </c>
      <c r="S23" s="704">
        <f>F23</f>
        <v>100</v>
      </c>
      <c r="T23" s="703" t="s">
        <v>14</v>
      </c>
      <c r="U23" s="704">
        <f>H23</f>
        <v>100</v>
      </c>
      <c r="V23" s="703" t="s">
        <v>14</v>
      </c>
      <c r="W23" s="704">
        <f>J23</f>
        <v>100</v>
      </c>
      <c r="X23" s="1353"/>
      <c r="Y23" s="3713"/>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13"/>
      <c r="Q24" s="1350">
        <f t="shared" ref="Q24:Q34" si="11">B24</f>
        <v>111</v>
      </c>
      <c r="R24" s="703" t="s">
        <v>14</v>
      </c>
      <c r="S24" s="704">
        <f>F24</f>
        <v>100</v>
      </c>
      <c r="T24" s="703" t="s">
        <v>14</v>
      </c>
      <c r="U24" s="704">
        <f>H24</f>
        <v>100</v>
      </c>
      <c r="V24" s="703" t="s">
        <v>14</v>
      </c>
      <c r="W24" s="704">
        <f>J24</f>
        <v>100</v>
      </c>
      <c r="X24" s="1353"/>
      <c r="Y24" s="3713"/>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13"/>
      <c r="Q25" s="1341">
        <f t="shared" si="11"/>
        <v>111</v>
      </c>
      <c r="R25" s="699" t="s">
        <v>14</v>
      </c>
      <c r="S25" s="700">
        <f>F25</f>
        <v>100</v>
      </c>
      <c r="T25" s="699" t="s">
        <v>14</v>
      </c>
      <c r="U25" s="700">
        <f>H25</f>
        <v>100</v>
      </c>
      <c r="V25" s="699" t="s">
        <v>14</v>
      </c>
      <c r="W25" s="700">
        <f>J25</f>
        <v>100</v>
      </c>
      <c r="X25" s="701"/>
      <c r="Y25" s="3713"/>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20"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17"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17"/>
      <c r="Q27" s="705" t="str">
        <f t="shared" si="11"/>
        <v>成新率</v>
      </c>
      <c r="R27" s="706" t="s">
        <v>14</v>
      </c>
      <c r="S27" s="707" t="e">
        <f t="shared" si="12"/>
        <v>#N/A</v>
      </c>
      <c r="T27" s="706" t="s">
        <v>14</v>
      </c>
      <c r="U27" s="707" t="e">
        <f t="shared" si="13"/>
        <v>#N/A</v>
      </c>
      <c r="V27" s="706" t="s">
        <v>14</v>
      </c>
      <c r="W27" s="707" t="e">
        <f t="shared" si="14"/>
        <v>#N/A</v>
      </c>
      <c r="X27" s="708"/>
      <c r="Y27" s="3717"/>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17"/>
      <c r="Q28" s="1350" t="str">
        <f t="shared" si="11"/>
        <v>物业等级</v>
      </c>
      <c r="R28" s="703" t="s">
        <v>14</v>
      </c>
      <c r="S28" s="704">
        <f t="shared" si="12"/>
        <v>100</v>
      </c>
      <c r="T28" s="703" t="s">
        <v>14</v>
      </c>
      <c r="U28" s="704">
        <f t="shared" si="13"/>
        <v>100</v>
      </c>
      <c r="V28" s="703" t="s">
        <v>14</v>
      </c>
      <c r="W28" s="704">
        <f t="shared" si="14"/>
        <v>100</v>
      </c>
      <c r="X28" s="1353"/>
      <c r="Y28" s="3717"/>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17"/>
      <c r="Q29" s="1350" t="str">
        <f t="shared" si="11"/>
        <v>有无电梯</v>
      </c>
      <c r="R29" s="703" t="s">
        <v>14</v>
      </c>
      <c r="S29" s="704">
        <f t="shared" si="12"/>
        <v>100</v>
      </c>
      <c r="T29" s="703" t="s">
        <v>14</v>
      </c>
      <c r="U29" s="704">
        <f t="shared" si="13"/>
        <v>100</v>
      </c>
      <c r="V29" s="703" t="s">
        <v>14</v>
      </c>
      <c r="W29" s="704">
        <f t="shared" si="14"/>
        <v>100</v>
      </c>
      <c r="X29" s="1353"/>
      <c r="Y29" s="3717"/>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17"/>
      <c r="Q30" s="1350" t="str">
        <f t="shared" si="11"/>
        <v>建筑面积</v>
      </c>
      <c r="R30" s="703" t="s">
        <v>14</v>
      </c>
      <c r="S30" s="704" t="e">
        <f t="shared" si="12"/>
        <v>#N/A</v>
      </c>
      <c r="T30" s="703" t="s">
        <v>14</v>
      </c>
      <c r="U30" s="704" t="e">
        <f t="shared" si="13"/>
        <v>#N/A</v>
      </c>
      <c r="V30" s="703" t="s">
        <v>14</v>
      </c>
      <c r="W30" s="704" t="e">
        <f t="shared" si="14"/>
        <v>#N/A</v>
      </c>
      <c r="X30" s="1353"/>
      <c r="Y30" s="3717"/>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17"/>
      <c r="Q31" s="1341" t="str">
        <f t="shared" si="11"/>
        <v>是否封闭</v>
      </c>
      <c r="R31" s="699" t="s">
        <v>14</v>
      </c>
      <c r="S31" s="700">
        <f t="shared" si="12"/>
        <v>100</v>
      </c>
      <c r="T31" s="699" t="s">
        <v>14</v>
      </c>
      <c r="U31" s="700">
        <f t="shared" si="13"/>
        <v>100</v>
      </c>
      <c r="V31" s="699" t="s">
        <v>14</v>
      </c>
      <c r="W31" s="700">
        <f t="shared" si="14"/>
        <v>100</v>
      </c>
      <c r="X31" s="701"/>
      <c r="Y31" s="3717"/>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17" t="s">
        <v>1696</v>
      </c>
      <c r="Q32" s="1350">
        <f t="shared" si="11"/>
        <v>111</v>
      </c>
      <c r="R32" s="703" t="s">
        <v>14</v>
      </c>
      <c r="S32" s="704">
        <f t="shared" si="12"/>
        <v>100</v>
      </c>
      <c r="T32" s="703" t="s">
        <v>14</v>
      </c>
      <c r="U32" s="704">
        <f t="shared" si="13"/>
        <v>100</v>
      </c>
      <c r="V32" s="703" t="s">
        <v>14</v>
      </c>
      <c r="W32" s="704">
        <f t="shared" si="14"/>
        <v>100</v>
      </c>
      <c r="X32" s="1353"/>
      <c r="Y32" s="3717"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17"/>
      <c r="Q33" s="1350">
        <f t="shared" si="11"/>
        <v>111</v>
      </c>
      <c r="R33" s="703" t="s">
        <v>14</v>
      </c>
      <c r="S33" s="704">
        <f t="shared" si="12"/>
        <v>100</v>
      </c>
      <c r="T33" s="703" t="s">
        <v>14</v>
      </c>
      <c r="U33" s="704">
        <f t="shared" si="13"/>
        <v>100</v>
      </c>
      <c r="V33" s="703" t="s">
        <v>14</v>
      </c>
      <c r="W33" s="704">
        <f t="shared" si="14"/>
        <v>100</v>
      </c>
      <c r="X33" s="1353"/>
      <c r="Y33" s="3717"/>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17"/>
      <c r="Q34" s="1350">
        <f t="shared" si="11"/>
        <v>111</v>
      </c>
      <c r="R34" s="703" t="s">
        <v>14</v>
      </c>
      <c r="S34" s="704">
        <f t="shared" si="12"/>
        <v>100</v>
      </c>
      <c r="T34" s="703" t="s">
        <v>14</v>
      </c>
      <c r="U34" s="704">
        <f t="shared" si="13"/>
        <v>100</v>
      </c>
      <c r="V34" s="703" t="s">
        <v>14</v>
      </c>
      <c r="W34" s="704">
        <f t="shared" si="14"/>
        <v>100</v>
      </c>
      <c r="X34" s="1353"/>
      <c r="Y34" s="3717"/>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05" t="str">
        <f>A35</f>
        <v>成交单价（元/平方米）</v>
      </c>
      <c r="Q35" s="3705"/>
      <c r="R35" s="3706">
        <f>E35</f>
        <v>0</v>
      </c>
      <c r="S35" s="3706"/>
      <c r="T35" s="3706">
        <f>G35</f>
        <v>0</v>
      </c>
      <c r="U35" s="3706"/>
      <c r="V35" s="3706">
        <f>I35</f>
        <v>0</v>
      </c>
      <c r="W35" s="3706"/>
      <c r="X35" s="688"/>
      <c r="Y35" s="710"/>
      <c r="Z35" s="688"/>
      <c r="AA35" s="688"/>
      <c r="AB35" s="688"/>
      <c r="AC35" s="688"/>
    </row>
    <row r="36" spans="1:30" ht="15.75" thickBot="1">
      <c r="A36" s="436" t="s">
        <v>1793</v>
      </c>
      <c r="B36" s="437"/>
      <c r="C36" s="1158" t="e">
        <f>R37</f>
        <v>#DIV/0!</v>
      </c>
      <c r="D36" s="2315" t="s">
        <v>2137</v>
      </c>
      <c r="E36" s="1159" t="e">
        <f>R36</f>
        <v>#DIV/0!</v>
      </c>
      <c r="F36" s="2316"/>
      <c r="G36" s="1158" t="e">
        <f>T36</f>
        <v>#DIV/0!</v>
      </c>
      <c r="H36" s="2316"/>
      <c r="I36" s="1159" t="e">
        <f>V36</f>
        <v>#DIV/0!</v>
      </c>
      <c r="J36" s="2316"/>
      <c r="K36" s="2318">
        <f>F36+H36+J36</f>
        <v>0</v>
      </c>
      <c r="L36" s="2718"/>
      <c r="M36" s="2719"/>
      <c r="N36" s="2710"/>
      <c r="O36" s="2719"/>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07" t="str">
        <f>A37</f>
        <v>估价对象XX用房的比较价值（楼面单价，元/平方米）</v>
      </c>
      <c r="Q37" s="3708"/>
      <c r="R37" s="3821" t="e">
        <f>IF(F1="售价",ROUND(IF(D36="简单平均",AVERAGE(R36:W36),R36*F36+T36*H36+V36*J36),0),ROUND(IF(D36="简单平均",AVERAGE(R36:V36),R36*F36+T36*H36+V36*J36),1))</f>
        <v>#DIV/0!</v>
      </c>
      <c r="S37" s="3821"/>
      <c r="T37" s="3821"/>
      <c r="U37" s="3821"/>
      <c r="V37" s="3821"/>
      <c r="W37" s="3821"/>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2024-3</v>
      </c>
      <c r="D46" s="1183">
        <f>EDATE(C46,-1)</f>
        <v>45323</v>
      </c>
      <c r="E46" s="1183">
        <f t="shared" ref="E46:O46" si="16">EDATE(D46,-1)</f>
        <v>45292</v>
      </c>
      <c r="F46" s="1183">
        <f t="shared" si="16"/>
        <v>45261</v>
      </c>
      <c r="G46" s="1183">
        <f t="shared" si="16"/>
        <v>45231</v>
      </c>
      <c r="H46" s="1183">
        <f t="shared" si="16"/>
        <v>45200</v>
      </c>
      <c r="I46" s="1183">
        <f t="shared" si="16"/>
        <v>45170</v>
      </c>
      <c r="J46" s="1183">
        <f t="shared" si="16"/>
        <v>45139</v>
      </c>
      <c r="K46" s="1183">
        <f t="shared" si="16"/>
        <v>45108</v>
      </c>
      <c r="L46" s="1183">
        <f t="shared" si="16"/>
        <v>45078</v>
      </c>
      <c r="M46" s="1183">
        <f t="shared" si="16"/>
        <v>45047</v>
      </c>
      <c r="N46" s="1183">
        <f t="shared" si="16"/>
        <v>45017</v>
      </c>
      <c r="O46" s="1183">
        <f t="shared" si="16"/>
        <v>44986</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3" priority="18" stopIfTrue="1" operator="containsText" text="超过">
      <formula>NOT(ISERROR(SEARCH("超过",F40)))</formula>
    </cfRule>
  </conditionalFormatting>
  <conditionalFormatting sqref="J42">
    <cfRule type="containsText" dxfId="82" priority="17" stopIfTrue="1" operator="containsText" text="超过">
      <formula>NOT(ISERROR(SEARCH("超过",J42)))</formula>
    </cfRule>
  </conditionalFormatting>
  <conditionalFormatting sqref="H42">
    <cfRule type="containsText" dxfId="81" priority="16" stopIfTrue="1" operator="containsText" text="超过">
      <formula>NOT(ISERROR(SEARCH("超过",H42)))</formula>
    </cfRule>
  </conditionalFormatting>
  <conditionalFormatting sqref="F42">
    <cfRule type="containsText" dxfId="80" priority="15" stopIfTrue="1" operator="containsText" text="超过">
      <formula>NOT(ISERROR(SEARCH("超过",F42)))</formula>
    </cfRule>
  </conditionalFormatting>
  <conditionalFormatting sqref="F41 H41 J41">
    <cfRule type="containsText" dxfId="79" priority="14" stopIfTrue="1" operator="containsText" text="超过">
      <formula>NOT(ISERROR(SEARCH("超过",F41)))</formula>
    </cfRule>
  </conditionalFormatting>
  <conditionalFormatting sqref="E40">
    <cfRule type="expression" dxfId="78" priority="13" stopIfTrue="1">
      <formula>$F$40="超过30%"</formula>
    </cfRule>
  </conditionalFormatting>
  <conditionalFormatting sqref="G42">
    <cfRule type="expression" dxfId="77" priority="12" stopIfTrue="1">
      <formula>$H$54+$H$42="超过30%"</formula>
    </cfRule>
  </conditionalFormatting>
  <conditionalFormatting sqref="E41">
    <cfRule type="expression" dxfId="76" priority="11" stopIfTrue="1">
      <formula>$F$41="超过20%"</formula>
    </cfRule>
  </conditionalFormatting>
  <conditionalFormatting sqref="E42">
    <cfRule type="expression" dxfId="75" priority="10" stopIfTrue="1">
      <formula>$F$42="超过30%"</formula>
    </cfRule>
  </conditionalFormatting>
  <conditionalFormatting sqref="G40">
    <cfRule type="expression" dxfId="74" priority="9" stopIfTrue="1">
      <formula>$H$52+$H$40="超过30%"</formula>
    </cfRule>
  </conditionalFormatting>
  <conditionalFormatting sqref="G41">
    <cfRule type="expression" dxfId="73" priority="8" stopIfTrue="1">
      <formula>$H$53+$H$41="超过20%"</formula>
    </cfRule>
  </conditionalFormatting>
  <conditionalFormatting sqref="I40">
    <cfRule type="expression" dxfId="72" priority="7" stopIfTrue="1">
      <formula>$J$40="超过30%"</formula>
    </cfRule>
  </conditionalFormatting>
  <conditionalFormatting sqref="I41">
    <cfRule type="expression" dxfId="71" priority="6" stopIfTrue="1">
      <formula>$J$41="超过20%"</formula>
    </cfRule>
  </conditionalFormatting>
  <conditionalFormatting sqref="I42">
    <cfRule type="expression" dxfId="70" priority="5" stopIfTrue="1">
      <formula>$J$42="超过30%"</formula>
    </cfRule>
  </conditionalFormatting>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F7:F34 H7:H34 J7:J34">
    <cfRule type="cellIs" dxfId="6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30"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30"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23"/>
      <c r="AC6" s="3723"/>
    </row>
    <row r="7" spans="1:30" s="107" customFormat="1" ht="15.75" thickBot="1">
      <c r="A7" s="361" t="s">
        <v>1679</v>
      </c>
      <c r="B7" s="362"/>
      <c r="C7" s="363">
        <f>'数据-取费表'!B2</f>
        <v>45363</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44" t="s">
        <v>1680</v>
      </c>
      <c r="Q7" s="3746"/>
      <c r="R7" s="699" t="s">
        <v>14</v>
      </c>
      <c r="S7" s="700">
        <f t="shared" ref="S7:S15" si="0">F7</f>
        <v>0</v>
      </c>
      <c r="T7" s="699" t="s">
        <v>14</v>
      </c>
      <c r="U7" s="700">
        <f t="shared" ref="U7:U15" si="1">H7</f>
        <v>0</v>
      </c>
      <c r="V7" s="699" t="s">
        <v>14</v>
      </c>
      <c r="W7" s="700">
        <f t="shared" ref="W7:W15" si="2">J7</f>
        <v>0</v>
      </c>
      <c r="X7" s="701"/>
      <c r="Y7" s="3744" t="s">
        <v>1680</v>
      </c>
      <c r="Z7" s="3745"/>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44" t="s">
        <v>1683</v>
      </c>
      <c r="Q8" s="3745"/>
      <c r="R8" s="699" t="s">
        <v>14</v>
      </c>
      <c r="S8" s="700">
        <f t="shared" si="0"/>
        <v>0</v>
      </c>
      <c r="T8" s="699" t="s">
        <v>14</v>
      </c>
      <c r="U8" s="700">
        <f t="shared" si="1"/>
        <v>0</v>
      </c>
      <c r="V8" s="699" t="s">
        <v>14</v>
      </c>
      <c r="W8" s="700">
        <f t="shared" si="2"/>
        <v>0</v>
      </c>
      <c r="X8" s="701"/>
      <c r="Y8" s="3744" t="s">
        <v>1683</v>
      </c>
      <c r="Z8" s="3745"/>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05"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152</v>
      </c>
      <c r="G10" s="413"/>
      <c r="H10" s="126">
        <f>ROUND(100/'数据-取费表'!G16,0)</f>
        <v>152</v>
      </c>
      <c r="I10" s="413"/>
      <c r="J10" s="126">
        <f>ROUND(100/'数据-取费表'!G16,0)</f>
        <v>152</v>
      </c>
      <c r="K10" s="619"/>
      <c r="L10" s="2713"/>
      <c r="M10" s="2714"/>
      <c r="N10" s="2714"/>
      <c r="O10" s="2767"/>
      <c r="P10" s="3705"/>
      <c r="Q10" s="1341" t="str">
        <f t="shared" si="6"/>
        <v>土地使用年限（年）</v>
      </c>
      <c r="R10" s="699" t="s">
        <v>14</v>
      </c>
      <c r="S10" s="700">
        <f t="shared" si="0"/>
        <v>152</v>
      </c>
      <c r="T10" s="699" t="s">
        <v>14</v>
      </c>
      <c r="U10" s="700">
        <f t="shared" si="1"/>
        <v>152</v>
      </c>
      <c r="V10" s="699" t="s">
        <v>14</v>
      </c>
      <c r="W10" s="700">
        <f t="shared" si="2"/>
        <v>152</v>
      </c>
      <c r="X10" s="701"/>
      <c r="Y10" s="3605"/>
      <c r="Z10" s="52" t="str">
        <f t="shared" si="7"/>
        <v>土地使用年限（年）</v>
      </c>
      <c r="AA10" s="702">
        <f t="shared" si="3"/>
        <v>0.65789473684210531</v>
      </c>
      <c r="AB10" s="702">
        <f t="shared" si="4"/>
        <v>0.65789473684210531</v>
      </c>
      <c r="AC10" s="702">
        <f t="shared" si="5"/>
        <v>0.65789473684210531</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05"/>
      <c r="Q11" s="1341" t="str">
        <f t="shared" si="6"/>
        <v>容积率</v>
      </c>
      <c r="R11" s="699" t="s">
        <v>14</v>
      </c>
      <c r="S11" s="700" t="e">
        <f t="shared" si="0"/>
        <v>#N/A</v>
      </c>
      <c r="T11" s="699" t="s">
        <v>14</v>
      </c>
      <c r="U11" s="700" t="e">
        <f t="shared" si="1"/>
        <v>#N/A</v>
      </c>
      <c r="V11" s="699" t="s">
        <v>14</v>
      </c>
      <c r="W11" s="700" t="e">
        <f t="shared" si="2"/>
        <v>#N/A</v>
      </c>
      <c r="X11" s="701"/>
      <c r="Y11" s="3605"/>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05"/>
      <c r="Q12" s="1341" t="str">
        <f t="shared" si="6"/>
        <v>配建</v>
      </c>
      <c r="R12" s="699" t="s">
        <v>14</v>
      </c>
      <c r="S12" s="700">
        <f t="shared" si="0"/>
        <v>100</v>
      </c>
      <c r="T12" s="699" t="s">
        <v>14</v>
      </c>
      <c r="U12" s="700">
        <f t="shared" si="1"/>
        <v>100</v>
      </c>
      <c r="V12" s="699" t="s">
        <v>14</v>
      </c>
      <c r="W12" s="700">
        <f t="shared" si="2"/>
        <v>100</v>
      </c>
      <c r="X12" s="701"/>
      <c r="Y12" s="3605"/>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05"/>
      <c r="Q14" s="1341">
        <f t="shared" si="6"/>
        <v>111</v>
      </c>
      <c r="R14" s="699" t="s">
        <v>14</v>
      </c>
      <c r="S14" s="700">
        <f t="shared" si="0"/>
        <v>100</v>
      </c>
      <c r="T14" s="699" t="s">
        <v>14</v>
      </c>
      <c r="U14" s="700">
        <f t="shared" si="1"/>
        <v>100</v>
      </c>
      <c r="V14" s="699" t="s">
        <v>14</v>
      </c>
      <c r="W14" s="700">
        <f t="shared" si="2"/>
        <v>100</v>
      </c>
      <c r="X14" s="701"/>
      <c r="Y14" s="3605"/>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12" t="s">
        <v>1691</v>
      </c>
      <c r="Q15" s="1350" t="str">
        <f t="shared" si="6"/>
        <v>居住社区成熟度</v>
      </c>
      <c r="R15" s="703" t="s">
        <v>14</v>
      </c>
      <c r="S15" s="704">
        <f t="shared" si="0"/>
        <v>100</v>
      </c>
      <c r="T15" s="703" t="s">
        <v>14</v>
      </c>
      <c r="U15" s="704">
        <f t="shared" si="1"/>
        <v>100</v>
      </c>
      <c r="V15" s="703" t="s">
        <v>14</v>
      </c>
      <c r="W15" s="704">
        <f t="shared" si="2"/>
        <v>100</v>
      </c>
      <c r="X15" s="1353"/>
      <c r="Y15" s="3712"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13"/>
      <c r="Q16" s="1350"/>
      <c r="R16" s="703"/>
      <c r="S16" s="704"/>
      <c r="T16" s="703"/>
      <c r="U16" s="704"/>
      <c r="V16" s="703"/>
      <c r="W16" s="704"/>
      <c r="X16" s="1353"/>
      <c r="Y16" s="3713"/>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13"/>
      <c r="Q17" s="1350" t="str">
        <f>B17</f>
        <v>商业繁华度</v>
      </c>
      <c r="R17" s="703" t="s">
        <v>14</v>
      </c>
      <c r="S17" s="704">
        <f>F17</f>
        <v>100</v>
      </c>
      <c r="T17" s="703" t="s">
        <v>14</v>
      </c>
      <c r="U17" s="704">
        <f>H17</f>
        <v>100</v>
      </c>
      <c r="V17" s="703" t="s">
        <v>14</v>
      </c>
      <c r="W17" s="704">
        <f>J17</f>
        <v>100</v>
      </c>
      <c r="X17" s="1353"/>
      <c r="Y17" s="3713"/>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13"/>
      <c r="Q18" s="1350"/>
      <c r="R18" s="703"/>
      <c r="S18" s="704"/>
      <c r="T18" s="703"/>
      <c r="U18" s="704"/>
      <c r="V18" s="703"/>
      <c r="W18" s="704"/>
      <c r="X18" s="1353"/>
      <c r="Y18" s="3713"/>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13"/>
      <c r="Q19" s="1350" t="str">
        <f>B19</f>
        <v>办公集聚程度</v>
      </c>
      <c r="R19" s="703" t="s">
        <v>14</v>
      </c>
      <c r="S19" s="704">
        <f>F19</f>
        <v>100</v>
      </c>
      <c r="T19" s="703" t="s">
        <v>14</v>
      </c>
      <c r="U19" s="704">
        <f>H19</f>
        <v>100</v>
      </c>
      <c r="V19" s="703" t="s">
        <v>14</v>
      </c>
      <c r="W19" s="704">
        <f>J19</f>
        <v>100</v>
      </c>
      <c r="X19" s="1353"/>
      <c r="Y19" s="3713"/>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13"/>
      <c r="Q20" s="1350"/>
      <c r="R20" s="703"/>
      <c r="S20" s="704"/>
      <c r="T20" s="703"/>
      <c r="U20" s="704"/>
      <c r="V20" s="703"/>
      <c r="W20" s="704"/>
      <c r="X20" s="1353"/>
      <c r="Y20" s="3713"/>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13"/>
      <c r="Q21" s="1350" t="str">
        <f>B21</f>
        <v>交通便捷度</v>
      </c>
      <c r="R21" s="703" t="s">
        <v>14</v>
      </c>
      <c r="S21" s="704">
        <f>F21</f>
        <v>100</v>
      </c>
      <c r="T21" s="703" t="s">
        <v>14</v>
      </c>
      <c r="U21" s="704">
        <f>H21</f>
        <v>100</v>
      </c>
      <c r="V21" s="703" t="s">
        <v>14</v>
      </c>
      <c r="W21" s="704">
        <f>J21</f>
        <v>100</v>
      </c>
      <c r="X21" s="1353"/>
      <c r="Y21" s="3713"/>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13"/>
      <c r="Q22" s="1350"/>
      <c r="R22" s="703"/>
      <c r="S22" s="704"/>
      <c r="T22" s="703"/>
      <c r="U22" s="704"/>
      <c r="V22" s="703"/>
      <c r="W22" s="704"/>
      <c r="X22" s="1353"/>
      <c r="Y22" s="3713"/>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13"/>
      <c r="Q23" s="1350" t="str">
        <f t="shared" ref="Q23:Q37" si="8">B23</f>
        <v>区域土地利用方向</v>
      </c>
      <c r="R23" s="703" t="s">
        <v>14</v>
      </c>
      <c r="S23" s="704">
        <f>F23</f>
        <v>100</v>
      </c>
      <c r="T23" s="703" t="s">
        <v>14</v>
      </c>
      <c r="U23" s="704">
        <f>H23</f>
        <v>100</v>
      </c>
      <c r="V23" s="703" t="s">
        <v>14</v>
      </c>
      <c r="W23" s="704">
        <f>J23</f>
        <v>100</v>
      </c>
      <c r="X23" s="1353"/>
      <c r="Y23" s="3713"/>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13"/>
      <c r="Q24" s="1350"/>
      <c r="R24" s="703"/>
      <c r="S24" s="704"/>
      <c r="T24" s="703"/>
      <c r="U24" s="704"/>
      <c r="V24" s="703"/>
      <c r="W24" s="704"/>
      <c r="X24" s="1353"/>
      <c r="Y24" s="3713"/>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13"/>
      <c r="Q25" s="1350" t="str">
        <f t="shared" si="8"/>
        <v>自然及人文环境状况</v>
      </c>
      <c r="R25" s="703" t="s">
        <v>14</v>
      </c>
      <c r="S25" s="704">
        <f>F25</f>
        <v>100</v>
      </c>
      <c r="T25" s="703" t="s">
        <v>14</v>
      </c>
      <c r="U25" s="704">
        <f>H25</f>
        <v>100</v>
      </c>
      <c r="V25" s="703" t="s">
        <v>14</v>
      </c>
      <c r="W25" s="704">
        <f>J25</f>
        <v>100</v>
      </c>
      <c r="X25" s="1353"/>
      <c r="Y25" s="3713"/>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13"/>
      <c r="Q26" s="1350"/>
      <c r="R26" s="703"/>
      <c r="S26" s="704"/>
      <c r="T26" s="703"/>
      <c r="U26" s="704"/>
      <c r="V26" s="703"/>
      <c r="W26" s="704"/>
      <c r="X26" s="1353"/>
      <c r="Y26" s="3713"/>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13"/>
      <c r="Q27" s="1341" t="str">
        <f t="shared" si="8"/>
        <v>公共配套设施</v>
      </c>
      <c r="R27" s="699" t="s">
        <v>14</v>
      </c>
      <c r="S27" s="700">
        <f>F27</f>
        <v>100</v>
      </c>
      <c r="T27" s="699" t="s">
        <v>14</v>
      </c>
      <c r="U27" s="700">
        <f>H27</f>
        <v>100</v>
      </c>
      <c r="V27" s="699" t="s">
        <v>14</v>
      </c>
      <c r="W27" s="700">
        <f>J27</f>
        <v>100</v>
      </c>
      <c r="X27" s="701"/>
      <c r="Y27" s="3713"/>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13"/>
      <c r="Q28" s="1341"/>
      <c r="R28" s="699"/>
      <c r="S28" s="700"/>
      <c r="T28" s="699"/>
      <c r="U28" s="700"/>
      <c r="V28" s="699"/>
      <c r="W28" s="700"/>
      <c r="X28" s="701"/>
      <c r="Y28" s="3713"/>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13"/>
      <c r="Q29" s="1341" t="str">
        <f t="shared" ref="Q29" si="9">B29</f>
        <v>基础设施水平</v>
      </c>
      <c r="R29" s="699" t="s">
        <v>14</v>
      </c>
      <c r="S29" s="700">
        <f>F29</f>
        <v>100</v>
      </c>
      <c r="T29" s="699" t="s">
        <v>14</v>
      </c>
      <c r="U29" s="700">
        <f>H29</f>
        <v>100</v>
      </c>
      <c r="V29" s="699" t="s">
        <v>14</v>
      </c>
      <c r="W29" s="700">
        <f>J29</f>
        <v>100</v>
      </c>
      <c r="X29" s="701"/>
      <c r="Y29" s="3713"/>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13"/>
      <c r="Q30" s="1341"/>
      <c r="R30" s="699"/>
      <c r="S30" s="700"/>
      <c r="T30" s="699"/>
      <c r="U30" s="700"/>
      <c r="V30" s="699"/>
      <c r="W30" s="700"/>
      <c r="X30" s="701"/>
      <c r="Y30" s="3713"/>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13"/>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13"/>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13"/>
      <c r="Q32" s="1350" t="str">
        <f t="shared" si="8"/>
        <v>毗邻道路的类型与等级</v>
      </c>
      <c r="R32" s="703" t="s">
        <v>14</v>
      </c>
      <c r="S32" s="704">
        <f t="shared" si="10"/>
        <v>100</v>
      </c>
      <c r="T32" s="703" t="s">
        <v>14</v>
      </c>
      <c r="U32" s="704">
        <f t="shared" si="11"/>
        <v>100</v>
      </c>
      <c r="V32" s="703" t="s">
        <v>14</v>
      </c>
      <c r="W32" s="704">
        <f t="shared" si="12"/>
        <v>100</v>
      </c>
      <c r="X32" s="1353"/>
      <c r="Y32" s="3713"/>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13"/>
      <c r="Q33" s="1350"/>
      <c r="R33" s="703"/>
      <c r="S33" s="704"/>
      <c r="T33" s="703"/>
      <c r="U33" s="704"/>
      <c r="V33" s="703"/>
      <c r="W33" s="704"/>
      <c r="X33" s="1353"/>
      <c r="Y33" s="3713"/>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13"/>
      <c r="Q34" s="1350" t="str">
        <f t="shared" si="8"/>
        <v>土地级别</v>
      </c>
      <c r="R34" s="703" t="s">
        <v>14</v>
      </c>
      <c r="S34" s="704">
        <f t="shared" si="10"/>
        <v>100</v>
      </c>
      <c r="T34" s="703" t="s">
        <v>14</v>
      </c>
      <c r="U34" s="704">
        <f t="shared" si="11"/>
        <v>100</v>
      </c>
      <c r="V34" s="703" t="s">
        <v>14</v>
      </c>
      <c r="W34" s="704">
        <f t="shared" si="12"/>
        <v>100</v>
      </c>
      <c r="X34" s="1353"/>
      <c r="Y34" s="3713"/>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13"/>
      <c r="Q35" s="1350">
        <f t="shared" si="8"/>
        <v>111</v>
      </c>
      <c r="R35" s="703" t="s">
        <v>14</v>
      </c>
      <c r="S35" s="704">
        <f t="shared" si="10"/>
        <v>100</v>
      </c>
      <c r="T35" s="703" t="s">
        <v>14</v>
      </c>
      <c r="U35" s="704">
        <f t="shared" si="11"/>
        <v>100</v>
      </c>
      <c r="V35" s="703" t="s">
        <v>14</v>
      </c>
      <c r="W35" s="704">
        <f t="shared" si="12"/>
        <v>100</v>
      </c>
      <c r="X35" s="1353"/>
      <c r="Y35" s="3713"/>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20" t="s">
        <v>1696</v>
      </c>
      <c r="Q36" s="1350">
        <f t="shared" si="8"/>
        <v>111</v>
      </c>
      <c r="R36" s="703" t="s">
        <v>14</v>
      </c>
      <c r="S36" s="704">
        <f t="shared" si="10"/>
        <v>100</v>
      </c>
      <c r="T36" s="703" t="s">
        <v>14</v>
      </c>
      <c r="U36" s="704">
        <f t="shared" si="11"/>
        <v>100</v>
      </c>
      <c r="V36" s="703" t="s">
        <v>14</v>
      </c>
      <c r="W36" s="704">
        <f t="shared" si="12"/>
        <v>100</v>
      </c>
      <c r="X36" s="1353"/>
      <c r="Y36" s="3717"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17"/>
      <c r="Q37" s="1350">
        <f t="shared" si="8"/>
        <v>111</v>
      </c>
      <c r="R37" s="706" t="s">
        <v>14</v>
      </c>
      <c r="S37" s="707">
        <f t="shared" si="10"/>
        <v>100</v>
      </c>
      <c r="T37" s="706" t="s">
        <v>14</v>
      </c>
      <c r="U37" s="707">
        <f t="shared" si="11"/>
        <v>100</v>
      </c>
      <c r="V37" s="706" t="s">
        <v>14</v>
      </c>
      <c r="W37" s="707">
        <f t="shared" si="12"/>
        <v>100</v>
      </c>
      <c r="X37" s="708"/>
      <c r="Y37" s="3717"/>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17"/>
      <c r="Q38" s="1350" t="str">
        <f>B38</f>
        <v>宗地面积</v>
      </c>
      <c r="R38" s="703" t="s">
        <v>14</v>
      </c>
      <c r="S38" s="704" t="e">
        <f t="shared" si="10"/>
        <v>#N/A</v>
      </c>
      <c r="T38" s="703" t="s">
        <v>14</v>
      </c>
      <c r="U38" s="704" t="e">
        <f t="shared" si="11"/>
        <v>#N/A</v>
      </c>
      <c r="V38" s="703" t="s">
        <v>14</v>
      </c>
      <c r="W38" s="704" t="e">
        <f t="shared" si="12"/>
        <v>#N/A</v>
      </c>
      <c r="X38" s="1353"/>
      <c r="Y38" s="3717"/>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17"/>
      <c r="Q39" s="1350" t="str">
        <f t="shared" ref="Q39:Q45" si="14">B39</f>
        <v>宗地形状</v>
      </c>
      <c r="R39" s="703" t="s">
        <v>14</v>
      </c>
      <c r="S39" s="704">
        <f t="shared" si="10"/>
        <v>100</v>
      </c>
      <c r="T39" s="703" t="s">
        <v>14</v>
      </c>
      <c r="U39" s="704">
        <f t="shared" si="11"/>
        <v>100</v>
      </c>
      <c r="V39" s="703" t="s">
        <v>14</v>
      </c>
      <c r="W39" s="704">
        <f t="shared" si="12"/>
        <v>100</v>
      </c>
      <c r="X39" s="1353"/>
      <c r="Y39" s="3717"/>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17"/>
      <c r="Q40" s="1350" t="str">
        <f t="shared" si="14"/>
        <v>临街宽度及深度</v>
      </c>
      <c r="R40" s="703" t="s">
        <v>14</v>
      </c>
      <c r="S40" s="704">
        <f t="shared" si="10"/>
        <v>100</v>
      </c>
      <c r="T40" s="703" t="s">
        <v>14</v>
      </c>
      <c r="U40" s="704">
        <f t="shared" si="11"/>
        <v>100</v>
      </c>
      <c r="V40" s="703" t="s">
        <v>14</v>
      </c>
      <c r="W40" s="704">
        <f t="shared" si="12"/>
        <v>100</v>
      </c>
      <c r="X40" s="1353"/>
      <c r="Y40" s="3717"/>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17"/>
      <c r="Q41" s="1350" t="str">
        <f t="shared" si="14"/>
        <v>宗地开发程度</v>
      </c>
      <c r="R41" s="699" t="s">
        <v>14</v>
      </c>
      <c r="S41" s="700">
        <f t="shared" si="10"/>
        <v>100</v>
      </c>
      <c r="T41" s="699" t="s">
        <v>14</v>
      </c>
      <c r="U41" s="700">
        <f t="shared" si="11"/>
        <v>100</v>
      </c>
      <c r="V41" s="699" t="s">
        <v>14</v>
      </c>
      <c r="W41" s="700">
        <f t="shared" si="12"/>
        <v>100</v>
      </c>
      <c r="X41" s="701"/>
      <c r="Y41" s="3717"/>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17" t="s">
        <v>1696</v>
      </c>
      <c r="Q42" s="1350" t="str">
        <f t="shared" si="14"/>
        <v>工程地质条件</v>
      </c>
      <c r="R42" s="703" t="s">
        <v>14</v>
      </c>
      <c r="S42" s="704">
        <f t="shared" si="10"/>
        <v>100</v>
      </c>
      <c r="T42" s="703" t="s">
        <v>14</v>
      </c>
      <c r="U42" s="704">
        <f t="shared" si="11"/>
        <v>100</v>
      </c>
      <c r="V42" s="703" t="s">
        <v>14</v>
      </c>
      <c r="W42" s="704">
        <f t="shared" si="12"/>
        <v>100</v>
      </c>
      <c r="X42" s="1353"/>
      <c r="Y42" s="3717"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17"/>
      <c r="Q43" s="1350">
        <f t="shared" si="14"/>
        <v>111</v>
      </c>
      <c r="R43" s="703" t="s">
        <v>14</v>
      </c>
      <c r="S43" s="704">
        <f t="shared" si="10"/>
        <v>100</v>
      </c>
      <c r="T43" s="703" t="s">
        <v>14</v>
      </c>
      <c r="U43" s="704">
        <f t="shared" si="11"/>
        <v>100</v>
      </c>
      <c r="V43" s="703" t="s">
        <v>14</v>
      </c>
      <c r="W43" s="704">
        <f t="shared" si="12"/>
        <v>100</v>
      </c>
      <c r="X43" s="1353"/>
      <c r="Y43" s="3717"/>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17"/>
      <c r="Q44" s="1350">
        <f t="shared" si="14"/>
        <v>111</v>
      </c>
      <c r="R44" s="703" t="s">
        <v>14</v>
      </c>
      <c r="S44" s="704">
        <f t="shared" si="10"/>
        <v>100</v>
      </c>
      <c r="T44" s="703" t="s">
        <v>14</v>
      </c>
      <c r="U44" s="704">
        <f t="shared" si="11"/>
        <v>100</v>
      </c>
      <c r="V44" s="703" t="s">
        <v>14</v>
      </c>
      <c r="W44" s="704">
        <f t="shared" si="12"/>
        <v>100</v>
      </c>
      <c r="X44" s="1353"/>
      <c r="Y44" s="3717"/>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17"/>
      <c r="Q45" s="1350">
        <f t="shared" si="14"/>
        <v>111</v>
      </c>
      <c r="R45" s="706" t="s">
        <v>14</v>
      </c>
      <c r="S45" s="707">
        <f t="shared" si="10"/>
        <v>100</v>
      </c>
      <c r="T45" s="706" t="s">
        <v>14</v>
      </c>
      <c r="U45" s="707">
        <f t="shared" si="11"/>
        <v>100</v>
      </c>
      <c r="V45" s="706" t="s">
        <v>14</v>
      </c>
      <c r="W45" s="707">
        <f t="shared" si="12"/>
        <v>100</v>
      </c>
      <c r="X45" s="708"/>
      <c r="Y45" s="3717"/>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05" t="str">
        <f>A46</f>
        <v>成交单价</v>
      </c>
      <c r="Q46" s="3705"/>
      <c r="R46" s="3719">
        <f>E46</f>
        <v>0</v>
      </c>
      <c r="S46" s="3719"/>
      <c r="T46" s="3719">
        <f>G46</f>
        <v>0</v>
      </c>
      <c r="U46" s="3719"/>
      <c r="V46" s="3719">
        <f>I46</f>
        <v>0</v>
      </c>
      <c r="W46" s="3719"/>
      <c r="X46" s="688"/>
      <c r="Y46" s="710"/>
      <c r="Z46" s="688"/>
      <c r="AA46" s="688"/>
      <c r="AB46" s="688"/>
      <c r="AC46" s="688"/>
    </row>
    <row r="47" spans="1:29" ht="15.75" thickBot="1">
      <c r="A47" s="436" t="s">
        <v>1793</v>
      </c>
      <c r="B47" s="630"/>
      <c r="C47" s="439" t="e">
        <f>R48</f>
        <v>#DIV/0!</v>
      </c>
      <c r="D47" s="2315" t="s">
        <v>2137</v>
      </c>
      <c r="E47" s="439" t="e">
        <f>R47</f>
        <v>#DIV/0!</v>
      </c>
      <c r="F47" s="2316"/>
      <c r="G47" s="438" t="e">
        <f>T47</f>
        <v>#DIV/0!</v>
      </c>
      <c r="H47" s="2316"/>
      <c r="I47" s="439" t="e">
        <f>V47</f>
        <v>#DIV/0!</v>
      </c>
      <c r="J47" s="2316"/>
      <c r="K47" s="2318">
        <f>F47+H47+J47</f>
        <v>0</v>
      </c>
      <c r="L47" s="2718"/>
      <c r="M47" s="2719"/>
      <c r="N47" s="2719"/>
      <c r="O47" s="2719"/>
      <c r="P47" s="3705" t="str">
        <f>A47</f>
        <v>比较价值（元/平方米）</v>
      </c>
      <c r="Q47" s="3705"/>
      <c r="R47" s="3822" t="e">
        <f>ROUND(PRODUCT(R46,AA7:AA45),0)</f>
        <v>#DIV/0!</v>
      </c>
      <c r="S47" s="3822"/>
      <c r="T47" s="3822" t="e">
        <f>ROUND(PRODUCT(T46,AB7:AB45),0)</f>
        <v>#DIV/0!</v>
      </c>
      <c r="U47" s="3822"/>
      <c r="V47" s="3822" t="e">
        <f>ROUND(PRODUCT(V46,AC7:AC45),0)</f>
        <v>#DIV/0!</v>
      </c>
      <c r="W47" s="3822"/>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07" t="str">
        <f>A48</f>
        <v>估价对象XX用房的比较价值（楼面单价，元/平方米）</v>
      </c>
      <c r="Q48" s="3708"/>
      <c r="R48" s="3823" t="e">
        <f>ROUND(IF(D47="简单平均",AVERAGE(R47:W47),R47*F47+T47*H47+V47*J47),0)</f>
        <v>#DIV/0!</v>
      </c>
      <c r="S48" s="3823"/>
      <c r="T48" s="3823"/>
      <c r="U48" s="3823"/>
      <c r="V48" s="3823"/>
      <c r="W48" s="3823"/>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24" t="s">
        <v>1887</v>
      </c>
      <c r="H55" s="3824"/>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61.42</v>
      </c>
      <c r="F56" s="884" t="e">
        <f t="shared" ref="F56:F64" si="15">ROUND(B56*E56/10000,0)</f>
        <v>#DIV/0!</v>
      </c>
      <c r="G56" s="3720"/>
      <c r="H56" s="3705"/>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三级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三级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三级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三级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61.42</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2024-3-1</v>
      </c>
      <c r="D67" s="690">
        <f>EDATE(C67,-3)</f>
        <v>45261</v>
      </c>
      <c r="E67" s="690">
        <f>EDATE(D67,-3)</f>
        <v>45170</v>
      </c>
      <c r="F67" s="690">
        <f t="shared" ref="F67:O67" si="18">EDATE(E67,-3)</f>
        <v>45078</v>
      </c>
      <c r="G67" s="690">
        <f t="shared" si="18"/>
        <v>44986</v>
      </c>
      <c r="H67" s="690">
        <f t="shared" si="18"/>
        <v>44896</v>
      </c>
      <c r="I67" s="690">
        <f t="shared" si="18"/>
        <v>44805</v>
      </c>
      <c r="J67" s="690">
        <f t="shared" si="18"/>
        <v>44713</v>
      </c>
      <c r="K67" s="690">
        <f t="shared" si="18"/>
        <v>44621</v>
      </c>
      <c r="L67" s="690">
        <f t="shared" si="18"/>
        <v>44531</v>
      </c>
      <c r="M67" s="690">
        <f t="shared" si="18"/>
        <v>44440</v>
      </c>
      <c r="N67" s="690">
        <f t="shared" si="18"/>
        <v>44348</v>
      </c>
      <c r="O67" s="690">
        <f t="shared" si="18"/>
        <v>44256</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2024-1</v>
      </c>
      <c r="D69" s="1180" t="str">
        <f>YEAR(D67)&amp;"-"&amp;ROUNDUP(MONTH(D67)/3,0)</f>
        <v>2023-4</v>
      </c>
      <c r="E69" s="1180" t="str">
        <f t="shared" ref="E69:O69" si="19">YEAR(E67)&amp;"-"&amp;ROUNDUP(MONTH(E67)/3,0)</f>
        <v>2023-3</v>
      </c>
      <c r="F69" s="1180" t="str">
        <f t="shared" si="19"/>
        <v>2023-2</v>
      </c>
      <c r="G69" s="1180" t="str">
        <f t="shared" si="19"/>
        <v>2023-1</v>
      </c>
      <c r="H69" s="1180" t="str">
        <f t="shared" si="19"/>
        <v>2022-4</v>
      </c>
      <c r="I69" s="1180" t="str">
        <f t="shared" si="19"/>
        <v>2022-3</v>
      </c>
      <c r="J69" s="1180" t="str">
        <f t="shared" si="19"/>
        <v>2022-2</v>
      </c>
      <c r="K69" s="1180" t="str">
        <f t="shared" si="19"/>
        <v>2022-1</v>
      </c>
      <c r="L69" s="1180" t="str">
        <f t="shared" si="19"/>
        <v>2021-4</v>
      </c>
      <c r="M69" s="1180" t="str">
        <f t="shared" si="19"/>
        <v>2021-3</v>
      </c>
      <c r="N69" s="1180" t="str">
        <f t="shared" si="19"/>
        <v>2021-2</v>
      </c>
      <c r="O69" s="1180" t="str">
        <f t="shared" si="19"/>
        <v>2021-1</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5" priority="18" stopIfTrue="1" operator="containsText" text="超过">
      <formula>NOT(ISERROR(SEARCH("超过",F51)))</formula>
    </cfRule>
  </conditionalFormatting>
  <conditionalFormatting sqref="J53">
    <cfRule type="containsText" dxfId="64" priority="17" stopIfTrue="1" operator="containsText" text="超过">
      <formula>NOT(ISERROR(SEARCH("超过",J53)))</formula>
    </cfRule>
  </conditionalFormatting>
  <conditionalFormatting sqref="H53">
    <cfRule type="containsText" dxfId="63" priority="16" stopIfTrue="1" operator="containsText" text="超过">
      <formula>NOT(ISERROR(SEARCH("超过",H53)))</formula>
    </cfRule>
  </conditionalFormatting>
  <conditionalFormatting sqref="F53">
    <cfRule type="containsText" dxfId="62" priority="15" stopIfTrue="1" operator="containsText" text="超过">
      <formula>NOT(ISERROR(SEARCH("超过",F53)))</formula>
    </cfRule>
  </conditionalFormatting>
  <conditionalFormatting sqref="F52 H52 J52">
    <cfRule type="containsText" dxfId="61" priority="14" stopIfTrue="1" operator="containsText" text="超过">
      <formula>NOT(ISERROR(SEARCH("超过",F52)))</formula>
    </cfRule>
  </conditionalFormatting>
  <conditionalFormatting sqref="E51">
    <cfRule type="expression" dxfId="60" priority="13" stopIfTrue="1">
      <formula>$F$51="超过30%"</formula>
    </cfRule>
  </conditionalFormatting>
  <conditionalFormatting sqref="G53">
    <cfRule type="expression" dxfId="59" priority="12" stopIfTrue="1">
      <formula>$H$53="超过30%"</formula>
    </cfRule>
  </conditionalFormatting>
  <conditionalFormatting sqref="E52">
    <cfRule type="expression" dxfId="58" priority="11" stopIfTrue="1">
      <formula>$F$52="超过20%"</formula>
    </cfRule>
  </conditionalFormatting>
  <conditionalFormatting sqref="E53">
    <cfRule type="expression" dxfId="57" priority="10" stopIfTrue="1">
      <formula>$F$53="超过30%"</formula>
    </cfRule>
  </conditionalFormatting>
  <conditionalFormatting sqref="G51">
    <cfRule type="expression" dxfId="56" priority="9" stopIfTrue="1">
      <formula>$H$53+$H$51="超过30%"</formula>
    </cfRule>
  </conditionalFormatting>
  <conditionalFormatting sqref="G52">
    <cfRule type="expression" dxfId="55" priority="8" stopIfTrue="1">
      <formula>$H$52="超过20%"</formula>
    </cfRule>
  </conditionalFormatting>
  <conditionalFormatting sqref="I51">
    <cfRule type="expression" dxfId="54" priority="7" stopIfTrue="1">
      <formula>$J$51="超过30%"</formula>
    </cfRule>
  </conditionalFormatting>
  <conditionalFormatting sqref="I52">
    <cfRule type="expression" dxfId="53" priority="6" stopIfTrue="1">
      <formula>$J$52="超过20%"</formula>
    </cfRule>
  </conditionalFormatting>
  <conditionalFormatting sqref="I53">
    <cfRule type="expression" dxfId="52" priority="5" stopIfTrue="1">
      <formula>$J$53="超过30%"</formula>
    </cfRule>
  </conditionalFormatting>
  <conditionalFormatting sqref="F47">
    <cfRule type="expression" dxfId="51" priority="4">
      <formula>$D$47="简单平均"</formula>
    </cfRule>
  </conditionalFormatting>
  <conditionalFormatting sqref="H47">
    <cfRule type="expression" dxfId="50" priority="3">
      <formula>$D$47="简单平均"</formula>
    </cfRule>
  </conditionalFormatting>
  <conditionalFormatting sqref="J47">
    <cfRule type="expression" dxfId="49" priority="2">
      <formula>$D$47="简单平均"</formula>
    </cfRule>
  </conditionalFormatting>
  <conditionalFormatting sqref="F7:F45 H7:H45 J7:J45">
    <cfRule type="cellIs" dxfId="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825" t="s">
        <v>1919</v>
      </c>
      <c r="D6" s="3826"/>
      <c r="E6" s="3827" t="s">
        <v>1919</v>
      </c>
      <c r="F6" s="3828"/>
      <c r="G6" s="3825" t="s">
        <v>1919</v>
      </c>
      <c r="H6" s="3826"/>
      <c r="I6" s="3825" t="s">
        <v>1919</v>
      </c>
      <c r="J6" s="3826"/>
      <c r="K6" s="55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44" t="s">
        <v>1680</v>
      </c>
      <c r="Q7" s="3746"/>
      <c r="R7" s="699" t="s">
        <v>14</v>
      </c>
      <c r="S7" s="700">
        <f t="shared" ref="S7:S15" si="0">F7</f>
        <v>0</v>
      </c>
      <c r="T7" s="699" t="s">
        <v>14</v>
      </c>
      <c r="U7" s="700">
        <f t="shared" ref="U7:U15" si="1">H7</f>
        <v>0</v>
      </c>
      <c r="V7" s="699" t="s">
        <v>14</v>
      </c>
      <c r="W7" s="700">
        <f t="shared" ref="W7:W15" si="2">J7</f>
        <v>0</v>
      </c>
      <c r="X7" s="701"/>
      <c r="Y7" s="3744" t="s">
        <v>1680</v>
      </c>
      <c r="Z7" s="3745"/>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44" t="s">
        <v>1683</v>
      </c>
      <c r="Q8" s="3745"/>
      <c r="R8" s="699" t="s">
        <v>14</v>
      </c>
      <c r="S8" s="700">
        <f t="shared" si="0"/>
        <v>0</v>
      </c>
      <c r="T8" s="699" t="s">
        <v>14</v>
      </c>
      <c r="U8" s="700">
        <f t="shared" si="1"/>
        <v>0</v>
      </c>
      <c r="V8" s="699" t="s">
        <v>14</v>
      </c>
      <c r="W8" s="700">
        <f t="shared" si="2"/>
        <v>0</v>
      </c>
      <c r="X8" s="701"/>
      <c r="Y8" s="3744" t="s">
        <v>1683</v>
      </c>
      <c r="Z8" s="3745"/>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05"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152</v>
      </c>
      <c r="G10" s="382"/>
      <c r="H10" s="126">
        <f>ROUND(100/'数据-取费表'!G16,0)</f>
        <v>152</v>
      </c>
      <c r="I10" s="382"/>
      <c r="J10" s="126">
        <f>ROUND(100/'数据-取费表'!G16,0)</f>
        <v>152</v>
      </c>
      <c r="K10" s="619"/>
      <c r="L10" s="2713"/>
      <c r="M10" s="2714"/>
      <c r="N10" s="2714"/>
      <c r="O10" s="2767"/>
      <c r="P10" s="3705"/>
      <c r="Q10" s="1341" t="str">
        <f t="shared" si="6"/>
        <v>土地使用年限（年）</v>
      </c>
      <c r="R10" s="699" t="s">
        <v>14</v>
      </c>
      <c r="S10" s="700">
        <f t="shared" si="0"/>
        <v>152</v>
      </c>
      <c r="T10" s="699" t="s">
        <v>14</v>
      </c>
      <c r="U10" s="700">
        <f t="shared" si="1"/>
        <v>152</v>
      </c>
      <c r="V10" s="699" t="s">
        <v>14</v>
      </c>
      <c r="W10" s="700">
        <f t="shared" si="2"/>
        <v>152</v>
      </c>
      <c r="X10" s="701"/>
      <c r="Y10" s="3605"/>
      <c r="Z10" s="52" t="str">
        <f t="shared" si="7"/>
        <v>土地使用年限（年）</v>
      </c>
      <c r="AA10" s="702">
        <f t="shared" si="3"/>
        <v>0.65789473684210531</v>
      </c>
      <c r="AB10" s="702">
        <f t="shared" si="4"/>
        <v>0.65789473684210531</v>
      </c>
      <c r="AC10" s="702">
        <f t="shared" si="5"/>
        <v>0.65789473684210531</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05"/>
      <c r="Q11" s="1341" t="str">
        <f t="shared" si="6"/>
        <v>容积率</v>
      </c>
      <c r="R11" s="699" t="s">
        <v>14</v>
      </c>
      <c r="S11" s="700" t="e">
        <f t="shared" si="0"/>
        <v>#N/A</v>
      </c>
      <c r="T11" s="699" t="s">
        <v>14</v>
      </c>
      <c r="U11" s="700" t="e">
        <f t="shared" si="1"/>
        <v>#N/A</v>
      </c>
      <c r="V11" s="699" t="s">
        <v>14</v>
      </c>
      <c r="W11" s="700" t="e">
        <f t="shared" si="2"/>
        <v>#N/A</v>
      </c>
      <c r="X11" s="701"/>
      <c r="Y11" s="3605"/>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05"/>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12" t="s">
        <v>1691</v>
      </c>
      <c r="Q15" s="1350" t="str">
        <f t="shared" si="6"/>
        <v>产业集聚程度</v>
      </c>
      <c r="R15" s="703" t="s">
        <v>14</v>
      </c>
      <c r="S15" s="704">
        <f t="shared" si="0"/>
        <v>100</v>
      </c>
      <c r="T15" s="703" t="s">
        <v>14</v>
      </c>
      <c r="U15" s="704">
        <f t="shared" si="1"/>
        <v>100</v>
      </c>
      <c r="V15" s="703" t="s">
        <v>14</v>
      </c>
      <c r="W15" s="704">
        <f t="shared" si="2"/>
        <v>100</v>
      </c>
      <c r="X15" s="1353"/>
      <c r="Y15" s="3712"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13"/>
      <c r="Q16" s="1350"/>
      <c r="R16" s="703"/>
      <c r="S16" s="704"/>
      <c r="T16" s="703"/>
      <c r="U16" s="704"/>
      <c r="V16" s="703"/>
      <c r="W16" s="704"/>
      <c r="X16" s="1353"/>
      <c r="Y16" s="3713"/>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13"/>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13"/>
      <c r="Q18" s="1350"/>
      <c r="R18" s="703"/>
      <c r="S18" s="704"/>
      <c r="T18" s="703"/>
      <c r="U18" s="704"/>
      <c r="V18" s="703"/>
      <c r="W18" s="704"/>
      <c r="X18" s="1353"/>
      <c r="Y18" s="3713"/>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13"/>
      <c r="Q19" s="1350" t="str">
        <f t="shared" ref="Q19:Q33" si="8">B19</f>
        <v>区域土地利用方向</v>
      </c>
      <c r="R19" s="703" t="s">
        <v>14</v>
      </c>
      <c r="S19" s="704">
        <f>F19</f>
        <v>100</v>
      </c>
      <c r="T19" s="703" t="s">
        <v>14</v>
      </c>
      <c r="U19" s="704">
        <f>H19</f>
        <v>100</v>
      </c>
      <c r="V19" s="703" t="s">
        <v>14</v>
      </c>
      <c r="W19" s="704">
        <f>J19</f>
        <v>100</v>
      </c>
      <c r="X19" s="1353"/>
      <c r="Y19" s="3713"/>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13"/>
      <c r="Q20" s="1350"/>
      <c r="R20" s="703"/>
      <c r="S20" s="704"/>
      <c r="T20" s="703"/>
      <c r="U20" s="704"/>
      <c r="V20" s="703"/>
      <c r="W20" s="704"/>
      <c r="X20" s="1353"/>
      <c r="Y20" s="3713"/>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13"/>
      <c r="Q21" s="1350" t="str">
        <f t="shared" si="8"/>
        <v>环境状况</v>
      </c>
      <c r="R21" s="703" t="s">
        <v>14</v>
      </c>
      <c r="S21" s="704">
        <f>F21</f>
        <v>100</v>
      </c>
      <c r="T21" s="703" t="s">
        <v>14</v>
      </c>
      <c r="U21" s="704">
        <f>H21</f>
        <v>100</v>
      </c>
      <c r="V21" s="703" t="s">
        <v>14</v>
      </c>
      <c r="W21" s="704">
        <f>J21</f>
        <v>100</v>
      </c>
      <c r="X21" s="1353"/>
      <c r="Y21" s="3713"/>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13"/>
      <c r="Q22" s="1350"/>
      <c r="R22" s="703"/>
      <c r="S22" s="704"/>
      <c r="T22" s="703"/>
      <c r="U22" s="704"/>
      <c r="V22" s="703"/>
      <c r="W22" s="704"/>
      <c r="X22" s="1353"/>
      <c r="Y22" s="3713"/>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13"/>
      <c r="Q23" s="1341" t="str">
        <f t="shared" si="8"/>
        <v>公共配套设施</v>
      </c>
      <c r="R23" s="699" t="s">
        <v>14</v>
      </c>
      <c r="S23" s="700">
        <f>F23</f>
        <v>100</v>
      </c>
      <c r="T23" s="699" t="s">
        <v>14</v>
      </c>
      <c r="U23" s="700">
        <f>H23</f>
        <v>100</v>
      </c>
      <c r="V23" s="699" t="s">
        <v>14</v>
      </c>
      <c r="W23" s="700">
        <f>J23</f>
        <v>100</v>
      </c>
      <c r="X23" s="701"/>
      <c r="Y23" s="3713"/>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13"/>
      <c r="Q24" s="1341"/>
      <c r="R24" s="699"/>
      <c r="S24" s="700"/>
      <c r="T24" s="699"/>
      <c r="U24" s="700"/>
      <c r="V24" s="699"/>
      <c r="W24" s="700"/>
      <c r="X24" s="701"/>
      <c r="Y24" s="3713"/>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13"/>
      <c r="Q25" s="1341" t="str">
        <f t="shared" ref="Q25" si="9">B25</f>
        <v>基础设施水平</v>
      </c>
      <c r="R25" s="699" t="s">
        <v>14</v>
      </c>
      <c r="S25" s="700">
        <f>F25</f>
        <v>100</v>
      </c>
      <c r="T25" s="699" t="s">
        <v>14</v>
      </c>
      <c r="U25" s="700">
        <f>H25</f>
        <v>100</v>
      </c>
      <c r="V25" s="699" t="s">
        <v>14</v>
      </c>
      <c r="W25" s="700">
        <f>J25</f>
        <v>100</v>
      </c>
      <c r="X25" s="701"/>
      <c r="Y25" s="3713"/>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13"/>
      <c r="Q26" s="1341"/>
      <c r="R26" s="699"/>
      <c r="S26" s="700"/>
      <c r="T26" s="699"/>
      <c r="U26" s="700"/>
      <c r="V26" s="699"/>
      <c r="W26" s="700"/>
      <c r="X26" s="701"/>
      <c r="Y26" s="3713"/>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13"/>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13"/>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13"/>
      <c r="Q28" s="1350" t="str">
        <f t="shared" si="8"/>
        <v>毗邻道路的类型与等级</v>
      </c>
      <c r="R28" s="703" t="s">
        <v>14</v>
      </c>
      <c r="S28" s="704">
        <f t="shared" si="10"/>
        <v>100</v>
      </c>
      <c r="T28" s="703" t="s">
        <v>14</v>
      </c>
      <c r="U28" s="704">
        <f t="shared" si="11"/>
        <v>100</v>
      </c>
      <c r="V28" s="703" t="s">
        <v>14</v>
      </c>
      <c r="W28" s="704">
        <f t="shared" si="12"/>
        <v>100</v>
      </c>
      <c r="X28" s="1353"/>
      <c r="Y28" s="3713"/>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13"/>
      <c r="Q29" s="1350"/>
      <c r="R29" s="703"/>
      <c r="S29" s="704"/>
      <c r="T29" s="703"/>
      <c r="U29" s="704"/>
      <c r="V29" s="703"/>
      <c r="W29" s="704"/>
      <c r="X29" s="1353"/>
      <c r="Y29" s="3713"/>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13"/>
      <c r="Q30" s="1350" t="str">
        <f t="shared" si="8"/>
        <v>土地级别</v>
      </c>
      <c r="R30" s="703" t="s">
        <v>14</v>
      </c>
      <c r="S30" s="704">
        <f t="shared" si="10"/>
        <v>100</v>
      </c>
      <c r="T30" s="703" t="s">
        <v>14</v>
      </c>
      <c r="U30" s="704">
        <f t="shared" si="11"/>
        <v>100</v>
      </c>
      <c r="V30" s="703" t="s">
        <v>14</v>
      </c>
      <c r="W30" s="704">
        <f t="shared" si="12"/>
        <v>100</v>
      </c>
      <c r="X30" s="1353"/>
      <c r="Y30" s="3713"/>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13"/>
      <c r="Q31" s="1350">
        <f t="shared" si="8"/>
        <v>111</v>
      </c>
      <c r="R31" s="703" t="s">
        <v>14</v>
      </c>
      <c r="S31" s="704">
        <f t="shared" si="10"/>
        <v>100</v>
      </c>
      <c r="T31" s="703" t="s">
        <v>14</v>
      </c>
      <c r="U31" s="704">
        <f t="shared" si="11"/>
        <v>100</v>
      </c>
      <c r="V31" s="703" t="s">
        <v>14</v>
      </c>
      <c r="W31" s="704">
        <f t="shared" si="12"/>
        <v>100</v>
      </c>
      <c r="X31" s="1353"/>
      <c r="Y31" s="3713"/>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20" t="s">
        <v>1696</v>
      </c>
      <c r="Q32" s="1350">
        <f t="shared" si="8"/>
        <v>111</v>
      </c>
      <c r="R32" s="703" t="s">
        <v>14</v>
      </c>
      <c r="S32" s="704">
        <f t="shared" si="10"/>
        <v>100</v>
      </c>
      <c r="T32" s="703" t="s">
        <v>14</v>
      </c>
      <c r="U32" s="704">
        <f t="shared" si="11"/>
        <v>100</v>
      </c>
      <c r="V32" s="703" t="s">
        <v>14</v>
      </c>
      <c r="W32" s="704">
        <f t="shared" si="12"/>
        <v>100</v>
      </c>
      <c r="X32" s="1353"/>
      <c r="Y32" s="3717"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17"/>
      <c r="Q33" s="1350">
        <f t="shared" si="8"/>
        <v>111</v>
      </c>
      <c r="R33" s="706" t="s">
        <v>14</v>
      </c>
      <c r="S33" s="707">
        <f t="shared" si="10"/>
        <v>100</v>
      </c>
      <c r="T33" s="706" t="s">
        <v>14</v>
      </c>
      <c r="U33" s="707">
        <f t="shared" si="11"/>
        <v>100</v>
      </c>
      <c r="V33" s="706" t="s">
        <v>14</v>
      </c>
      <c r="W33" s="707">
        <f t="shared" si="12"/>
        <v>100</v>
      </c>
      <c r="X33" s="708"/>
      <c r="Y33" s="3717"/>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17"/>
      <c r="Q34" s="1350" t="str">
        <f>B34</f>
        <v>宗地面积</v>
      </c>
      <c r="R34" s="703" t="s">
        <v>14</v>
      </c>
      <c r="S34" s="704" t="e">
        <f t="shared" si="10"/>
        <v>#N/A</v>
      </c>
      <c r="T34" s="703" t="s">
        <v>14</v>
      </c>
      <c r="U34" s="704" t="e">
        <f t="shared" si="11"/>
        <v>#N/A</v>
      </c>
      <c r="V34" s="703" t="s">
        <v>14</v>
      </c>
      <c r="W34" s="704" t="e">
        <f t="shared" si="12"/>
        <v>#N/A</v>
      </c>
      <c r="X34" s="1353"/>
      <c r="Y34" s="3717"/>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17"/>
      <c r="Q35" s="1350" t="str">
        <f t="shared" ref="Q35:Q40" si="14">B35</f>
        <v>宗地形状</v>
      </c>
      <c r="R35" s="703" t="s">
        <v>14</v>
      </c>
      <c r="S35" s="704">
        <f t="shared" si="10"/>
        <v>100</v>
      </c>
      <c r="T35" s="703" t="s">
        <v>14</v>
      </c>
      <c r="U35" s="704">
        <f t="shared" si="11"/>
        <v>100</v>
      </c>
      <c r="V35" s="703" t="s">
        <v>14</v>
      </c>
      <c r="W35" s="704">
        <f t="shared" si="12"/>
        <v>100</v>
      </c>
      <c r="X35" s="1353"/>
      <c r="Y35" s="3717"/>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17"/>
      <c r="Q36" s="1350" t="str">
        <f t="shared" si="14"/>
        <v>宗地开发程度</v>
      </c>
      <c r="R36" s="699" t="s">
        <v>14</v>
      </c>
      <c r="S36" s="700">
        <f t="shared" si="10"/>
        <v>100</v>
      </c>
      <c r="T36" s="699" t="s">
        <v>14</v>
      </c>
      <c r="U36" s="700">
        <f t="shared" si="11"/>
        <v>100</v>
      </c>
      <c r="V36" s="699" t="s">
        <v>14</v>
      </c>
      <c r="W36" s="700">
        <f t="shared" si="12"/>
        <v>100</v>
      </c>
      <c r="X36" s="701"/>
      <c r="Y36" s="3717"/>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17" t="s">
        <v>1696</v>
      </c>
      <c r="Q37" s="1350" t="str">
        <f t="shared" si="14"/>
        <v>工程地质条件</v>
      </c>
      <c r="R37" s="703" t="s">
        <v>14</v>
      </c>
      <c r="S37" s="704">
        <f t="shared" si="10"/>
        <v>100</v>
      </c>
      <c r="T37" s="703" t="s">
        <v>14</v>
      </c>
      <c r="U37" s="704">
        <f t="shared" si="11"/>
        <v>100</v>
      </c>
      <c r="V37" s="703" t="s">
        <v>14</v>
      </c>
      <c r="W37" s="704">
        <f t="shared" si="12"/>
        <v>100</v>
      </c>
      <c r="X37" s="1353"/>
      <c r="Y37" s="3717"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17"/>
      <c r="Q38" s="1350">
        <f t="shared" si="14"/>
        <v>111</v>
      </c>
      <c r="R38" s="703" t="s">
        <v>14</v>
      </c>
      <c r="S38" s="704">
        <f t="shared" si="10"/>
        <v>100</v>
      </c>
      <c r="T38" s="703" t="s">
        <v>14</v>
      </c>
      <c r="U38" s="704">
        <f t="shared" si="11"/>
        <v>100</v>
      </c>
      <c r="V38" s="703" t="s">
        <v>14</v>
      </c>
      <c r="W38" s="704">
        <f t="shared" si="12"/>
        <v>100</v>
      </c>
      <c r="X38" s="1353"/>
      <c r="Y38" s="3717"/>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17"/>
      <c r="Q39" s="1350">
        <f t="shared" si="14"/>
        <v>111</v>
      </c>
      <c r="R39" s="703" t="s">
        <v>14</v>
      </c>
      <c r="S39" s="704">
        <f t="shared" si="10"/>
        <v>100</v>
      </c>
      <c r="T39" s="703" t="s">
        <v>14</v>
      </c>
      <c r="U39" s="704">
        <f t="shared" si="11"/>
        <v>100</v>
      </c>
      <c r="V39" s="703" t="s">
        <v>14</v>
      </c>
      <c r="W39" s="704">
        <f t="shared" si="12"/>
        <v>100</v>
      </c>
      <c r="X39" s="1353"/>
      <c r="Y39" s="3717"/>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17"/>
      <c r="Q40" s="1350">
        <f t="shared" si="14"/>
        <v>111</v>
      </c>
      <c r="R40" s="706" t="s">
        <v>14</v>
      </c>
      <c r="S40" s="707">
        <f t="shared" si="10"/>
        <v>100</v>
      </c>
      <c r="T40" s="706" t="s">
        <v>14</v>
      </c>
      <c r="U40" s="707">
        <f t="shared" si="11"/>
        <v>100</v>
      </c>
      <c r="V40" s="706" t="s">
        <v>14</v>
      </c>
      <c r="W40" s="707">
        <f t="shared" si="12"/>
        <v>100</v>
      </c>
      <c r="X40" s="708"/>
      <c r="Y40" s="3717"/>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05" t="str">
        <f>A41</f>
        <v>成交单价</v>
      </c>
      <c r="Q41" s="3705"/>
      <c r="R41" s="3719">
        <f>E41</f>
        <v>0</v>
      </c>
      <c r="S41" s="3719"/>
      <c r="T41" s="3719">
        <f>G41</f>
        <v>0</v>
      </c>
      <c r="U41" s="3719"/>
      <c r="V41" s="3719">
        <f>I41</f>
        <v>0</v>
      </c>
      <c r="W41" s="3719"/>
      <c r="X41" s="688"/>
      <c r="Y41" s="710"/>
      <c r="Z41" s="688"/>
      <c r="AA41" s="688"/>
      <c r="AB41" s="688"/>
      <c r="AC41" s="688"/>
    </row>
    <row r="42" spans="1:31" ht="15.75" thickBot="1">
      <c r="A42" s="436" t="s">
        <v>1793</v>
      </c>
      <c r="B42" s="630"/>
      <c r="C42" s="439" t="e">
        <f>R43</f>
        <v>#DIV/0!</v>
      </c>
      <c r="D42" s="2315" t="s">
        <v>2137</v>
      </c>
      <c r="E42" s="439" t="e">
        <f>R42</f>
        <v>#DIV/0!</v>
      </c>
      <c r="F42" s="2316"/>
      <c r="G42" s="438" t="e">
        <f>T42</f>
        <v>#DIV/0!</v>
      </c>
      <c r="H42" s="2316"/>
      <c r="I42" s="439" t="e">
        <f>V42</f>
        <v>#DIV/0!</v>
      </c>
      <c r="J42" s="2316"/>
      <c r="K42" s="2318">
        <f>F42+H42+J42</f>
        <v>0</v>
      </c>
      <c r="L42" s="2718"/>
      <c r="M42" s="2710"/>
      <c r="N42" s="2710"/>
      <c r="O42" s="2719"/>
      <c r="P42" s="3705" t="str">
        <f>A42</f>
        <v>比较价值（元/平方米）</v>
      </c>
      <c r="Q42" s="3705"/>
      <c r="R42" s="3822" t="e">
        <f>ROUND(PRODUCT(R41,AA7:AA40),0)</f>
        <v>#DIV/0!</v>
      </c>
      <c r="S42" s="3822"/>
      <c r="T42" s="3822" t="e">
        <f>ROUND(PRODUCT(T41,AB7:AB40),0)</f>
        <v>#DIV/0!</v>
      </c>
      <c r="U42" s="3822"/>
      <c r="V42" s="3822" t="e">
        <f>ROUND(PRODUCT(V41,AC7:AC40),0)</f>
        <v>#DIV/0!</v>
      </c>
      <c r="W42" s="3822"/>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07" t="str">
        <f>A43</f>
        <v>估价对象XX用房的比较价值（楼面单价，元/平方米）</v>
      </c>
      <c r="Q43" s="3708"/>
      <c r="R43" s="3823" t="e">
        <f>ROUND(IF(D42="简单平均",AVERAGE(R42:W42),R42*F42+T42*H42+V42*J42),0)</f>
        <v>#DIV/0!</v>
      </c>
      <c r="S43" s="3823"/>
      <c r="T43" s="3823"/>
      <c r="U43" s="3823"/>
      <c r="V43" s="3823"/>
      <c r="W43" s="3823"/>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24" t="s">
        <v>1887</v>
      </c>
      <c r="H50" s="3824"/>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61.42</v>
      </c>
      <c r="F51" s="638" t="e">
        <f t="shared" ref="F51:F60" si="15">ROUND(B51*E51/10000,0)</f>
        <v>#DIV/0!</v>
      </c>
      <c r="G51" s="3720"/>
      <c r="H51" s="3705"/>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三级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三级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三级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三级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2024-3-1</v>
      </c>
      <c r="D63" s="690">
        <f>EDATE(C63,-3)</f>
        <v>45261</v>
      </c>
      <c r="E63" s="690">
        <f>EDATE(D63,-3)</f>
        <v>45170</v>
      </c>
      <c r="F63" s="690">
        <f t="shared" ref="F63:O63" si="18">EDATE(E63,-3)</f>
        <v>45078</v>
      </c>
      <c r="G63" s="690">
        <f t="shared" si="18"/>
        <v>44986</v>
      </c>
      <c r="H63" s="690">
        <f t="shared" si="18"/>
        <v>44896</v>
      </c>
      <c r="I63" s="690">
        <f t="shared" si="18"/>
        <v>44805</v>
      </c>
      <c r="J63" s="690">
        <f t="shared" si="18"/>
        <v>44713</v>
      </c>
      <c r="K63" s="690">
        <f t="shared" si="18"/>
        <v>44621</v>
      </c>
      <c r="L63" s="690">
        <f t="shared" si="18"/>
        <v>44531</v>
      </c>
      <c r="M63" s="690">
        <f t="shared" si="18"/>
        <v>44440</v>
      </c>
      <c r="N63" s="690">
        <f t="shared" si="18"/>
        <v>44348</v>
      </c>
      <c r="O63" s="690">
        <f t="shared" si="18"/>
        <v>44256</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2024-1</v>
      </c>
      <c r="D65" s="1180" t="str">
        <f t="shared" ref="D65:O65" si="19">YEAR(D63)&amp;"-"&amp;ROUNDUP(MONTH(D63)/3,0)</f>
        <v>2023-4</v>
      </c>
      <c r="E65" s="1180" t="str">
        <f t="shared" si="19"/>
        <v>2023-3</v>
      </c>
      <c r="F65" s="1180" t="str">
        <f t="shared" si="19"/>
        <v>2023-2</v>
      </c>
      <c r="G65" s="1180" t="str">
        <f t="shared" si="19"/>
        <v>2023-1</v>
      </c>
      <c r="H65" s="1180" t="str">
        <f t="shared" si="19"/>
        <v>2022-4</v>
      </c>
      <c r="I65" s="1180" t="str">
        <f t="shared" si="19"/>
        <v>2022-3</v>
      </c>
      <c r="J65" s="1180" t="str">
        <f t="shared" si="19"/>
        <v>2022-2</v>
      </c>
      <c r="K65" s="1180" t="str">
        <f t="shared" si="19"/>
        <v>2022-1</v>
      </c>
      <c r="L65" s="1180" t="str">
        <f t="shared" si="19"/>
        <v>2021-4</v>
      </c>
      <c r="M65" s="1180" t="str">
        <f t="shared" si="19"/>
        <v>2021-3</v>
      </c>
      <c r="N65" s="1180" t="str">
        <f t="shared" si="19"/>
        <v>2021-2</v>
      </c>
      <c r="O65" s="1180" t="str">
        <f t="shared" si="19"/>
        <v>2021-1</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7" priority="18" stopIfTrue="1" operator="containsText" text="超过">
      <formula>NOT(ISERROR(SEARCH("超过",F46)))</formula>
    </cfRule>
  </conditionalFormatting>
  <conditionalFormatting sqref="J48">
    <cfRule type="containsText" dxfId="46" priority="17" stopIfTrue="1" operator="containsText" text="超过">
      <formula>NOT(ISERROR(SEARCH("超过",J48)))</formula>
    </cfRule>
  </conditionalFormatting>
  <conditionalFormatting sqref="H48">
    <cfRule type="containsText" dxfId="45" priority="16" stopIfTrue="1" operator="containsText" text="超过">
      <formula>NOT(ISERROR(SEARCH("超过",H48)))</formula>
    </cfRule>
  </conditionalFormatting>
  <conditionalFormatting sqref="F48">
    <cfRule type="containsText" dxfId="44" priority="15" stopIfTrue="1" operator="containsText" text="超过">
      <formula>NOT(ISERROR(SEARCH("超过",F48)))</formula>
    </cfRule>
  </conditionalFormatting>
  <conditionalFormatting sqref="F47 H47 J47">
    <cfRule type="containsText" dxfId="43" priority="14" stopIfTrue="1" operator="containsText" text="超过">
      <formula>NOT(ISERROR(SEARCH("超过",F47)))</formula>
    </cfRule>
  </conditionalFormatting>
  <conditionalFormatting sqref="E46">
    <cfRule type="expression" dxfId="42" priority="13" stopIfTrue="1">
      <formula>$F$46="超过30%"</formula>
    </cfRule>
  </conditionalFormatting>
  <conditionalFormatting sqref="G48">
    <cfRule type="expression" dxfId="41" priority="12" stopIfTrue="1">
      <formula>$H$48="超过30%"</formula>
    </cfRule>
  </conditionalFormatting>
  <conditionalFormatting sqref="E48">
    <cfRule type="expression" dxfId="40" priority="10" stopIfTrue="1">
      <formula>$F$48="超过30%"</formula>
    </cfRule>
  </conditionalFormatting>
  <conditionalFormatting sqref="G46">
    <cfRule type="expression" dxfId="39" priority="9" stopIfTrue="1">
      <formula>$H$46="超过30%"</formula>
    </cfRule>
  </conditionalFormatting>
  <conditionalFormatting sqref="G47">
    <cfRule type="expression" dxfId="38" priority="8" stopIfTrue="1">
      <formula>$H$47="超过20%"</formula>
    </cfRule>
  </conditionalFormatting>
  <conditionalFormatting sqref="I46">
    <cfRule type="expression" dxfId="37" priority="7" stopIfTrue="1">
      <formula>$J$46="超过30%"</formula>
    </cfRule>
  </conditionalFormatting>
  <conditionalFormatting sqref="I47">
    <cfRule type="expression" dxfId="36" priority="6" stopIfTrue="1">
      <formula>$J$47="超过20%"</formula>
    </cfRule>
  </conditionalFormatting>
  <conditionalFormatting sqref="I48">
    <cfRule type="expression" dxfId="35" priority="5" stopIfTrue="1">
      <formula>$J$48="超过30%"</formula>
    </cfRule>
  </conditionalFormatting>
  <conditionalFormatting sqref="E47">
    <cfRule type="expression" dxfId="34" priority="53" stopIfTrue="1">
      <formula>#REF!+$F$47="超过20%"</formula>
    </cfRule>
  </conditionalFormatting>
  <conditionalFormatting sqref="F42">
    <cfRule type="expression" dxfId="33" priority="4">
      <formula>$D$42="简单平均"</formula>
    </cfRule>
  </conditionalFormatting>
  <conditionalFormatting sqref="H42">
    <cfRule type="expression" dxfId="32" priority="3">
      <formula>$D$42="简单平均"</formula>
    </cfRule>
  </conditionalFormatting>
  <conditionalFormatting sqref="J42">
    <cfRule type="expression" dxfId="31" priority="2">
      <formula>$D$42="简单平均"</formula>
    </cfRule>
  </conditionalFormatting>
  <conditionalFormatting sqref="F7:F40 H7:H40 J7:J40">
    <cfRule type="cellIs" dxfId="3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92</v>
      </c>
      <c r="C2" s="2143" t="s">
        <v>2074</v>
      </c>
      <c r="D2" s="2143" t="s">
        <v>2075</v>
      </c>
      <c r="E2" s="2608">
        <f ca="1">SUMIF(E6:E13,"&lt;&gt;#ref!",E6:E13)</f>
        <v>61.42</v>
      </c>
      <c r="F2" s="2787"/>
      <c r="G2" s="2787"/>
      <c r="H2" s="2787"/>
      <c r="I2" s="2787"/>
      <c r="J2" s="2787"/>
      <c r="K2" s="2787"/>
      <c r="L2" s="2787"/>
      <c r="M2" s="2787"/>
      <c r="N2" s="2787"/>
      <c r="O2" s="2787"/>
      <c r="P2" s="2787"/>
    </row>
    <row r="3" spans="1:16" ht="15.75">
      <c r="A3" s="2143" t="s">
        <v>2076</v>
      </c>
      <c r="B3" s="2598">
        <f ca="1">ROUND(B2*10000/E2,0)</f>
        <v>14979</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92</v>
      </c>
      <c r="C6" s="2143" t="s">
        <v>2074</v>
      </c>
      <c r="D6" s="2787"/>
      <c r="E6" s="2608">
        <f ca="1">SUMIF(INDIRECT("'"&amp;A6&amp;"'"&amp;"!C:C"),"建筑面积",INDIRECT("'"&amp;A6&amp;"'"&amp;"!D:D"))</f>
        <v>61.42</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2596</v>
      </c>
      <c r="B1" s="3065" t="s">
        <v>2597</v>
      </c>
      <c r="C1" s="3065" t="s">
        <v>2598</v>
      </c>
      <c r="D1" s="3065" t="s">
        <v>2599</v>
      </c>
      <c r="E1" s="3065" t="s">
        <v>2600</v>
      </c>
      <c r="F1" s="3065" t="s">
        <v>2601</v>
      </c>
      <c r="G1" s="3065" t="s">
        <v>2602</v>
      </c>
      <c r="H1" s="3065" t="s">
        <v>2603</v>
      </c>
      <c r="I1" s="3065" t="s">
        <v>2604</v>
      </c>
      <c r="J1" s="3065" t="s">
        <v>2605</v>
      </c>
      <c r="K1" s="3065" t="s">
        <v>2606</v>
      </c>
      <c r="L1" s="3065" t="s">
        <v>2607</v>
      </c>
      <c r="M1" s="3066" t="s">
        <v>2608</v>
      </c>
    </row>
    <row r="2" spans="1:13" ht="19.5" customHeight="1">
      <c r="A2" s="3068" t="s">
        <v>2609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2625</v>
      </c>
      <c r="B18" s="3090"/>
      <c r="C18" s="3091"/>
      <c r="D18" s="3091"/>
      <c r="E18" s="3090"/>
      <c r="F18" s="3091"/>
      <c r="G18" s="3091"/>
    </row>
    <row r="19" spans="1:13" ht="19.5" customHeight="1" thickBot="1">
      <c r="A19" s="3088" t="s">
        <v>2626</v>
      </c>
      <c r="B19" s="3093" t="s">
        <v>2627</v>
      </c>
      <c r="C19" s="3093" t="s">
        <v>2628</v>
      </c>
      <c r="D19" s="3094"/>
      <c r="E19" s="3088" t="s">
        <v>2629</v>
      </c>
      <c r="F19" s="3095"/>
      <c r="G19" s="3095"/>
    </row>
    <row r="20" spans="1:13" ht="19.5" customHeight="1">
      <c r="A20" s="3838" t="s">
        <v>2609</v>
      </c>
      <c r="B20" s="3833" t="s">
        <v>2630</v>
      </c>
      <c r="C20" s="3096" t="s">
        <v>2441</v>
      </c>
      <c r="D20" s="3097"/>
      <c r="E20" s="3098">
        <v>1</v>
      </c>
      <c r="F20" s="3099" t="s">
        <v>2442</v>
      </c>
      <c r="G20" s="3099"/>
    </row>
    <row r="21" spans="1:13" ht="19.5" customHeight="1">
      <c r="A21" s="3839"/>
      <c r="B21" s="3832"/>
      <c r="C21" s="3100" t="s">
        <v>2443</v>
      </c>
      <c r="D21" s="3101"/>
      <c r="E21" s="3102">
        <v>1</v>
      </c>
      <c r="F21" s="3099" t="s">
        <v>2444</v>
      </c>
      <c r="G21" s="3099"/>
    </row>
    <row r="22" spans="1:13" ht="19.5" customHeight="1">
      <c r="A22" s="3839"/>
      <c r="B22" s="3832"/>
      <c r="C22" s="3100" t="s">
        <v>2445</v>
      </c>
      <c r="D22" s="3101"/>
      <c r="E22" s="3102">
        <v>0.9</v>
      </c>
      <c r="F22" s="3099" t="s">
        <v>2446</v>
      </c>
      <c r="G22" s="3099"/>
    </row>
    <row r="23" spans="1:13" ht="19.5" customHeight="1">
      <c r="A23" s="3839"/>
      <c r="B23" s="3832"/>
      <c r="C23" s="3100" t="s">
        <v>2447</v>
      </c>
      <c r="D23" s="3101"/>
      <c r="E23" s="3102">
        <v>0.9</v>
      </c>
      <c r="F23" s="3099" t="s">
        <v>2448</v>
      </c>
      <c r="G23" s="3099"/>
    </row>
    <row r="24" spans="1:13" ht="19.5" customHeight="1">
      <c r="A24" s="3839"/>
      <c r="B24" s="3832"/>
      <c r="C24" s="3100" t="s">
        <v>2449</v>
      </c>
      <c r="D24" s="3101"/>
      <c r="E24" s="3102">
        <v>0.8</v>
      </c>
      <c r="F24" s="3099" t="s">
        <v>2450</v>
      </c>
      <c r="G24" s="3099"/>
    </row>
    <row r="25" spans="1:13" ht="19.5" customHeight="1" thickBot="1">
      <c r="A25" s="3840"/>
      <c r="B25" s="3834"/>
      <c r="C25" s="3103" t="s">
        <v>2451</v>
      </c>
      <c r="D25" s="3104"/>
      <c r="E25" s="3105">
        <v>0.8</v>
      </c>
      <c r="F25" s="3099" t="s">
        <v>2452</v>
      </c>
      <c r="G25" s="3099"/>
    </row>
    <row r="26" spans="1:13" ht="19.5" customHeight="1" thickBot="1">
      <c r="A26" s="3106" t="s">
        <v>2631</v>
      </c>
      <c r="B26" s="3107" t="s">
        <v>2630</v>
      </c>
      <c r="C26" s="3108" t="s">
        <v>2632</v>
      </c>
      <c r="D26" s="3109"/>
      <c r="E26" s="3110">
        <v>1</v>
      </c>
      <c r="F26" s="3099" t="s">
        <v>2453</v>
      </c>
      <c r="G26" s="3099"/>
    </row>
    <row r="27" spans="1:13" ht="19.5" customHeight="1">
      <c r="A27" s="3835" t="s">
        <v>2633</v>
      </c>
      <c r="B27" s="3833" t="s">
        <v>2614</v>
      </c>
      <c r="C27" s="3096" t="s">
        <v>2454</v>
      </c>
      <c r="D27" s="3097"/>
      <c r="E27" s="3098">
        <v>1</v>
      </c>
      <c r="F27" s="3099" t="s">
        <v>2455</v>
      </c>
      <c r="G27" s="3099"/>
    </row>
    <row r="28" spans="1:13" ht="19.5" customHeight="1">
      <c r="A28" s="3836"/>
      <c r="B28" s="3832"/>
      <c r="C28" s="3100" t="s">
        <v>2456</v>
      </c>
      <c r="D28" s="3101"/>
      <c r="E28" s="3102">
        <v>1</v>
      </c>
      <c r="F28" s="3099" t="s">
        <v>2457</v>
      </c>
      <c r="G28" s="3099"/>
    </row>
    <row r="29" spans="1:13" ht="19.5" customHeight="1">
      <c r="A29" s="3836"/>
      <c r="B29" s="3832"/>
      <c r="C29" s="3100" t="s">
        <v>2458</v>
      </c>
      <c r="D29" s="3101"/>
      <c r="E29" s="3102">
        <v>0.8</v>
      </c>
      <c r="F29" s="3099" t="s">
        <v>2459</v>
      </c>
      <c r="G29" s="3099"/>
    </row>
    <row r="30" spans="1:13" ht="19.5" customHeight="1">
      <c r="A30" s="3836"/>
      <c r="B30" s="3832"/>
      <c r="C30" s="3100" t="s">
        <v>2460</v>
      </c>
      <c r="D30" s="3101"/>
      <c r="E30" s="3102">
        <v>0.8</v>
      </c>
      <c r="F30" s="3099" t="s">
        <v>2461</v>
      </c>
      <c r="G30" s="3099"/>
    </row>
    <row r="31" spans="1:13" ht="19.5" customHeight="1">
      <c r="A31" s="3836"/>
      <c r="B31" s="3832"/>
      <c r="C31" s="3100" t="s">
        <v>2462</v>
      </c>
      <c r="D31" s="3101"/>
      <c r="E31" s="3102">
        <v>0.8</v>
      </c>
      <c r="F31" s="3099" t="s">
        <v>2463</v>
      </c>
      <c r="G31" s="3099"/>
    </row>
    <row r="32" spans="1:13" ht="19.5" customHeight="1">
      <c r="A32" s="3836"/>
      <c r="B32" s="3832"/>
      <c r="C32" s="3100" t="s">
        <v>2464</v>
      </c>
      <c r="D32" s="3101"/>
      <c r="E32" s="3102">
        <v>0.7</v>
      </c>
      <c r="F32" s="3099" t="s">
        <v>2465</v>
      </c>
      <c r="G32" s="3099"/>
    </row>
    <row r="33" spans="1:7" ht="19.5" customHeight="1">
      <c r="A33" s="3836"/>
      <c r="B33" s="3832"/>
      <c r="C33" s="3100" t="s">
        <v>2466</v>
      </c>
      <c r="D33" s="3101"/>
      <c r="E33" s="3102">
        <v>0.8</v>
      </c>
      <c r="F33" s="3099" t="s">
        <v>2467</v>
      </c>
      <c r="G33" s="3099"/>
    </row>
    <row r="34" spans="1:7" ht="19.5" customHeight="1">
      <c r="A34" s="3836"/>
      <c r="B34" s="3832"/>
      <c r="C34" s="3100" t="s">
        <v>2468</v>
      </c>
      <c r="D34" s="3101"/>
      <c r="E34" s="3102">
        <v>0.6</v>
      </c>
      <c r="F34" s="3099" t="s">
        <v>2469</v>
      </c>
      <c r="G34" s="3099"/>
    </row>
    <row r="35" spans="1:7" ht="19.5" customHeight="1">
      <c r="A35" s="3836"/>
      <c r="B35" s="3832"/>
      <c r="C35" s="3100" t="s">
        <v>2470</v>
      </c>
      <c r="D35" s="3101"/>
      <c r="E35" s="3102">
        <v>0.2</v>
      </c>
      <c r="F35" s="3099" t="s">
        <v>2471</v>
      </c>
      <c r="G35" s="3099"/>
    </row>
    <row r="36" spans="1:7" ht="19.5" customHeight="1">
      <c r="A36" s="3836"/>
      <c r="B36" s="3832"/>
      <c r="C36" s="3100" t="s">
        <v>2472</v>
      </c>
      <c r="D36" s="3101"/>
      <c r="E36" s="3102">
        <v>0.2</v>
      </c>
      <c r="F36" s="3099" t="s">
        <v>2473</v>
      </c>
      <c r="G36" s="3099"/>
    </row>
    <row r="37" spans="1:7" ht="19.5" customHeight="1">
      <c r="A37" s="3836"/>
      <c r="B37" s="3830" t="s">
        <v>2634</v>
      </c>
      <c r="C37" s="3100" t="s">
        <v>2474</v>
      </c>
      <c r="D37" s="3101"/>
      <c r="E37" s="3102">
        <v>0.6</v>
      </c>
      <c r="F37" s="3099" t="s">
        <v>2475</v>
      </c>
      <c r="G37" s="3099"/>
    </row>
    <row r="38" spans="1:7" ht="19.5" customHeight="1">
      <c r="A38" s="3836"/>
      <c r="B38" s="3832"/>
      <c r="C38" s="3100" t="s">
        <v>2476</v>
      </c>
      <c r="D38" s="3101"/>
      <c r="E38" s="3102">
        <v>0.6</v>
      </c>
      <c r="F38" s="3099" t="s">
        <v>2477</v>
      </c>
      <c r="G38" s="3099"/>
    </row>
    <row r="39" spans="1:7" ht="19.5" customHeight="1" thickBot="1">
      <c r="A39" s="3837"/>
      <c r="B39" s="3834"/>
      <c r="C39" s="3103" t="s">
        <v>2478</v>
      </c>
      <c r="D39" s="3104"/>
      <c r="E39" s="3105">
        <v>0.6</v>
      </c>
      <c r="F39" s="3099" t="s">
        <v>2479</v>
      </c>
      <c r="G39" s="3099"/>
    </row>
    <row r="40" spans="1:7" ht="19.5" customHeight="1" thickBot="1">
      <c r="A40" s="3106" t="s">
        <v>2611</v>
      </c>
      <c r="B40" s="3107" t="s">
        <v>2611</v>
      </c>
      <c r="C40" s="3108" t="s">
        <v>2635</v>
      </c>
      <c r="D40" s="3109"/>
      <c r="E40" s="3110">
        <v>1</v>
      </c>
      <c r="F40" s="3099" t="s">
        <v>2480</v>
      </c>
      <c r="G40" s="3099"/>
    </row>
    <row r="41" spans="1:7" ht="19.5" customHeight="1">
      <c r="A41" s="3838" t="s">
        <v>2612</v>
      </c>
      <c r="B41" s="3833" t="s">
        <v>2636</v>
      </c>
      <c r="C41" s="3096" t="s">
        <v>2481</v>
      </c>
      <c r="D41" s="3097"/>
      <c r="E41" s="3098">
        <v>1</v>
      </c>
      <c r="F41" s="3099" t="s">
        <v>2482</v>
      </c>
      <c r="G41" s="3099"/>
    </row>
    <row r="42" spans="1:7" ht="19.5" customHeight="1">
      <c r="A42" s="3839"/>
      <c r="B42" s="3832"/>
      <c r="C42" s="3100" t="s">
        <v>2483</v>
      </c>
      <c r="D42" s="3101"/>
      <c r="E42" s="3102">
        <v>1</v>
      </c>
      <c r="F42" s="3099" t="s">
        <v>2484</v>
      </c>
      <c r="G42" s="3099"/>
    </row>
    <row r="43" spans="1:7" ht="19.5" customHeight="1">
      <c r="A43" s="3839"/>
      <c r="B43" s="3831"/>
      <c r="C43" s="3100" t="s">
        <v>2485</v>
      </c>
      <c r="D43" s="3101"/>
      <c r="E43" s="3102">
        <v>1.5</v>
      </c>
      <c r="F43" s="3099" t="s">
        <v>2486</v>
      </c>
      <c r="G43" s="3099"/>
    </row>
    <row r="44" spans="1:7" ht="19.5" customHeight="1">
      <c r="A44" s="3839"/>
      <c r="B44" s="3111" t="s">
        <v>2637</v>
      </c>
      <c r="C44" s="3100" t="s">
        <v>2638</v>
      </c>
      <c r="D44" s="3101"/>
      <c r="E44" s="3102">
        <v>2</v>
      </c>
      <c r="F44" s="3099" t="s">
        <v>2487</v>
      </c>
      <c r="G44" s="3099"/>
    </row>
    <row r="45" spans="1:7" ht="19.5" customHeight="1">
      <c r="A45" s="3839"/>
      <c r="B45" s="3830" t="s">
        <v>2639</v>
      </c>
      <c r="C45" s="3100" t="s">
        <v>2488</v>
      </c>
      <c r="D45" s="3101"/>
      <c r="E45" s="3102">
        <v>1</v>
      </c>
      <c r="F45" s="3099" t="s">
        <v>2489</v>
      </c>
      <c r="G45" s="3099"/>
    </row>
    <row r="46" spans="1:7" ht="19.5" customHeight="1">
      <c r="A46" s="3839"/>
      <c r="B46" s="3832"/>
      <c r="C46" s="3100" t="s">
        <v>2490</v>
      </c>
      <c r="D46" s="3101"/>
      <c r="E46" s="3102">
        <v>1</v>
      </c>
      <c r="F46" s="3099" t="s">
        <v>2491</v>
      </c>
      <c r="G46" s="3099"/>
    </row>
    <row r="47" spans="1:7" ht="19.5" customHeight="1">
      <c r="A47" s="3839"/>
      <c r="B47" s="3832"/>
      <c r="C47" s="3100" t="s">
        <v>2492</v>
      </c>
      <c r="D47" s="3101"/>
      <c r="E47" s="3102">
        <v>1</v>
      </c>
      <c r="F47" s="3099" t="s">
        <v>2493</v>
      </c>
      <c r="G47" s="3099"/>
    </row>
    <row r="48" spans="1:7" ht="19.5" customHeight="1">
      <c r="A48" s="3839"/>
      <c r="B48" s="3832"/>
      <c r="C48" s="3100" t="s">
        <v>2494</v>
      </c>
      <c r="D48" s="3101"/>
      <c r="E48" s="3102">
        <v>1</v>
      </c>
      <c r="F48" s="3099" t="s">
        <v>2495</v>
      </c>
      <c r="G48" s="3099"/>
    </row>
    <row r="49" spans="1:7" ht="19.5" customHeight="1">
      <c r="A49" s="3839"/>
      <c r="B49" s="3832"/>
      <c r="C49" s="3100" t="s">
        <v>2496</v>
      </c>
      <c r="D49" s="3101"/>
      <c r="E49" s="3102">
        <v>1</v>
      </c>
      <c r="F49" s="3099" t="s">
        <v>2497</v>
      </c>
      <c r="G49" s="3099"/>
    </row>
    <row r="50" spans="1:7" ht="19.5" customHeight="1">
      <c r="A50" s="3839"/>
      <c r="B50" s="3832"/>
      <c r="C50" s="3100" t="s">
        <v>2498</v>
      </c>
      <c r="D50" s="3101"/>
      <c r="E50" s="3102">
        <v>1</v>
      </c>
      <c r="F50" s="3099" t="s">
        <v>2499</v>
      </c>
      <c r="G50" s="3099"/>
    </row>
    <row r="51" spans="1:7" ht="19.5" customHeight="1" thickBot="1">
      <c r="A51" s="3840"/>
      <c r="B51" s="3834"/>
      <c r="C51" s="3103" t="s">
        <v>2500</v>
      </c>
      <c r="D51" s="3104"/>
      <c r="E51" s="3105">
        <v>1</v>
      </c>
      <c r="F51" s="3099" t="s">
        <v>2501</v>
      </c>
      <c r="G51" s="3099"/>
    </row>
    <row r="52" spans="1:7" ht="19.5" customHeight="1">
      <c r="A52" s="3112"/>
      <c r="B52" s="3112"/>
      <c r="C52" s="3112"/>
      <c r="D52" s="3112"/>
      <c r="E52" s="3112"/>
      <c r="F52" s="3112"/>
      <c r="G52" s="3112"/>
    </row>
    <row r="54" spans="1:7" ht="19.5" customHeight="1">
      <c r="A54" s="3113"/>
      <c r="B54" s="3085" t="s">
        <v>2640</v>
      </c>
      <c r="C54" s="3085" t="s">
        <v>2640</v>
      </c>
      <c r="D54" s="3085" t="s">
        <v>2640</v>
      </c>
      <c r="E54" s="3088" t="s">
        <v>2640</v>
      </c>
      <c r="F54" s="3088" t="s">
        <v>2641</v>
      </c>
      <c r="G54" s="3088" t="s">
        <v>2642</v>
      </c>
    </row>
    <row r="55" spans="1:7" ht="19.5" customHeight="1">
      <c r="A55" s="3114"/>
      <c r="B55" s="3088" t="s">
        <v>2609</v>
      </c>
      <c r="C55" s="3088" t="s">
        <v>2609</v>
      </c>
      <c r="D55" s="3088" t="s">
        <v>2609</v>
      </c>
      <c r="E55" s="3085" t="s">
        <v>2610</v>
      </c>
      <c r="F55" s="3085" t="s">
        <v>2612</v>
      </c>
      <c r="G55" s="3085" t="s">
        <v>2643</v>
      </c>
    </row>
    <row r="56" spans="1:7" ht="19.5" customHeight="1">
      <c r="A56" s="3115"/>
      <c r="B56" s="3085">
        <v>1</v>
      </c>
      <c r="C56" s="3085">
        <v>2</v>
      </c>
      <c r="D56" s="3085">
        <v>3</v>
      </c>
      <c r="E56" s="3116" t="s">
        <v>2644</v>
      </c>
      <c r="F56" s="3116" t="s">
        <v>2644</v>
      </c>
      <c r="G56" s="3116" t="s">
        <v>2644</v>
      </c>
    </row>
    <row r="57" spans="1:7" ht="19.5" customHeight="1">
      <c r="A57" s="3117" t="s">
        <v>2597</v>
      </c>
      <c r="B57" s="3085">
        <v>0.7</v>
      </c>
      <c r="C57" s="3085">
        <v>0.4</v>
      </c>
      <c r="D57" s="3085">
        <v>0.3</v>
      </c>
      <c r="E57" s="3116">
        <v>0.3</v>
      </c>
      <c r="F57" s="3085">
        <v>0.3</v>
      </c>
      <c r="G57" s="3085">
        <v>0.2</v>
      </c>
    </row>
    <row r="58" spans="1:7" ht="19.5" customHeight="1">
      <c r="A58" s="3117" t="s">
        <v>2598</v>
      </c>
      <c r="B58" s="3085">
        <v>0.7</v>
      </c>
      <c r="C58" s="3085">
        <v>0.4</v>
      </c>
      <c r="D58" s="3085">
        <v>0.3</v>
      </c>
      <c r="E58" s="3085">
        <v>0.3</v>
      </c>
      <c r="F58" s="3085">
        <v>0.3</v>
      </c>
      <c r="G58" s="3085">
        <v>0.2</v>
      </c>
    </row>
    <row r="59" spans="1:7" ht="19.5" customHeight="1">
      <c r="A59" s="3117" t="s">
        <v>2599</v>
      </c>
      <c r="B59" s="3085">
        <v>0.6</v>
      </c>
      <c r="C59" s="3085">
        <v>0.3</v>
      </c>
      <c r="D59" s="3085">
        <v>0.25</v>
      </c>
      <c r="E59" s="3085">
        <v>0.25</v>
      </c>
      <c r="F59" s="3085">
        <v>0.25</v>
      </c>
      <c r="G59" s="3085">
        <v>0.15</v>
      </c>
    </row>
    <row r="60" spans="1:7" ht="19.5" customHeight="1">
      <c r="A60" s="3117" t="s">
        <v>2600</v>
      </c>
      <c r="B60" s="3085">
        <v>0.6</v>
      </c>
      <c r="C60" s="3085">
        <v>0.3</v>
      </c>
      <c r="D60" s="3085">
        <v>0.25</v>
      </c>
      <c r="E60" s="3085">
        <v>0.25</v>
      </c>
      <c r="F60" s="3085">
        <v>0.25</v>
      </c>
      <c r="G60" s="3085">
        <v>0.15</v>
      </c>
    </row>
    <row r="61" spans="1:7" ht="19.5" customHeight="1">
      <c r="A61" s="3117" t="s">
        <v>2601</v>
      </c>
      <c r="B61" s="3085">
        <v>0.6</v>
      </c>
      <c r="C61" s="3085">
        <v>0.3</v>
      </c>
      <c r="D61" s="3085">
        <v>0.25</v>
      </c>
      <c r="E61" s="3085">
        <v>0.25</v>
      </c>
      <c r="F61" s="3085">
        <v>0.25</v>
      </c>
      <c r="G61" s="3085">
        <v>0.15</v>
      </c>
    </row>
    <row r="62" spans="1:7" ht="19.5" customHeight="1">
      <c r="A62" s="3117" t="s">
        <v>2602</v>
      </c>
      <c r="B62" s="3085">
        <v>0.6</v>
      </c>
      <c r="C62" s="3085">
        <v>0.3</v>
      </c>
      <c r="D62" s="3085">
        <v>0.25</v>
      </c>
      <c r="E62" s="3085">
        <v>0.25</v>
      </c>
      <c r="F62" s="3085">
        <v>0.25</v>
      </c>
      <c r="G62" s="3085">
        <v>0.15</v>
      </c>
    </row>
    <row r="63" spans="1:7" ht="19.5" customHeight="1">
      <c r="A63" s="3117" t="s">
        <v>2603</v>
      </c>
      <c r="B63" s="3085">
        <v>0.6</v>
      </c>
      <c r="C63" s="3085">
        <v>0.3</v>
      </c>
      <c r="D63" s="3085">
        <v>0.25</v>
      </c>
      <c r="E63" s="3085">
        <v>0.25</v>
      </c>
      <c r="F63" s="3085">
        <v>0.25</v>
      </c>
      <c r="G63" s="3085">
        <v>0.15</v>
      </c>
    </row>
    <row r="64" spans="1:7" ht="19.5" customHeight="1">
      <c r="A64" s="3117" t="s">
        <v>2604</v>
      </c>
      <c r="B64" s="3085">
        <v>0.5</v>
      </c>
      <c r="C64" s="3085">
        <v>0.2</v>
      </c>
      <c r="D64" s="3085">
        <v>0.2</v>
      </c>
      <c r="E64" s="3085">
        <v>0.2</v>
      </c>
      <c r="F64" s="3085">
        <v>0.2</v>
      </c>
      <c r="G64" s="3085">
        <v>0.1</v>
      </c>
    </row>
    <row r="65" spans="1:7" ht="19.5" customHeight="1">
      <c r="A65" s="3117" t="s">
        <v>2605</v>
      </c>
      <c r="B65" s="3085">
        <v>0.5</v>
      </c>
      <c r="C65" s="3085">
        <v>0.2</v>
      </c>
      <c r="D65" s="3085">
        <v>0.2</v>
      </c>
      <c r="E65" s="3085">
        <v>0.2</v>
      </c>
      <c r="F65" s="3085">
        <v>0.2</v>
      </c>
      <c r="G65" s="3085">
        <v>0.1</v>
      </c>
    </row>
    <row r="66" spans="1:7" ht="19.5" customHeight="1">
      <c r="A66" s="3117" t="s">
        <v>2606</v>
      </c>
      <c r="B66" s="3085">
        <v>0.5</v>
      </c>
      <c r="C66" s="3085">
        <v>0.2</v>
      </c>
      <c r="D66" s="3085">
        <v>0.2</v>
      </c>
      <c r="E66" s="3085">
        <v>0.2</v>
      </c>
      <c r="F66" s="3085">
        <v>0.2</v>
      </c>
      <c r="G66" s="3085">
        <v>0.1</v>
      </c>
    </row>
    <row r="67" spans="1:7" ht="19.5" customHeight="1">
      <c r="A67" s="3117" t="s">
        <v>2607</v>
      </c>
      <c r="B67" s="3085">
        <v>0.5</v>
      </c>
      <c r="C67" s="3085">
        <v>0.2</v>
      </c>
      <c r="D67" s="3085">
        <v>0.2</v>
      </c>
      <c r="E67" s="3085">
        <v>0.2</v>
      </c>
      <c r="F67" s="3085">
        <v>0.2</v>
      </c>
      <c r="G67" s="3085">
        <v>0.1</v>
      </c>
    </row>
    <row r="68" spans="1:7" ht="19.5" customHeight="1">
      <c r="A68" s="3117" t="s">
        <v>2608</v>
      </c>
      <c r="B68" s="3085">
        <v>0.5</v>
      </c>
      <c r="C68" s="3085">
        <v>0.2</v>
      </c>
      <c r="D68" s="3085">
        <v>0.2</v>
      </c>
      <c r="E68" s="3085">
        <v>0.2</v>
      </c>
      <c r="F68" s="3085">
        <v>0.2</v>
      </c>
      <c r="G68" s="3085">
        <v>0.1</v>
      </c>
    </row>
    <row r="70" spans="1:7" ht="19.5" customHeight="1">
      <c r="A70" s="3118"/>
      <c r="B70" s="3119"/>
      <c r="C70" s="3119"/>
      <c r="D70" s="3119" t="s">
        <v>2645</v>
      </c>
      <c r="E70" s="3119"/>
      <c r="F70" s="3119"/>
    </row>
    <row r="71" spans="1:7" ht="19.5" customHeight="1">
      <c r="A71" s="3111" t="s">
        <v>2646</v>
      </c>
      <c r="B71" s="3111" t="s">
        <v>2647</v>
      </c>
      <c r="C71" s="3111" t="s">
        <v>2648</v>
      </c>
      <c r="D71" s="3111" t="s">
        <v>2649</v>
      </c>
      <c r="E71" s="3111" t="s">
        <v>2650</v>
      </c>
      <c r="F71" s="3111" t="s">
        <v>2651</v>
      </c>
    </row>
    <row r="72" spans="1:7" ht="13.5">
      <c r="A72" s="3111"/>
      <c r="B72" s="3111"/>
      <c r="C72" s="3111" t="s">
        <v>2652</v>
      </c>
      <c r="D72" s="3111"/>
      <c r="E72" s="3111" t="s">
        <v>2623</v>
      </c>
      <c r="F72" s="3111" t="s">
        <v>2623</v>
      </c>
    </row>
    <row r="73" spans="1:7" ht="13.5">
      <c r="A73" s="3111">
        <v>1</v>
      </c>
      <c r="B73" s="3830" t="s">
        <v>2653</v>
      </c>
      <c r="C73" s="3085" t="s">
        <v>2654</v>
      </c>
      <c r="D73" s="3085" t="s">
        <v>2655</v>
      </c>
      <c r="E73" s="3111">
        <v>0.2</v>
      </c>
      <c r="F73" s="3111">
        <v>25</v>
      </c>
    </row>
    <row r="74" spans="1:7" ht="24">
      <c r="A74" s="3111">
        <v>2</v>
      </c>
      <c r="B74" s="3832"/>
      <c r="C74" s="3085" t="s">
        <v>2656</v>
      </c>
      <c r="D74" s="3085" t="s">
        <v>2657</v>
      </c>
      <c r="E74" s="3111">
        <v>0.2</v>
      </c>
      <c r="F74" s="3111">
        <v>25</v>
      </c>
    </row>
    <row r="75" spans="1:7" ht="24">
      <c r="A75" s="3111">
        <v>3</v>
      </c>
      <c r="B75" s="3832"/>
      <c r="C75" s="3085" t="s">
        <v>2658</v>
      </c>
      <c r="D75" s="3085" t="s">
        <v>2659</v>
      </c>
      <c r="E75" s="3111">
        <v>0.2</v>
      </c>
      <c r="F75" s="3111">
        <v>25</v>
      </c>
    </row>
    <row r="76" spans="1:7" ht="13.5">
      <c r="A76" s="3111">
        <v>4</v>
      </c>
      <c r="B76" s="3832"/>
      <c r="C76" s="3085" t="s">
        <v>2660</v>
      </c>
      <c r="D76" s="3085" t="s">
        <v>2661</v>
      </c>
      <c r="E76" s="3111">
        <v>0.15</v>
      </c>
      <c r="F76" s="3111">
        <v>20</v>
      </c>
    </row>
    <row r="77" spans="1:7" ht="24">
      <c r="A77" s="3111">
        <v>5</v>
      </c>
      <c r="B77" s="3832"/>
      <c r="C77" s="3085" t="s">
        <v>2662</v>
      </c>
      <c r="D77" s="3085" t="s">
        <v>2663</v>
      </c>
      <c r="E77" s="3111">
        <v>0.15</v>
      </c>
      <c r="F77" s="3111">
        <v>20</v>
      </c>
    </row>
    <row r="78" spans="1:7" ht="24">
      <c r="A78" s="3111">
        <v>6</v>
      </c>
      <c r="B78" s="3832"/>
      <c r="C78" s="3085" t="s">
        <v>2664</v>
      </c>
      <c r="D78" s="3085" t="s">
        <v>2665</v>
      </c>
      <c r="E78" s="3111">
        <v>0.15</v>
      </c>
      <c r="F78" s="3111">
        <v>20</v>
      </c>
    </row>
    <row r="79" spans="1:7" ht="24">
      <c r="A79" s="3111">
        <v>7</v>
      </c>
      <c r="B79" s="3832"/>
      <c r="C79" s="3085" t="s">
        <v>2666</v>
      </c>
      <c r="D79" s="3085" t="s">
        <v>2667</v>
      </c>
      <c r="E79" s="3111">
        <v>0.15</v>
      </c>
      <c r="F79" s="3111">
        <v>20</v>
      </c>
    </row>
    <row r="80" spans="1:7" ht="24">
      <c r="A80" s="3111">
        <v>8</v>
      </c>
      <c r="B80" s="3832"/>
      <c r="C80" s="3085" t="s">
        <v>2668</v>
      </c>
      <c r="D80" s="3085" t="s">
        <v>2669</v>
      </c>
      <c r="E80" s="3111">
        <v>0.1</v>
      </c>
      <c r="F80" s="3111">
        <v>15</v>
      </c>
    </row>
    <row r="81" spans="1:6" ht="24">
      <c r="A81" s="3111">
        <v>9</v>
      </c>
      <c r="B81" s="3832"/>
      <c r="C81" s="3085" t="s">
        <v>2670</v>
      </c>
      <c r="D81" s="3085" t="s">
        <v>2671</v>
      </c>
      <c r="E81" s="3111">
        <v>0.1</v>
      </c>
      <c r="F81" s="3111">
        <v>15</v>
      </c>
    </row>
    <row r="82" spans="1:6" ht="24">
      <c r="A82" s="3111">
        <v>10</v>
      </c>
      <c r="B82" s="3832"/>
      <c r="C82" s="3085" t="s">
        <v>2672</v>
      </c>
      <c r="D82" s="3085" t="s">
        <v>2673</v>
      </c>
      <c r="E82" s="3111">
        <v>0.1</v>
      </c>
      <c r="F82" s="3111">
        <v>15</v>
      </c>
    </row>
    <row r="83" spans="1:6" ht="24">
      <c r="A83" s="3111">
        <v>11</v>
      </c>
      <c r="B83" s="3832"/>
      <c r="C83" s="3085" t="s">
        <v>2674</v>
      </c>
      <c r="D83" s="3085" t="s">
        <v>2675</v>
      </c>
      <c r="E83" s="3111">
        <v>0.1</v>
      </c>
      <c r="F83" s="3111">
        <v>15</v>
      </c>
    </row>
    <row r="84" spans="1:6" ht="24">
      <c r="A84" s="3111">
        <v>12</v>
      </c>
      <c r="B84" s="3832"/>
      <c r="C84" s="3085" t="s">
        <v>2676</v>
      </c>
      <c r="D84" s="3085" t="s">
        <v>2677</v>
      </c>
      <c r="E84" s="3111">
        <v>0.1</v>
      </c>
      <c r="F84" s="3111">
        <v>15</v>
      </c>
    </row>
    <row r="85" spans="1:6" ht="13.5">
      <c r="A85" s="3111">
        <v>13</v>
      </c>
      <c r="B85" s="3832"/>
      <c r="C85" s="3085" t="s">
        <v>2678</v>
      </c>
      <c r="D85" s="3085" t="s">
        <v>2679</v>
      </c>
      <c r="E85" s="3111">
        <v>0.1</v>
      </c>
      <c r="F85" s="3111">
        <v>15</v>
      </c>
    </row>
    <row r="86" spans="1:6" ht="13.5">
      <c r="A86" s="3111">
        <v>14</v>
      </c>
      <c r="B86" s="3832"/>
      <c r="C86" s="3085" t="s">
        <v>2680</v>
      </c>
      <c r="D86" s="3085" t="s">
        <v>2681</v>
      </c>
      <c r="E86" s="3111">
        <v>0.1</v>
      </c>
      <c r="F86" s="3111">
        <v>15</v>
      </c>
    </row>
    <row r="87" spans="1:6" ht="13.5">
      <c r="A87" s="3111">
        <v>15</v>
      </c>
      <c r="B87" s="3832"/>
      <c r="C87" s="3085" t="s">
        <v>2682</v>
      </c>
      <c r="D87" s="3085" t="s">
        <v>2683</v>
      </c>
      <c r="E87" s="3111">
        <v>0.1</v>
      </c>
      <c r="F87" s="3111">
        <v>15</v>
      </c>
    </row>
    <row r="88" spans="1:6" ht="24">
      <c r="A88" s="3111">
        <v>16</v>
      </c>
      <c r="B88" s="3832"/>
      <c r="C88" s="3085" t="s">
        <v>2684</v>
      </c>
      <c r="D88" s="3085" t="s">
        <v>2685</v>
      </c>
      <c r="E88" s="3111">
        <v>0.1</v>
      </c>
      <c r="F88" s="3111">
        <v>15</v>
      </c>
    </row>
    <row r="89" spans="1:6" ht="24">
      <c r="A89" s="3111">
        <v>17</v>
      </c>
      <c r="B89" s="3831"/>
      <c r="C89" s="3085" t="s">
        <v>2686</v>
      </c>
      <c r="D89" s="3085" t="s">
        <v>2687</v>
      </c>
      <c r="E89" s="3111">
        <v>0.1</v>
      </c>
      <c r="F89" s="3111">
        <v>15</v>
      </c>
    </row>
    <row r="90" spans="1:6" ht="13.5">
      <c r="A90" s="3111">
        <v>18</v>
      </c>
      <c r="B90" s="3830" t="s">
        <v>2688</v>
      </c>
      <c r="C90" s="3085" t="s">
        <v>2689</v>
      </c>
      <c r="D90" s="3085" t="s">
        <v>2690</v>
      </c>
      <c r="E90" s="3111">
        <v>0.2</v>
      </c>
      <c r="F90" s="3111">
        <v>25</v>
      </c>
    </row>
    <row r="91" spans="1:6" ht="24">
      <c r="A91" s="3111">
        <v>19</v>
      </c>
      <c r="B91" s="3832"/>
      <c r="C91" s="3085" t="s">
        <v>2691</v>
      </c>
      <c r="D91" s="3085" t="s">
        <v>2692</v>
      </c>
      <c r="E91" s="3111">
        <v>0.2</v>
      </c>
      <c r="F91" s="3111">
        <v>25</v>
      </c>
    </row>
    <row r="92" spans="1:6" ht="13.5">
      <c r="A92" s="3111">
        <v>20</v>
      </c>
      <c r="B92" s="3832"/>
      <c r="C92" s="3085" t="s">
        <v>2693</v>
      </c>
      <c r="D92" s="3085" t="s">
        <v>2694</v>
      </c>
      <c r="E92" s="3111">
        <v>0.15</v>
      </c>
      <c r="F92" s="3111">
        <v>20</v>
      </c>
    </row>
    <row r="93" spans="1:6" ht="13.5">
      <c r="A93" s="3111">
        <v>21</v>
      </c>
      <c r="B93" s="3832"/>
      <c r="C93" s="3085" t="s">
        <v>2695</v>
      </c>
      <c r="D93" s="3085" t="s">
        <v>2696</v>
      </c>
      <c r="E93" s="3111">
        <v>0.15</v>
      </c>
      <c r="F93" s="3111">
        <v>20</v>
      </c>
    </row>
    <row r="94" spans="1:6" ht="13.5">
      <c r="A94" s="3111">
        <v>22</v>
      </c>
      <c r="B94" s="3832"/>
      <c r="C94" s="3085" t="s">
        <v>2697</v>
      </c>
      <c r="D94" s="3085" t="s">
        <v>2698</v>
      </c>
      <c r="E94" s="3111">
        <v>0.15</v>
      </c>
      <c r="F94" s="3111">
        <v>20</v>
      </c>
    </row>
    <row r="95" spans="1:6" ht="36">
      <c r="A95" s="3111">
        <v>23</v>
      </c>
      <c r="B95" s="3832"/>
      <c r="C95" s="3085" t="s">
        <v>2699</v>
      </c>
      <c r="D95" s="3085" t="s">
        <v>2700</v>
      </c>
      <c r="E95" s="3111">
        <v>0.15</v>
      </c>
      <c r="F95" s="3111">
        <v>20</v>
      </c>
    </row>
    <row r="96" spans="1:6" ht="13.5">
      <c r="A96" s="3111">
        <v>24</v>
      </c>
      <c r="B96" s="3832"/>
      <c r="C96" s="3085" t="s">
        <v>2701</v>
      </c>
      <c r="D96" s="3085" t="s">
        <v>2702</v>
      </c>
      <c r="E96" s="3111">
        <v>0.1</v>
      </c>
      <c r="F96" s="3111">
        <v>15</v>
      </c>
    </row>
    <row r="97" spans="1:6" ht="13.5">
      <c r="A97" s="3111">
        <v>25</v>
      </c>
      <c r="B97" s="3832"/>
      <c r="C97" s="3085" t="s">
        <v>2703</v>
      </c>
      <c r="D97" s="3085" t="s">
        <v>2704</v>
      </c>
      <c r="E97" s="3111">
        <v>0.1</v>
      </c>
      <c r="F97" s="3111">
        <v>15</v>
      </c>
    </row>
    <row r="98" spans="1:6" ht="24">
      <c r="A98" s="3111">
        <v>26</v>
      </c>
      <c r="B98" s="3832"/>
      <c r="C98" s="3085" t="s">
        <v>2705</v>
      </c>
      <c r="D98" s="3085" t="s">
        <v>2706</v>
      </c>
      <c r="E98" s="3111">
        <v>0.1</v>
      </c>
      <c r="F98" s="3111">
        <v>15</v>
      </c>
    </row>
    <row r="99" spans="1:6" ht="24">
      <c r="A99" s="3111">
        <v>27</v>
      </c>
      <c r="B99" s="3832"/>
      <c r="C99" s="3085" t="s">
        <v>2707</v>
      </c>
      <c r="D99" s="3085" t="s">
        <v>2708</v>
      </c>
      <c r="E99" s="3111">
        <v>0.1</v>
      </c>
      <c r="F99" s="3111">
        <v>15</v>
      </c>
    </row>
    <row r="100" spans="1:6" ht="13.5">
      <c r="A100" s="3111">
        <v>28</v>
      </c>
      <c r="B100" s="3832"/>
      <c r="C100" s="3085" t="s">
        <v>2709</v>
      </c>
      <c r="D100" s="3085" t="s">
        <v>2710</v>
      </c>
      <c r="E100" s="3111">
        <v>0.1</v>
      </c>
      <c r="F100" s="3111">
        <v>15</v>
      </c>
    </row>
    <row r="101" spans="1:6" ht="13.5">
      <c r="A101" s="3111">
        <v>29</v>
      </c>
      <c r="B101" s="3832"/>
      <c r="C101" s="3085" t="s">
        <v>2711</v>
      </c>
      <c r="D101" s="3085" t="s">
        <v>2712</v>
      </c>
      <c r="E101" s="3111">
        <v>0.1</v>
      </c>
      <c r="F101" s="3111">
        <v>15</v>
      </c>
    </row>
    <row r="102" spans="1:6" ht="13.5">
      <c r="A102" s="3111">
        <v>30</v>
      </c>
      <c r="B102" s="3832"/>
      <c r="C102" s="3085" t="s">
        <v>2713</v>
      </c>
      <c r="D102" s="3085" t="s">
        <v>2714</v>
      </c>
      <c r="E102" s="3111">
        <v>0.1</v>
      </c>
      <c r="F102" s="3111">
        <v>15</v>
      </c>
    </row>
    <row r="103" spans="1:6" ht="24">
      <c r="A103" s="3111">
        <v>31</v>
      </c>
      <c r="B103" s="3832"/>
      <c r="C103" s="3085" t="s">
        <v>2715</v>
      </c>
      <c r="D103" s="3085" t="s">
        <v>2716</v>
      </c>
      <c r="E103" s="3111">
        <v>0.1</v>
      </c>
      <c r="F103" s="3111">
        <v>15</v>
      </c>
    </row>
    <row r="104" spans="1:6" ht="24">
      <c r="A104" s="3111">
        <v>32</v>
      </c>
      <c r="B104" s="3832"/>
      <c r="C104" s="3085" t="s">
        <v>2717</v>
      </c>
      <c r="D104" s="3085" t="s">
        <v>2718</v>
      </c>
      <c r="E104" s="3111">
        <v>0.1</v>
      </c>
      <c r="F104" s="3111">
        <v>15</v>
      </c>
    </row>
    <row r="105" spans="1:6" ht="24">
      <c r="A105" s="3111">
        <v>33</v>
      </c>
      <c r="B105" s="3832"/>
      <c r="C105" s="3085" t="s">
        <v>2719</v>
      </c>
      <c r="D105" s="3085" t="s">
        <v>2720</v>
      </c>
      <c r="E105" s="3111">
        <v>0.1</v>
      </c>
      <c r="F105" s="3111">
        <v>15</v>
      </c>
    </row>
    <row r="106" spans="1:6" ht="24">
      <c r="A106" s="3111">
        <v>34</v>
      </c>
      <c r="B106" s="3831"/>
      <c r="C106" s="3085" t="s">
        <v>2721</v>
      </c>
      <c r="D106" s="3085" t="s">
        <v>2722</v>
      </c>
      <c r="E106" s="3111">
        <v>0.1</v>
      </c>
      <c r="F106" s="3111">
        <v>15</v>
      </c>
    </row>
    <row r="107" spans="1:6" ht="24">
      <c r="A107" s="3111">
        <v>35</v>
      </c>
      <c r="B107" s="3830" t="s">
        <v>2723</v>
      </c>
      <c r="C107" s="3111" t="s">
        <v>2724</v>
      </c>
      <c r="D107" s="3085" t="s">
        <v>2725</v>
      </c>
      <c r="E107" s="3111">
        <v>0.15</v>
      </c>
      <c r="F107" s="3111">
        <v>20</v>
      </c>
    </row>
    <row r="108" spans="1:6" ht="13.5">
      <c r="A108" s="3111">
        <v>36</v>
      </c>
      <c r="B108" s="3832"/>
      <c r="C108" s="3111" t="s">
        <v>2726</v>
      </c>
      <c r="D108" s="3085" t="s">
        <v>2727</v>
      </c>
      <c r="E108" s="3111">
        <v>0.15</v>
      </c>
      <c r="F108" s="3111">
        <v>20</v>
      </c>
    </row>
    <row r="109" spans="1:6" ht="13.5">
      <c r="A109" s="3111">
        <v>37</v>
      </c>
      <c r="B109" s="3832"/>
      <c r="C109" s="3111" t="s">
        <v>2728</v>
      </c>
      <c r="D109" s="3085" t="s">
        <v>2729</v>
      </c>
      <c r="E109" s="3111">
        <v>0.15</v>
      </c>
      <c r="F109" s="3111">
        <v>20</v>
      </c>
    </row>
    <row r="110" spans="1:6" ht="13.5">
      <c r="A110" s="3111">
        <v>38</v>
      </c>
      <c r="B110" s="3832"/>
      <c r="C110" s="3111" t="s">
        <v>2730</v>
      </c>
      <c r="D110" s="3085" t="s">
        <v>2731</v>
      </c>
      <c r="E110" s="3111">
        <v>0.1</v>
      </c>
      <c r="F110" s="3111">
        <v>15</v>
      </c>
    </row>
    <row r="111" spans="1:6" ht="24">
      <c r="A111" s="3111">
        <v>39</v>
      </c>
      <c r="B111" s="3832"/>
      <c r="C111" s="3111" t="s">
        <v>2732</v>
      </c>
      <c r="D111" s="3085" t="s">
        <v>2733</v>
      </c>
      <c r="E111" s="3111">
        <v>0.1</v>
      </c>
      <c r="F111" s="3111">
        <v>15</v>
      </c>
    </row>
    <row r="112" spans="1:6" ht="24">
      <c r="A112" s="3111">
        <v>40</v>
      </c>
      <c r="B112" s="3831"/>
      <c r="C112" s="3111" t="s">
        <v>2734</v>
      </c>
      <c r="D112" s="3085" t="s">
        <v>2735</v>
      </c>
      <c r="E112" s="3111">
        <v>0.1</v>
      </c>
      <c r="F112" s="3111">
        <v>15</v>
      </c>
    </row>
    <row r="113" spans="1:6" ht="13.5">
      <c r="A113" s="3111">
        <v>41</v>
      </c>
      <c r="B113" s="3829" t="s">
        <v>2736</v>
      </c>
      <c r="C113" s="3111" t="s">
        <v>2737</v>
      </c>
      <c r="D113" s="3085" t="s">
        <v>2738</v>
      </c>
      <c r="E113" s="3111">
        <v>0.1</v>
      </c>
      <c r="F113" s="3111">
        <v>15</v>
      </c>
    </row>
    <row r="114" spans="1:6" ht="13.5">
      <c r="A114" s="3111">
        <v>42</v>
      </c>
      <c r="B114" s="3829"/>
      <c r="C114" s="3111" t="s">
        <v>2739</v>
      </c>
      <c r="D114" s="3085" t="s">
        <v>2740</v>
      </c>
      <c r="E114" s="3111">
        <v>0.1</v>
      </c>
      <c r="F114" s="3111">
        <v>15</v>
      </c>
    </row>
    <row r="115" spans="1:6" ht="24">
      <c r="A115" s="3111">
        <v>43</v>
      </c>
      <c r="B115" s="3829"/>
      <c r="C115" s="3111" t="s">
        <v>2741</v>
      </c>
      <c r="D115" s="3085" t="s">
        <v>2742</v>
      </c>
      <c r="E115" s="3111">
        <v>0.1</v>
      </c>
      <c r="F115" s="3111">
        <v>15</v>
      </c>
    </row>
    <row r="116" spans="1:6" ht="13.5">
      <c r="A116" s="3111">
        <v>44</v>
      </c>
      <c r="B116" s="3830" t="s">
        <v>2743</v>
      </c>
      <c r="C116" s="3111" t="s">
        <v>2744</v>
      </c>
      <c r="D116" s="3085" t="s">
        <v>2745</v>
      </c>
      <c r="E116" s="3111">
        <v>0.1</v>
      </c>
      <c r="F116" s="3111">
        <v>15</v>
      </c>
    </row>
    <row r="117" spans="1:6" ht="24">
      <c r="A117" s="3111">
        <v>45</v>
      </c>
      <c r="B117" s="3831"/>
      <c r="C117" s="3085" t="s">
        <v>2746</v>
      </c>
      <c r="D117" s="3085" t="s">
        <v>2747</v>
      </c>
      <c r="E117" s="3111">
        <v>0.1</v>
      </c>
      <c r="F117" s="3111">
        <v>15</v>
      </c>
    </row>
    <row r="118" spans="1:6" ht="24">
      <c r="A118" s="3111">
        <v>46</v>
      </c>
      <c r="B118" s="3830" t="s">
        <v>2748</v>
      </c>
      <c r="C118" s="3111" t="s">
        <v>2749</v>
      </c>
      <c r="D118" s="3085" t="s">
        <v>2750</v>
      </c>
      <c r="E118" s="3111">
        <v>0.1</v>
      </c>
      <c r="F118" s="3111">
        <v>15</v>
      </c>
    </row>
    <row r="119" spans="1:6" ht="24">
      <c r="A119" s="3111">
        <v>47</v>
      </c>
      <c r="B119" s="3831"/>
      <c r="C119" s="3111" t="s">
        <v>2751</v>
      </c>
      <c r="D119" s="3085" t="s">
        <v>2752</v>
      </c>
      <c r="E119" s="3111">
        <v>0.1</v>
      </c>
      <c r="F119" s="3111">
        <v>15</v>
      </c>
    </row>
    <row r="120" spans="1:6" ht="13.5">
      <c r="A120" s="3111">
        <v>48</v>
      </c>
      <c r="B120" s="3830" t="s">
        <v>2753</v>
      </c>
      <c r="C120" s="3111" t="s">
        <v>2754</v>
      </c>
      <c r="D120" s="3085" t="s">
        <v>2755</v>
      </c>
      <c r="E120" s="3111">
        <v>0.1</v>
      </c>
      <c r="F120" s="3111">
        <v>15</v>
      </c>
    </row>
    <row r="121" spans="1:6" ht="13.5">
      <c r="A121" s="3111">
        <v>49</v>
      </c>
      <c r="B121" s="3831"/>
      <c r="C121" s="3111" t="s">
        <v>2756</v>
      </c>
      <c r="D121" s="3085" t="s">
        <v>2757</v>
      </c>
      <c r="E121" s="3111">
        <v>0.1</v>
      </c>
      <c r="F121" s="3111">
        <v>15</v>
      </c>
    </row>
    <row r="122" spans="1:6" ht="24">
      <c r="A122" s="3111">
        <v>50</v>
      </c>
      <c r="B122" s="3829" t="s">
        <v>2758</v>
      </c>
      <c r="C122" s="3111" t="s">
        <v>2759</v>
      </c>
      <c r="D122" s="3085" t="s">
        <v>2760</v>
      </c>
      <c r="E122" s="3111">
        <v>0.1</v>
      </c>
      <c r="F122" s="3111">
        <v>15</v>
      </c>
    </row>
    <row r="123" spans="1:6" ht="24">
      <c r="A123" s="3111">
        <v>51</v>
      </c>
      <c r="B123" s="3829"/>
      <c r="C123" s="3111" t="s">
        <v>2761</v>
      </c>
      <c r="D123" s="3085" t="s">
        <v>2762</v>
      </c>
      <c r="E123" s="3111">
        <v>0.1</v>
      </c>
      <c r="F123" s="3111">
        <v>15</v>
      </c>
    </row>
    <row r="124" spans="1:6" ht="24">
      <c r="A124" s="3111">
        <v>52</v>
      </c>
      <c r="B124" s="3829" t="s">
        <v>2763</v>
      </c>
      <c r="C124" s="3111" t="s">
        <v>2764</v>
      </c>
      <c r="D124" s="3085" t="s">
        <v>2765</v>
      </c>
      <c r="E124" s="3111">
        <v>0.1</v>
      </c>
      <c r="F124" s="3111">
        <v>15</v>
      </c>
    </row>
    <row r="125" spans="1:6" ht="24">
      <c r="A125" s="3111">
        <v>53</v>
      </c>
      <c r="B125" s="3829"/>
      <c r="C125" s="3111" t="s">
        <v>2766</v>
      </c>
      <c r="D125" s="3085" t="s">
        <v>2767</v>
      </c>
      <c r="E125" s="3111">
        <v>0.1</v>
      </c>
      <c r="F125" s="3111">
        <v>15</v>
      </c>
    </row>
    <row r="126" spans="1:6" ht="13.5">
      <c r="A126" s="3111">
        <v>54</v>
      </c>
      <c r="B126" s="3111" t="s">
        <v>2768</v>
      </c>
      <c r="C126" s="3111" t="s">
        <v>2769</v>
      </c>
      <c r="D126" s="3085" t="s">
        <v>2770</v>
      </c>
      <c r="E126" s="3111">
        <v>0.1</v>
      </c>
      <c r="F126" s="3111">
        <v>15</v>
      </c>
    </row>
    <row r="127" spans="1:6" ht="13.5">
      <c r="A127" s="3111">
        <v>55</v>
      </c>
      <c r="B127" s="3829" t="s">
        <v>2771</v>
      </c>
      <c r="C127" s="3111" t="s">
        <v>2772</v>
      </c>
      <c r="D127" s="3085" t="s">
        <v>2773</v>
      </c>
      <c r="E127" s="3111">
        <v>0.1</v>
      </c>
      <c r="F127" s="3111">
        <v>15</v>
      </c>
    </row>
    <row r="128" spans="1:6" ht="13.5">
      <c r="A128" s="3111">
        <v>56</v>
      </c>
      <c r="B128" s="3829"/>
      <c r="C128" s="3111" t="s">
        <v>2774</v>
      </c>
      <c r="D128" s="3085" t="s">
        <v>2775</v>
      </c>
      <c r="E128" s="3111">
        <v>0.1</v>
      </c>
      <c r="F128" s="3111">
        <v>15</v>
      </c>
    </row>
    <row r="129" spans="1:6" ht="24">
      <c r="A129" s="3111">
        <v>57</v>
      </c>
      <c r="B129" s="3829"/>
      <c r="C129" s="3111" t="s">
        <v>2776</v>
      </c>
      <c r="D129" s="3085" t="s">
        <v>2777</v>
      </c>
      <c r="E129" s="3111">
        <v>0.1</v>
      </c>
      <c r="F129" s="3111">
        <v>15</v>
      </c>
    </row>
    <row r="130" spans="1:6" ht="24">
      <c r="A130" s="3111">
        <v>58</v>
      </c>
      <c r="B130" s="3829" t="s">
        <v>2778</v>
      </c>
      <c r="C130" s="3111" t="s">
        <v>2779</v>
      </c>
      <c r="D130" s="3085" t="s">
        <v>2780</v>
      </c>
      <c r="E130" s="3111">
        <v>0.1</v>
      </c>
      <c r="F130" s="3111">
        <v>15</v>
      </c>
    </row>
    <row r="131" spans="1:6" ht="13.5">
      <c r="A131" s="3111">
        <v>59</v>
      </c>
      <c r="B131" s="3829"/>
      <c r="C131" s="3111" t="s">
        <v>2781</v>
      </c>
      <c r="D131" s="3085" t="s">
        <v>2782</v>
      </c>
      <c r="E131" s="3111">
        <v>0.1</v>
      </c>
      <c r="F131" s="3111">
        <v>15</v>
      </c>
    </row>
    <row r="132" spans="1:6" ht="13.5">
      <c r="A132" s="3111">
        <v>60</v>
      </c>
      <c r="B132" s="3830" t="s">
        <v>2783</v>
      </c>
      <c r="C132" s="3111" t="s">
        <v>2784</v>
      </c>
      <c r="D132" s="3085" t="s">
        <v>2785</v>
      </c>
      <c r="E132" s="3111">
        <v>0.1</v>
      </c>
      <c r="F132" s="3111">
        <v>15</v>
      </c>
    </row>
    <row r="133" spans="1:6" ht="13.5">
      <c r="A133" s="3111">
        <v>61</v>
      </c>
      <c r="B133" s="3831"/>
      <c r="C133" s="3111" t="s">
        <v>2786</v>
      </c>
      <c r="D133" s="3085" t="s">
        <v>2787</v>
      </c>
      <c r="E133" s="3111">
        <v>0.1</v>
      </c>
      <c r="F133" s="3111">
        <v>15</v>
      </c>
    </row>
    <row r="134" spans="1:6" ht="24">
      <c r="A134" s="3111">
        <v>62</v>
      </c>
      <c r="B134" s="3111" t="s">
        <v>2788</v>
      </c>
      <c r="C134" s="3111" t="s">
        <v>2789</v>
      </c>
      <c r="D134" s="3085" t="s">
        <v>2790</v>
      </c>
      <c r="E134" s="3111">
        <v>0.1</v>
      </c>
      <c r="F134" s="3111">
        <v>15</v>
      </c>
    </row>
    <row r="135" spans="1:6" ht="13.5">
      <c r="A135" s="3111">
        <v>63</v>
      </c>
      <c r="B135" s="3829" t="s">
        <v>2791</v>
      </c>
      <c r="C135" s="3111" t="s">
        <v>2792</v>
      </c>
      <c r="D135" s="3085" t="s">
        <v>2793</v>
      </c>
      <c r="E135" s="3111">
        <v>0.1</v>
      </c>
      <c r="F135" s="3111">
        <v>15</v>
      </c>
    </row>
    <row r="136" spans="1:6" ht="13.5">
      <c r="A136" s="3111">
        <v>64</v>
      </c>
      <c r="B136" s="3829"/>
      <c r="C136" s="3111" t="s">
        <v>2794</v>
      </c>
      <c r="D136" s="3085" t="s">
        <v>2795</v>
      </c>
      <c r="E136" s="3111">
        <v>0.1</v>
      </c>
      <c r="F136" s="3111">
        <v>15</v>
      </c>
    </row>
    <row r="137" spans="1:6" ht="13.5">
      <c r="A137" s="3111">
        <v>65</v>
      </c>
      <c r="B137" s="3111" t="s">
        <v>2796</v>
      </c>
      <c r="C137" s="3111" t="s">
        <v>2797</v>
      </c>
      <c r="D137" s="3085" t="s">
        <v>2798</v>
      </c>
      <c r="E137" s="3111">
        <v>0.1</v>
      </c>
      <c r="F137" s="3111">
        <v>15</v>
      </c>
    </row>
    <row r="138" spans="1:6" ht="13.5">
      <c r="A138" s="3111"/>
      <c r="B138" s="3111"/>
      <c r="C138" s="3111"/>
      <c r="D138" s="3111"/>
      <c r="E138" s="3111" t="s">
        <v>2799</v>
      </c>
      <c r="F138" s="3111"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2800</v>
      </c>
      <c r="B1" s="3120"/>
      <c r="C1" s="3120"/>
      <c r="D1" s="3120"/>
      <c r="E1" s="3120"/>
      <c r="F1" s="3120"/>
      <c r="G1" s="3120"/>
      <c r="H1" s="3120"/>
      <c r="I1" s="3120"/>
      <c r="J1" s="3120"/>
      <c r="K1" s="3120"/>
      <c r="L1" s="3120"/>
      <c r="M1" s="3120"/>
      <c r="N1" s="747"/>
    </row>
    <row r="2" spans="1:20">
      <c r="A2" s="3121" t="s">
        <v>2801</v>
      </c>
      <c r="B2" s="3122" t="s">
        <v>2597</v>
      </c>
      <c r="C2" s="3122" t="s">
        <v>2598</v>
      </c>
      <c r="D2" s="3122" t="s">
        <v>2599</v>
      </c>
      <c r="E2" s="3122" t="s">
        <v>2600</v>
      </c>
      <c r="F2" s="3122" t="s">
        <v>2601</v>
      </c>
      <c r="G2" s="3122" t="s">
        <v>2602</v>
      </c>
      <c r="H2" s="3123" t="s">
        <v>2603</v>
      </c>
      <c r="I2" s="3123" t="s">
        <v>2604</v>
      </c>
      <c r="J2" s="3124" t="s">
        <v>2605</v>
      </c>
      <c r="K2" s="3124" t="s">
        <v>2606</v>
      </c>
      <c r="L2" s="3124" t="s">
        <v>2607</v>
      </c>
      <c r="M2" s="3125" t="s">
        <v>2608</v>
      </c>
      <c r="Q2" s="3135" t="s">
        <v>2806</v>
      </c>
      <c r="R2" s="3135" t="s">
        <v>2807</v>
      </c>
      <c r="S2" s="3135" t="s">
        <v>2808</v>
      </c>
      <c r="T2" s="3135" t="s">
        <v>2809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2802</v>
      </c>
      <c r="B93" s="3120"/>
      <c r="C93" s="3120"/>
      <c r="D93" s="3120"/>
      <c r="E93" s="3120"/>
      <c r="F93" s="3120"/>
      <c r="G93" s="3120"/>
      <c r="H93" s="3120"/>
      <c r="I93" s="3120"/>
      <c r="J93" s="3120"/>
      <c r="K93" s="3120"/>
      <c r="L93" s="3120"/>
      <c r="M93" s="3120"/>
    </row>
    <row r="94" spans="1:20">
      <c r="A94" s="3121" t="s">
        <v>2801</v>
      </c>
      <c r="B94" s="3122" t="s">
        <v>2597</v>
      </c>
      <c r="C94" s="3122" t="s">
        <v>2598</v>
      </c>
      <c r="D94" s="3122" t="s">
        <v>2599</v>
      </c>
      <c r="E94" s="3122" t="s">
        <v>2600</v>
      </c>
      <c r="F94" s="3122" t="s">
        <v>2601</v>
      </c>
      <c r="G94" s="3122" t="s">
        <v>2602</v>
      </c>
      <c r="H94" s="3123" t="s">
        <v>2603</v>
      </c>
      <c r="I94" s="3123" t="s">
        <v>2604</v>
      </c>
      <c r="J94" s="3124" t="s">
        <v>2605</v>
      </c>
      <c r="K94" s="3124" t="s">
        <v>2606</v>
      </c>
      <c r="L94" s="3124" t="s">
        <v>2607</v>
      </c>
      <c r="M94" s="3125" t="s">
        <v>2608</v>
      </c>
      <c r="N94" s="748">
        <f>SUMPRODUCT((A95:A184=ROUNDDOWN(基准地价修正!G3,1))*(B94:M94=基准地价修正!G2)*(B95:M184))</f>
        <v>1</v>
      </c>
      <c r="Q94" s="3135" t="s">
        <v>2806</v>
      </c>
      <c r="R94" s="3135" t="s">
        <v>2807</v>
      </c>
      <c r="S94" s="3135" t="s">
        <v>2808</v>
      </c>
      <c r="T94" s="3135" t="s">
        <v>2809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2803</v>
      </c>
      <c r="B185" s="3120"/>
      <c r="C185" s="3120"/>
      <c r="D185" s="3120"/>
      <c r="E185" s="3120"/>
      <c r="F185" s="3120"/>
      <c r="G185" s="3120"/>
      <c r="H185" s="3120"/>
      <c r="I185" s="3120"/>
      <c r="J185" s="3120"/>
      <c r="K185" s="3120"/>
      <c r="L185" s="3120"/>
      <c r="M185" s="3120"/>
    </row>
    <row r="186" spans="1:20">
      <c r="A186" s="3121" t="s">
        <v>2801</v>
      </c>
      <c r="B186" s="3122" t="s">
        <v>2597</v>
      </c>
      <c r="C186" s="3122" t="s">
        <v>2598</v>
      </c>
      <c r="D186" s="3122" t="s">
        <v>2599</v>
      </c>
      <c r="E186" s="3122" t="s">
        <v>2600</v>
      </c>
      <c r="F186" s="3122" t="s">
        <v>2601</v>
      </c>
      <c r="G186" s="3122" t="s">
        <v>2602</v>
      </c>
      <c r="H186" s="3123" t="s">
        <v>2603</v>
      </c>
      <c r="I186" s="3123" t="s">
        <v>2604</v>
      </c>
      <c r="J186" s="3124" t="s">
        <v>2605</v>
      </c>
      <c r="K186" s="3124" t="s">
        <v>2606</v>
      </c>
      <c r="L186" s="3124" t="s">
        <v>2607</v>
      </c>
      <c r="M186" s="3125" t="s">
        <v>2608</v>
      </c>
      <c r="Q186" s="3135" t="s">
        <v>2806</v>
      </c>
      <c r="R186" s="3135" t="s">
        <v>2807</v>
      </c>
      <c r="S186" s="3135" t="s">
        <v>2808</v>
      </c>
      <c r="T186" s="3135" t="s">
        <v>2809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2804</v>
      </c>
      <c r="B277" s="3120"/>
      <c r="C277" s="3120"/>
      <c r="D277" s="3120"/>
      <c r="E277" s="3120"/>
      <c r="F277" s="3120"/>
      <c r="G277" s="3120"/>
      <c r="H277" s="3120"/>
      <c r="I277" s="3120"/>
      <c r="J277" s="3120"/>
      <c r="K277" s="3120"/>
      <c r="L277" s="3120"/>
      <c r="M277" s="3120"/>
    </row>
    <row r="278" spans="1:21">
      <c r="A278" s="3121" t="s">
        <v>2801</v>
      </c>
      <c r="B278" s="3122" t="s">
        <v>2597</v>
      </c>
      <c r="C278" s="3122" t="s">
        <v>2598</v>
      </c>
      <c r="D278" s="3122" t="s">
        <v>2599</v>
      </c>
      <c r="E278" s="3122" t="s">
        <v>2600</v>
      </c>
      <c r="F278" s="3122" t="s">
        <v>2601</v>
      </c>
      <c r="G278" s="3122" t="s">
        <v>2602</v>
      </c>
      <c r="H278" s="3123" t="s">
        <v>2603</v>
      </c>
      <c r="I278" s="3123" t="s">
        <v>2604</v>
      </c>
      <c r="J278" s="3124" t="s">
        <v>2605</v>
      </c>
      <c r="K278" s="3124" t="s">
        <v>2606</v>
      </c>
      <c r="L278" s="3124" t="s">
        <v>2607</v>
      </c>
      <c r="M278" s="3125" t="s">
        <v>2608</v>
      </c>
      <c r="Q278" s="3135" t="s">
        <v>2806</v>
      </c>
      <c r="R278" s="3135" t="s">
        <v>2807</v>
      </c>
      <c r="S278" s="3135" t="s">
        <v>2810</v>
      </c>
      <c r="T278" s="3135" t="s">
        <v>2811</v>
      </c>
      <c r="U278" s="3135" t="s">
        <v>2809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2805</v>
      </c>
      <c r="B369" s="3133"/>
      <c r="C369" s="3133"/>
      <c r="D369" s="3133"/>
      <c r="E369" s="3133"/>
      <c r="F369" s="3133"/>
      <c r="G369" s="3133"/>
      <c r="H369" s="3133"/>
      <c r="I369" s="3133"/>
      <c r="J369" s="3133"/>
      <c r="K369" s="3133"/>
      <c r="L369" s="3133"/>
      <c r="M369" s="3133"/>
    </row>
    <row r="370" spans="1:20">
      <c r="A370" s="3121" t="s">
        <v>2801</v>
      </c>
      <c r="B370" s="3122" t="s">
        <v>2597</v>
      </c>
      <c r="C370" s="3122" t="s">
        <v>2598</v>
      </c>
      <c r="D370" s="3122" t="s">
        <v>2599</v>
      </c>
      <c r="E370" s="3122" t="s">
        <v>2600</v>
      </c>
      <c r="F370" s="3122" t="s">
        <v>2601</v>
      </c>
      <c r="G370" s="3122" t="s">
        <v>2602</v>
      </c>
      <c r="H370" s="3123" t="s">
        <v>2603</v>
      </c>
      <c r="I370" s="3123" t="s">
        <v>2604</v>
      </c>
      <c r="J370" s="3124" t="s">
        <v>2605</v>
      </c>
      <c r="K370" s="3124" t="s">
        <v>2606</v>
      </c>
      <c r="L370" s="3124" t="s">
        <v>2607</v>
      </c>
      <c r="M370" s="3125" t="s">
        <v>2608</v>
      </c>
      <c r="N370" s="748">
        <f>SUMPRODUCT((A371:A460=ROUNDDOWN(基准地价修正!G3,1))*(B370:M370=基准地价修正!G2)*(B371:M460))</f>
        <v>0.95120000000000005</v>
      </c>
      <c r="Q370" s="3135" t="s">
        <v>2806</v>
      </c>
      <c r="R370" s="3135" t="s">
        <v>2807</v>
      </c>
      <c r="S370" s="3135" t="s">
        <v>2808</v>
      </c>
      <c r="T370" s="3135" t="s">
        <v>2809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27809</v>
      </c>
      <c r="C2" s="2" t="s">
        <v>106</v>
      </c>
      <c r="D2" s="198"/>
      <c r="E2" s="198"/>
      <c r="F2" s="198"/>
      <c r="G2" s="198"/>
    </row>
    <row r="3" spans="1:7" s="199" customFormat="1" ht="18" customHeight="1" thickBot="1">
      <c r="A3" s="202" t="s">
        <v>58</v>
      </c>
      <c r="B3" s="203">
        <f ca="1">ROUND(B2*10000/'数据-汇总表'!E3,0)</f>
        <v>4527678</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v>
      </c>
      <c r="D10" s="843">
        <f>'数据-汇总表'!E6</f>
        <v>61.42</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v>
      </c>
      <c r="D19" s="847">
        <f>'数据-汇总表'!E3</f>
        <v>61.42</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1461</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0</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3153</v>
      </c>
      <c r="D27" s="234">
        <f>C29</f>
        <v>3.0000000000000001E-3</v>
      </c>
      <c r="E27" s="235" t="s">
        <v>99</v>
      </c>
      <c r="F27" s="245">
        <f>'数据-取费表'!Q16</f>
        <v>0.15</v>
      </c>
      <c r="G27" s="246" t="s">
        <v>431</v>
      </c>
    </row>
    <row r="28" spans="1:7" s="213" customFormat="1" ht="13.5" customHeight="1">
      <c r="A28" s="778" t="s">
        <v>349</v>
      </c>
      <c r="B28" s="247" t="s">
        <v>424</v>
      </c>
      <c r="C28" s="248">
        <f>ROUND((C5+C19+C20)*F27*'数据-取费表'!B21/'数据-取费表'!B20,0)</f>
        <v>3153</v>
      </c>
      <c r="D28" s="234"/>
      <c r="E28" s="235"/>
      <c r="F28" s="245"/>
      <c r="G28" s="246"/>
    </row>
    <row r="29" spans="1:7" s="213" customFormat="1" ht="13.5" customHeight="1">
      <c r="A29" s="778" t="s">
        <v>347</v>
      </c>
      <c r="B29" s="247" t="s">
        <v>425</v>
      </c>
      <c r="C29" s="237">
        <f>ROUND(C21*F27*'数据-取费表'!B21/'数据-取费表'!B20,4)</f>
        <v>3.0000000000000001E-3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27777</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31</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29</v>
      </c>
      <c r="D34" s="216"/>
      <c r="E34" s="219"/>
      <c r="F34" s="256">
        <f>IF('数据-取费表'!B24=0,1,'数据-取费表'!N16)</f>
        <v>1</v>
      </c>
      <c r="G34" s="218" t="s">
        <v>89</v>
      </c>
    </row>
    <row r="35" spans="1:7" ht="13.5" customHeight="1">
      <c r="A35" s="778" t="s">
        <v>351</v>
      </c>
      <c r="B35" s="214" t="s">
        <v>33</v>
      </c>
      <c r="C35" s="219">
        <f>ROUND(C34*F35,0)</f>
        <v>1</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v>
      </c>
      <c r="D37" s="216">
        <f>'数据-汇总表'!E3</f>
        <v>61.42</v>
      </c>
      <c r="E37" s="248">
        <f>'数据-取费表'!B35</f>
        <v>200</v>
      </c>
      <c r="F37" s="258"/>
      <c r="G37" s="260" t="s">
        <v>92</v>
      </c>
    </row>
    <row r="38" spans="1:7" ht="13.5" customHeight="1">
      <c r="A38" s="778" t="s">
        <v>354</v>
      </c>
      <c r="B38" s="214" t="s">
        <v>36</v>
      </c>
      <c r="C38" s="219">
        <f>ROUND(C34*F38,0)</f>
        <v>0</v>
      </c>
      <c r="D38" s="219"/>
      <c r="E38" s="219"/>
      <c r="F38" s="258">
        <f>'数据-取费表'!B36</f>
        <v>1.4999999999999999E-2</v>
      </c>
      <c r="G38" s="218" t="s">
        <v>90</v>
      </c>
    </row>
    <row r="39" spans="1:7" s="213" customFormat="1" ht="13.5" customHeight="1">
      <c r="A39" s="775" t="s">
        <v>338</v>
      </c>
      <c r="B39" s="209" t="s">
        <v>77</v>
      </c>
      <c r="C39" s="231">
        <f>ROUND(C33*F20,0)</f>
        <v>1</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v>
      </c>
      <c r="D42" s="237"/>
      <c r="E42" s="237"/>
      <c r="F42" s="238"/>
      <c r="G42" s="3702" t="s">
        <v>94</v>
      </c>
    </row>
    <row r="43" spans="1:7" ht="13.5" customHeight="1">
      <c r="A43" s="778" t="s">
        <v>347</v>
      </c>
      <c r="B43" s="214" t="s">
        <v>426</v>
      </c>
      <c r="C43" s="237">
        <f ca="1">ROUND(IF('数据-取费表'!B22&lt;=1,C39*F22*'数据-取费表'!B21/2,C39*(POWER((1+F22),'数据-取费表'!B21/2)-1)),0)</f>
        <v>0</v>
      </c>
      <c r="D43" s="237"/>
      <c r="E43" s="237"/>
      <c r="F43" s="238"/>
      <c r="G43" s="3703"/>
    </row>
    <row r="44" spans="1:7" ht="13.5" customHeight="1">
      <c r="A44" s="778" t="s">
        <v>348</v>
      </c>
      <c r="B44" s="214" t="s">
        <v>428</v>
      </c>
      <c r="C44" s="237">
        <f ca="1">ROUND(IF('数据-取费表'!B22&lt;=1,C40*F22*'数据-取费表'!B21/2,C40*(POWER((1+F22),'数据-取费表'!B21/2)-1)),4)</f>
        <v>6.9999999999999999E-4</v>
      </c>
      <c r="D44" s="237"/>
      <c r="E44" s="237"/>
      <c r="F44" s="238"/>
      <c r="G44" s="3704"/>
    </row>
    <row r="45" spans="1:7" s="213" customFormat="1" ht="13.5" customHeight="1">
      <c r="A45" s="775" t="s">
        <v>341</v>
      </c>
      <c r="B45" s="243" t="s">
        <v>85</v>
      </c>
      <c r="C45" s="244">
        <f>C46</f>
        <v>5</v>
      </c>
      <c r="D45" s="234">
        <f>C47</f>
        <v>3.0000000000000001E-3</v>
      </c>
      <c r="E45" s="235" t="s">
        <v>102</v>
      </c>
      <c r="F45" s="245"/>
      <c r="G45" s="246" t="s">
        <v>434</v>
      </c>
    </row>
    <row r="46" spans="1:7" s="213" customFormat="1" ht="13.5" customHeight="1">
      <c r="A46" s="778" t="s">
        <v>349</v>
      </c>
      <c r="B46" s="247" t="s">
        <v>427</v>
      </c>
      <c r="C46" s="248">
        <f>ROUND((C33+C39)*F27,0)</f>
        <v>5</v>
      </c>
      <c r="D46" s="262"/>
      <c r="E46" s="235"/>
      <c r="F46" s="245"/>
      <c r="G46" s="246"/>
    </row>
    <row r="47" spans="1:7" s="213" customFormat="1" ht="13.5" customHeight="1">
      <c r="A47" s="778" t="s">
        <v>347</v>
      </c>
      <c r="B47" s="247" t="s">
        <v>429</v>
      </c>
      <c r="C47" s="237">
        <f>ROUND(C40*F27,4)</f>
        <v>3.0000000000000001E-3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41</v>
      </c>
      <c r="D49" s="231"/>
      <c r="E49" s="231"/>
      <c r="F49" s="263"/>
      <c r="G49" s="233" t="s">
        <v>435</v>
      </c>
    </row>
    <row r="50" spans="1:7" s="257" customFormat="1" ht="24">
      <c r="A50" s="775" t="s">
        <v>344</v>
      </c>
      <c r="B50" s="209" t="s">
        <v>97</v>
      </c>
      <c r="C50" s="231"/>
      <c r="D50" s="231"/>
      <c r="E50" s="231"/>
      <c r="F50" s="263">
        <f>IF('数据-取费表'!B24=0,'数据-取费表'!N16,1)</f>
        <v>0.79</v>
      </c>
      <c r="G50" s="246" t="s">
        <v>98</v>
      </c>
    </row>
    <row r="51" spans="1:7" ht="16.5" customHeight="1">
      <c r="A51" s="775" t="s">
        <v>345</v>
      </c>
      <c r="B51" s="209" t="s">
        <v>105</v>
      </c>
      <c r="C51" s="231">
        <f ca="1">ROUND(C49*F50,0)</f>
        <v>32</v>
      </c>
      <c r="D51" s="231"/>
      <c r="E51" s="231"/>
      <c r="F51" s="263"/>
      <c r="G51" s="233" t="s">
        <v>37</v>
      </c>
    </row>
    <row r="52" spans="1:7" s="207" customFormat="1" ht="16.5" thickBot="1">
      <c r="A52" s="264" t="s">
        <v>38</v>
      </c>
      <c r="B52" s="265"/>
      <c r="C52" s="266">
        <f ca="1">C31+C51</f>
        <v>27809</v>
      </c>
      <c r="D52" s="265"/>
      <c r="E52" s="265"/>
      <c r="F52" s="265"/>
      <c r="G52" s="267"/>
    </row>
    <row r="55" spans="1:7" ht="15">
      <c r="B55" s="269" t="s">
        <v>39</v>
      </c>
      <c r="C55" s="270"/>
    </row>
    <row r="56" spans="1:7">
      <c r="B56" s="272" t="s">
        <v>40</v>
      </c>
      <c r="C56" s="273">
        <f ca="1">ROUND(C51/C52,3)</f>
        <v>1E-3</v>
      </c>
    </row>
    <row r="57" spans="1:7">
      <c r="B57" s="272" t="s">
        <v>41</v>
      </c>
      <c r="C57" s="274">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3" t="s">
        <v>2841</v>
      </c>
      <c r="B1" s="3843"/>
      <c r="C1" s="3843"/>
      <c r="D1" s="3843"/>
      <c r="E1" s="3843"/>
      <c r="F1" s="3843"/>
      <c r="G1" s="3844"/>
      <c r="I1" s="3216" t="s">
        <v>2842</v>
      </c>
      <c r="J1" s="3217" t="s">
        <v>2843</v>
      </c>
      <c r="K1" s="3217" t="s">
        <v>2844</v>
      </c>
      <c r="L1" s="3217" t="s">
        <v>2845</v>
      </c>
      <c r="M1" s="3217" t="s">
        <v>2846</v>
      </c>
      <c r="N1" s="3217" t="s">
        <v>2847</v>
      </c>
      <c r="O1" s="3217" t="s">
        <v>2848</v>
      </c>
      <c r="P1" s="3217" t="s">
        <v>2849</v>
      </c>
      <c r="Q1" s="3217" t="s">
        <v>2850</v>
      </c>
      <c r="R1" s="3217" t="s">
        <v>2851</v>
      </c>
      <c r="S1" s="3217" t="s">
        <v>2852</v>
      </c>
      <c r="T1" s="3218" t="s">
        <v>2853</v>
      </c>
    </row>
    <row r="2" spans="1:20" ht="12" thickBot="1">
      <c r="A2" s="3220" t="s">
        <v>2854</v>
      </c>
      <c r="B2" s="3220"/>
      <c r="C2" s="3220"/>
      <c r="D2" s="3220"/>
      <c r="E2" s="3220"/>
      <c r="F2" s="3220"/>
      <c r="G2" s="3221" t="s">
        <v>2855</v>
      </c>
      <c r="I2" s="3222" t="s">
        <v>2856</v>
      </c>
      <c r="J2" s="3222" t="s">
        <v>2857</v>
      </c>
      <c r="K2" s="3222" t="s">
        <v>2858</v>
      </c>
      <c r="L2" s="3222" t="s">
        <v>2859</v>
      </c>
      <c r="M2" s="3222" t="s">
        <v>2860</v>
      </c>
      <c r="N2" s="3222" t="s">
        <v>2861</v>
      </c>
      <c r="O2" s="3222" t="s">
        <v>2862</v>
      </c>
      <c r="P2" s="3222" t="s">
        <v>2863</v>
      </c>
      <c r="Q2" s="3222" t="s">
        <v>2864</v>
      </c>
      <c r="R2" s="3222" t="s">
        <v>2865</v>
      </c>
      <c r="S2" s="3222" t="s">
        <v>2866</v>
      </c>
      <c r="T2" s="3222" t="s">
        <v>2867</v>
      </c>
    </row>
    <row r="3" spans="1:20" s="3228" customFormat="1">
      <c r="A3" s="3841" t="s">
        <v>2868</v>
      </c>
      <c r="B3" s="3223"/>
      <c r="C3" s="3224" t="s">
        <v>2813</v>
      </c>
      <c r="D3" s="3224" t="s">
        <v>2869</v>
      </c>
      <c r="E3" s="3224" t="s">
        <v>2815</v>
      </c>
      <c r="F3" s="3224" t="s">
        <v>2870</v>
      </c>
      <c r="G3" s="3224" t="s">
        <v>2633</v>
      </c>
      <c r="H3" s="3225"/>
      <c r="I3" s="3226" t="s">
        <v>2871</v>
      </c>
      <c r="J3" s="3227" t="s">
        <v>128</v>
      </c>
      <c r="K3" s="3227" t="s">
        <v>129</v>
      </c>
      <c r="L3" s="3226" t="s">
        <v>130</v>
      </c>
      <c r="M3" s="3226" t="s">
        <v>131</v>
      </c>
      <c r="N3" s="3226" t="s">
        <v>132</v>
      </c>
      <c r="O3" s="3226" t="s">
        <v>133</v>
      </c>
      <c r="P3" s="3226" t="s">
        <v>134</v>
      </c>
      <c r="Q3" s="3226" t="s">
        <v>135</v>
      </c>
      <c r="R3" s="3226" t="s">
        <v>136</v>
      </c>
      <c r="S3" s="3226" t="s">
        <v>2872</v>
      </c>
      <c r="T3" s="3226" t="s">
        <v>2873</v>
      </c>
    </row>
    <row r="4" spans="1:20" s="3228" customFormat="1" ht="12" thickBot="1">
      <c r="A4" s="3842"/>
      <c r="B4" s="3229" t="s">
        <v>2874</v>
      </c>
      <c r="C4" s="3229" t="s">
        <v>2875</v>
      </c>
      <c r="D4" s="3229" t="s">
        <v>2875</v>
      </c>
      <c r="E4" s="3229" t="s">
        <v>2875</v>
      </c>
      <c r="F4" s="3230" t="s">
        <v>2875</v>
      </c>
      <c r="G4" s="3230" t="s">
        <v>2875</v>
      </c>
      <c r="H4" s="3225"/>
      <c r="I4" s="3227" t="s">
        <v>137</v>
      </c>
      <c r="J4" s="3227" t="s">
        <v>111</v>
      </c>
      <c r="K4" s="3227" t="s">
        <v>138</v>
      </c>
      <c r="L4" s="3226" t="s">
        <v>139</v>
      </c>
      <c r="M4" s="3226" t="s">
        <v>140</v>
      </c>
      <c r="N4" s="3226" t="s">
        <v>141</v>
      </c>
      <c r="O4" s="3226" t="s">
        <v>142</v>
      </c>
      <c r="P4" s="3226" t="s">
        <v>143</v>
      </c>
      <c r="Q4" s="3226" t="s">
        <v>2876</v>
      </c>
      <c r="R4" s="3226" t="s">
        <v>2877</v>
      </c>
      <c r="S4" s="3226" t="s">
        <v>2878</v>
      </c>
      <c r="T4" s="3226" t="s">
        <v>2879</v>
      </c>
    </row>
    <row r="5" spans="1:20">
      <c r="A5" s="3231" t="s">
        <v>2842</v>
      </c>
      <c r="B5" s="3222" t="s">
        <v>2856</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2880</v>
      </c>
      <c r="R5" s="3226" t="s">
        <v>2881</v>
      </c>
      <c r="S5" s="3226" t="s">
        <v>153</v>
      </c>
      <c r="T5" s="3226" t="s">
        <v>2882</v>
      </c>
    </row>
    <row r="6" spans="1:20" ht="12" thickBot="1">
      <c r="A6" s="3226" t="s">
        <v>144</v>
      </c>
      <c r="B6" s="3226" t="s">
        <v>2871</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2883</v>
      </c>
      <c r="Q6" s="3226" t="s">
        <v>2884</v>
      </c>
      <c r="R6" s="3226" t="s">
        <v>161</v>
      </c>
      <c r="S6" s="3226" t="s">
        <v>2885</v>
      </c>
      <c r="T6" s="3226" t="s">
        <v>2886</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2887</v>
      </c>
      <c r="Q7" s="3226" t="s">
        <v>2888</v>
      </c>
      <c r="R7" s="3226" t="s">
        <v>2889</v>
      </c>
      <c r="S7" s="3226" t="s">
        <v>2890</v>
      </c>
      <c r="T7" s="3226" t="s">
        <v>2891</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2892</v>
      </c>
      <c r="Q8" s="3226" t="s">
        <v>174</v>
      </c>
      <c r="R8" s="3226" t="s">
        <v>2893</v>
      </c>
      <c r="S8" s="3226" t="s">
        <v>2894</v>
      </c>
      <c r="T8" s="3233" t="s">
        <v>2895</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2896</v>
      </c>
      <c r="Q9" s="3226" t="s">
        <v>182</v>
      </c>
      <c r="R9" s="3226" t="s">
        <v>183</v>
      </c>
      <c r="S9" s="3226" t="s">
        <v>200</v>
      </c>
    </row>
    <row r="10" spans="1:20">
      <c r="A10" s="3231" t="s">
        <v>184</v>
      </c>
      <c r="B10" s="3222" t="s">
        <v>2857</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2897</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2898</v>
      </c>
      <c r="P11" s="3226" t="s">
        <v>191</v>
      </c>
      <c r="Q11" s="3226" t="s">
        <v>199</v>
      </c>
      <c r="R11" s="3226" t="s">
        <v>2899</v>
      </c>
      <c r="S11" s="3226" t="s">
        <v>2900</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2901</v>
      </c>
      <c r="P12" s="3226" t="s">
        <v>2902</v>
      </c>
      <c r="Q12" s="3226" t="s">
        <v>2903</v>
      </c>
      <c r="R12" s="3226" t="s">
        <v>2904</v>
      </c>
      <c r="S12" s="3226" t="s">
        <v>2905</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2906</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2907</v>
      </c>
      <c r="K14" s="3227" t="s">
        <v>215</v>
      </c>
      <c r="L14" s="3226" t="s">
        <v>216</v>
      </c>
      <c r="M14" s="3226" t="s">
        <v>217</v>
      </c>
      <c r="N14" s="3226" t="s">
        <v>218</v>
      </c>
      <c r="O14" s="3226" t="s">
        <v>240</v>
      </c>
      <c r="P14" s="3226" t="s">
        <v>213</v>
      </c>
      <c r="Q14" s="3226" t="s">
        <v>2908</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2909</v>
      </c>
      <c r="P15" s="3226" t="s">
        <v>2910</v>
      </c>
      <c r="Q15" s="3226" t="s">
        <v>242</v>
      </c>
      <c r="R15" s="3226" t="s">
        <v>2911</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2912</v>
      </c>
      <c r="P16" s="3226" t="s">
        <v>227</v>
      </c>
      <c r="Q16" s="3226" t="s">
        <v>250</v>
      </c>
      <c r="R16" s="3226" t="s">
        <v>207</v>
      </c>
      <c r="S16" s="3226" t="s">
        <v>2913</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2914</v>
      </c>
      <c r="P17" s="3226" t="s">
        <v>2915</v>
      </c>
      <c r="Q17" s="3226" t="s">
        <v>256</v>
      </c>
      <c r="R17" s="3226" t="s">
        <v>2916</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2917</v>
      </c>
      <c r="P18" s="3226" t="s">
        <v>241</v>
      </c>
      <c r="Q18" s="3226" t="s">
        <v>2918</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2919</v>
      </c>
      <c r="P19" s="3226" t="s">
        <v>249</v>
      </c>
      <c r="Q19" s="3226" t="s">
        <v>2920</v>
      </c>
      <c r="R19" s="3226" t="s">
        <v>265</v>
      </c>
      <c r="S19" s="3226" t="s">
        <v>2921</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2922</v>
      </c>
      <c r="P20" s="3226" t="s">
        <v>2923</v>
      </c>
      <c r="Q20" s="3226" t="s">
        <v>290</v>
      </c>
      <c r="R20" s="3226" t="s">
        <v>2924</v>
      </c>
      <c r="S20" s="3226" t="s">
        <v>277</v>
      </c>
    </row>
    <row r="21" spans="1:19" ht="14.25" customHeight="1" thickBot="1">
      <c r="A21" s="3226" t="s">
        <v>184</v>
      </c>
      <c r="B21" s="3227" t="s">
        <v>208</v>
      </c>
      <c r="C21" s="3226">
        <v>32370</v>
      </c>
      <c r="D21" s="3226">
        <v>26730</v>
      </c>
      <c r="E21" s="3226">
        <v>26640</v>
      </c>
      <c r="F21" s="3226"/>
      <c r="G21" s="3226">
        <v>19440</v>
      </c>
      <c r="J21" s="3233" t="s">
        <v>2925</v>
      </c>
      <c r="K21" s="3227" t="s">
        <v>267</v>
      </c>
      <c r="L21" s="3226" t="s">
        <v>268</v>
      </c>
      <c r="M21" s="3226" t="s">
        <v>269</v>
      </c>
      <c r="N21" s="3226" t="s">
        <v>270</v>
      </c>
      <c r="O21" s="3226" t="s">
        <v>264</v>
      </c>
      <c r="P21" s="3226" t="s">
        <v>283</v>
      </c>
      <c r="Q21" s="3226" t="s">
        <v>293</v>
      </c>
      <c r="R21" s="3226" t="s">
        <v>2926</v>
      </c>
      <c r="S21" s="3233" t="s">
        <v>2927</v>
      </c>
    </row>
    <row r="22" spans="1:19" ht="14.25" customHeight="1">
      <c r="A22" s="3226" t="s">
        <v>184</v>
      </c>
      <c r="B22" s="3227" t="s">
        <v>2907</v>
      </c>
      <c r="C22" s="3226">
        <v>29830</v>
      </c>
      <c r="D22" s="3226">
        <v>27600</v>
      </c>
      <c r="E22" s="3226">
        <v>28150</v>
      </c>
      <c r="F22" s="3226"/>
      <c r="G22" s="3226">
        <v>20080</v>
      </c>
      <c r="K22" s="3227" t="s">
        <v>2928</v>
      </c>
      <c r="L22" s="3226" t="s">
        <v>272</v>
      </c>
      <c r="M22" s="3226" t="s">
        <v>273</v>
      </c>
      <c r="N22" s="3226" t="s">
        <v>274</v>
      </c>
      <c r="O22" s="3226" t="s">
        <v>2929</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2930</v>
      </c>
      <c r="L23" s="3226" t="s">
        <v>278</v>
      </c>
      <c r="M23" s="3226" t="s">
        <v>279</v>
      </c>
      <c r="N23" s="3226" t="s">
        <v>2931</v>
      </c>
      <c r="O23" s="3226" t="s">
        <v>2932</v>
      </c>
      <c r="P23" s="3226" t="s">
        <v>289</v>
      </c>
      <c r="Q23" s="3226" t="s">
        <v>298</v>
      </c>
      <c r="R23" s="3226" t="s">
        <v>2933</v>
      </c>
    </row>
    <row r="24" spans="1:19" ht="14.25" customHeight="1">
      <c r="A24" s="3226" t="s">
        <v>184</v>
      </c>
      <c r="B24" s="3227" t="s">
        <v>230</v>
      </c>
      <c r="C24" s="3226">
        <v>27930</v>
      </c>
      <c r="D24" s="3226">
        <v>32260</v>
      </c>
      <c r="E24" s="3226">
        <v>32120</v>
      </c>
      <c r="F24" s="3226"/>
      <c r="G24" s="3226">
        <v>23470</v>
      </c>
      <c r="K24" s="3227" t="s">
        <v>2934</v>
      </c>
      <c r="L24" s="3226" t="s">
        <v>281</v>
      </c>
      <c r="M24" s="3226" t="s">
        <v>282</v>
      </c>
      <c r="N24" s="3226" t="s">
        <v>2935</v>
      </c>
      <c r="O24" s="3226" t="s">
        <v>285</v>
      </c>
      <c r="P24" s="3226" t="s">
        <v>2936</v>
      </c>
      <c r="Q24" s="3235" t="s">
        <v>2937</v>
      </c>
      <c r="R24" s="3226" t="s">
        <v>2938</v>
      </c>
    </row>
    <row r="25" spans="1:19" ht="14.25" customHeight="1">
      <c r="A25" s="3226" t="s">
        <v>184</v>
      </c>
      <c r="B25" s="3227" t="s">
        <v>235</v>
      </c>
      <c r="C25" s="3226">
        <v>32230</v>
      </c>
      <c r="D25" s="3226">
        <v>29640</v>
      </c>
      <c r="E25" s="3226">
        <v>29510</v>
      </c>
      <c r="F25" s="3226"/>
      <c r="G25" s="3226">
        <v>21560</v>
      </c>
      <c r="K25" s="3227" t="s">
        <v>2939</v>
      </c>
      <c r="L25" s="3226" t="s">
        <v>2940</v>
      </c>
      <c r="M25" s="3226" t="s">
        <v>284</v>
      </c>
      <c r="N25" s="3226" t="s">
        <v>292</v>
      </c>
      <c r="O25" s="3226" t="s">
        <v>288</v>
      </c>
      <c r="P25" s="3226" t="s">
        <v>275</v>
      </c>
      <c r="Q25" s="3235" t="s">
        <v>271</v>
      </c>
      <c r="R25" s="3226" t="s">
        <v>2941</v>
      </c>
    </row>
    <row r="26" spans="1:19" ht="14.25" customHeight="1" thickBot="1">
      <c r="A26" s="3226" t="s">
        <v>184</v>
      </c>
      <c r="B26" s="3227" t="s">
        <v>244</v>
      </c>
      <c r="C26" s="3226">
        <v>31690</v>
      </c>
      <c r="D26" s="3226">
        <v>27650</v>
      </c>
      <c r="E26" s="3226">
        <v>28200</v>
      </c>
      <c r="F26" s="3226"/>
      <c r="G26" s="3226">
        <v>20110</v>
      </c>
      <c r="K26" s="3232" t="s">
        <v>2942</v>
      </c>
      <c r="L26" s="3226" t="s">
        <v>2943</v>
      </c>
      <c r="M26" s="3226" t="s">
        <v>287</v>
      </c>
      <c r="N26" s="3226" t="s">
        <v>294</v>
      </c>
      <c r="O26" s="3226" t="s">
        <v>2944</v>
      </c>
      <c r="P26" s="3226" t="s">
        <v>2945</v>
      </c>
      <c r="Q26" s="3235" t="s">
        <v>276</v>
      </c>
      <c r="R26" s="3226" t="s">
        <v>2946</v>
      </c>
    </row>
    <row r="27" spans="1:19" ht="14.25" customHeight="1">
      <c r="A27" s="3226" t="s">
        <v>184</v>
      </c>
      <c r="B27" s="3227" t="s">
        <v>251</v>
      </c>
      <c r="C27" s="3226">
        <v>29610</v>
      </c>
      <c r="D27" s="3226">
        <v>27770</v>
      </c>
      <c r="E27" s="3226">
        <v>28300</v>
      </c>
      <c r="F27" s="3226"/>
      <c r="G27" s="3226">
        <v>20210</v>
      </c>
      <c r="L27" s="3226" t="s">
        <v>2947</v>
      </c>
      <c r="M27" s="3226" t="s">
        <v>291</v>
      </c>
      <c r="N27" s="3226" t="s">
        <v>297</v>
      </c>
      <c r="O27" s="3226" t="s">
        <v>2948</v>
      </c>
      <c r="P27" s="3226" t="s">
        <v>2949</v>
      </c>
      <c r="Q27" s="3226" t="s">
        <v>2950</v>
      </c>
      <c r="R27" s="3226" t="s">
        <v>2951</v>
      </c>
    </row>
    <row r="28" spans="1:19" ht="14.25" customHeight="1">
      <c r="A28" s="3226" t="s">
        <v>184</v>
      </c>
      <c r="B28" s="3227" t="s">
        <v>259</v>
      </c>
      <c r="C28" s="3226"/>
      <c r="D28" s="3226">
        <v>31520</v>
      </c>
      <c r="E28" s="3226">
        <v>31410</v>
      </c>
      <c r="F28" s="3226"/>
      <c r="G28" s="3226">
        <v>22940</v>
      </c>
      <c r="L28" s="3226" t="s">
        <v>2952</v>
      </c>
      <c r="M28" s="3226" t="s">
        <v>2953</v>
      </c>
      <c r="N28" s="3226" t="s">
        <v>2954</v>
      </c>
      <c r="O28" s="3226" t="s">
        <v>2955</v>
      </c>
      <c r="P28" s="3226" t="s">
        <v>2956</v>
      </c>
      <c r="Q28" s="3226" t="s">
        <v>2957</v>
      </c>
      <c r="R28" s="3226" t="s">
        <v>2958</v>
      </c>
    </row>
    <row r="29" spans="1:19" ht="14.25" customHeight="1" thickBot="1">
      <c r="A29" s="3234" t="s">
        <v>184</v>
      </c>
      <c r="B29" s="3236" t="s">
        <v>2925</v>
      </c>
      <c r="C29" s="3237"/>
      <c r="D29" s="3237">
        <v>29460</v>
      </c>
      <c r="E29" s="3237">
        <v>28640</v>
      </c>
      <c r="F29" s="3237"/>
      <c r="G29" s="3237">
        <v>21430</v>
      </c>
      <c r="L29" s="3226" t="s">
        <v>2959</v>
      </c>
      <c r="M29" s="3226" t="s">
        <v>2960</v>
      </c>
      <c r="N29" s="3226" t="s">
        <v>2961</v>
      </c>
      <c r="O29" s="3226" t="s">
        <v>2962</v>
      </c>
      <c r="P29" s="3226" t="s">
        <v>2963</v>
      </c>
      <c r="Q29" s="3226" t="s">
        <v>2964</v>
      </c>
      <c r="R29" s="3226" t="s">
        <v>280</v>
      </c>
    </row>
    <row r="30" spans="1:19" ht="14.25" customHeight="1">
      <c r="A30" s="3231" t="s">
        <v>296</v>
      </c>
      <c r="B30" s="3222" t="s">
        <v>2858</v>
      </c>
      <c r="C30" s="3222">
        <v>26890</v>
      </c>
      <c r="D30" s="3222">
        <v>26770</v>
      </c>
      <c r="E30" s="3222">
        <v>25700</v>
      </c>
      <c r="F30" s="3222">
        <v>8180</v>
      </c>
      <c r="G30" s="3238">
        <v>18740</v>
      </c>
      <c r="L30" s="3226" t="s">
        <v>2965</v>
      </c>
      <c r="M30" s="3226" t="s">
        <v>2966</v>
      </c>
      <c r="N30" s="3226" t="s">
        <v>2967</v>
      </c>
      <c r="O30" s="3226" t="s">
        <v>2968</v>
      </c>
      <c r="P30" s="3226" t="s">
        <v>2969</v>
      </c>
      <c r="Q30" s="3226" t="s">
        <v>2970</v>
      </c>
      <c r="R30" s="3226" t="s">
        <v>2971</v>
      </c>
    </row>
    <row r="31" spans="1:19" ht="14.25" customHeight="1">
      <c r="A31" s="3226" t="s">
        <v>296</v>
      </c>
      <c r="B31" s="3227" t="s">
        <v>129</v>
      </c>
      <c r="C31" s="3226">
        <v>24550</v>
      </c>
      <c r="D31" s="3226">
        <v>23990</v>
      </c>
      <c r="E31" s="3226">
        <v>22930</v>
      </c>
      <c r="F31" s="3226">
        <v>7470</v>
      </c>
      <c r="G31" s="3239">
        <v>16790</v>
      </c>
      <c r="L31" s="3226" t="s">
        <v>2972</v>
      </c>
      <c r="M31" s="3226" t="s">
        <v>2973</v>
      </c>
      <c r="N31" s="3226" t="s">
        <v>2974</v>
      </c>
      <c r="O31" s="3226" t="s">
        <v>2975</v>
      </c>
      <c r="P31" s="3226" t="s">
        <v>2976</v>
      </c>
      <c r="Q31" s="3226" t="s">
        <v>2977</v>
      </c>
      <c r="R31" s="3226" t="s">
        <v>2978</v>
      </c>
    </row>
    <row r="32" spans="1:19" ht="14.25" customHeight="1" thickBot="1">
      <c r="A32" s="3226" t="s">
        <v>296</v>
      </c>
      <c r="B32" s="3227" t="s">
        <v>138</v>
      </c>
      <c r="C32" s="3226">
        <v>27210</v>
      </c>
      <c r="D32" s="3226">
        <v>23240</v>
      </c>
      <c r="E32" s="3226">
        <v>23260</v>
      </c>
      <c r="F32" s="3226">
        <v>7130</v>
      </c>
      <c r="G32" s="3239">
        <v>16270</v>
      </c>
      <c r="L32" s="3226" t="s">
        <v>2979</v>
      </c>
      <c r="M32" s="3226" t="s">
        <v>2980</v>
      </c>
      <c r="N32" s="3226" t="s">
        <v>300</v>
      </c>
      <c r="O32" s="3226" t="s">
        <v>2981</v>
      </c>
      <c r="P32" s="3226" t="s">
        <v>299</v>
      </c>
      <c r="Q32" s="3226" t="s">
        <v>2982</v>
      </c>
      <c r="R32" s="3233" t="s">
        <v>2983</v>
      </c>
    </row>
    <row r="33" spans="1:17" ht="14.25" customHeight="1" thickBot="1">
      <c r="A33" s="3226" t="s">
        <v>296</v>
      </c>
      <c r="B33" s="3227" t="s">
        <v>147</v>
      </c>
      <c r="C33" s="3226">
        <v>27300</v>
      </c>
      <c r="D33" s="3226">
        <v>22980</v>
      </c>
      <c r="E33" s="3226">
        <v>24260</v>
      </c>
      <c r="F33" s="3226">
        <v>5860</v>
      </c>
      <c r="G33" s="3239">
        <v>16090</v>
      </c>
      <c r="L33" s="3233" t="s">
        <v>2984</v>
      </c>
      <c r="M33" s="3226" t="s">
        <v>2985</v>
      </c>
      <c r="N33" s="3226" t="s">
        <v>301</v>
      </c>
      <c r="O33" s="3226" t="s">
        <v>2986</v>
      </c>
      <c r="P33" s="3226" t="s">
        <v>2987</v>
      </c>
      <c r="Q33" s="3226" t="s">
        <v>2988</v>
      </c>
    </row>
    <row r="34" spans="1:17" ht="14.25" customHeight="1">
      <c r="A34" s="3226" t="s">
        <v>296</v>
      </c>
      <c r="B34" s="3227" t="s">
        <v>156</v>
      </c>
      <c r="C34" s="3226">
        <v>23090</v>
      </c>
      <c r="D34" s="3226">
        <v>23390</v>
      </c>
      <c r="E34" s="3226">
        <v>23510</v>
      </c>
      <c r="F34" s="3226">
        <v>6700</v>
      </c>
      <c r="G34" s="3239">
        <v>16370</v>
      </c>
      <c r="M34" s="3226" t="s">
        <v>2989</v>
      </c>
      <c r="N34" s="3226" t="s">
        <v>302</v>
      </c>
      <c r="O34" s="3226" t="s">
        <v>2990</v>
      </c>
      <c r="P34" s="3226" t="s">
        <v>2991</v>
      </c>
      <c r="Q34" s="3226" t="s">
        <v>2992</v>
      </c>
    </row>
    <row r="35" spans="1:17" ht="14.25" customHeight="1">
      <c r="A35" s="3226" t="s">
        <v>296</v>
      </c>
      <c r="B35" s="3227" t="s">
        <v>163</v>
      </c>
      <c r="C35" s="3226">
        <v>27270</v>
      </c>
      <c r="D35" s="3226">
        <v>24270</v>
      </c>
      <c r="E35" s="3226">
        <v>24950</v>
      </c>
      <c r="F35" s="3226">
        <v>6600</v>
      </c>
      <c r="G35" s="3239">
        <v>16990</v>
      </c>
      <c r="M35" s="3226" t="s">
        <v>2993</v>
      </c>
      <c r="N35" s="3226" t="s">
        <v>2994</v>
      </c>
      <c r="O35" s="3226" t="s">
        <v>2995</v>
      </c>
      <c r="P35" s="3226" t="s">
        <v>2996</v>
      </c>
      <c r="Q35" s="3226" t="s">
        <v>2997</v>
      </c>
    </row>
    <row r="36" spans="1:17" ht="14.25" customHeight="1">
      <c r="A36" s="3226" t="s">
        <v>296</v>
      </c>
      <c r="B36" s="3227" t="s">
        <v>169</v>
      </c>
      <c r="C36" s="3226">
        <v>23490</v>
      </c>
      <c r="D36" s="3226">
        <v>23020</v>
      </c>
      <c r="E36" s="3226">
        <v>25230</v>
      </c>
      <c r="F36" s="3226">
        <v>6780</v>
      </c>
      <c r="G36" s="3239">
        <v>16120</v>
      </c>
      <c r="M36" s="3226" t="s">
        <v>2998</v>
      </c>
      <c r="N36" s="3226" t="s">
        <v>2999</v>
      </c>
      <c r="O36" s="3226" t="s">
        <v>3000</v>
      </c>
      <c r="P36" s="3226" t="s">
        <v>3001</v>
      </c>
      <c r="Q36" s="3226" t="s">
        <v>3002</v>
      </c>
    </row>
    <row r="37" spans="1:17" ht="14.25" customHeight="1">
      <c r="A37" s="3226" t="s">
        <v>296</v>
      </c>
      <c r="B37" s="3227" t="s">
        <v>176</v>
      </c>
      <c r="C37" s="3226">
        <v>24380</v>
      </c>
      <c r="D37" s="3226">
        <v>22240</v>
      </c>
      <c r="E37" s="3226">
        <v>25980</v>
      </c>
      <c r="F37" s="3226">
        <v>8160</v>
      </c>
      <c r="G37" s="3239">
        <v>15570</v>
      </c>
      <c r="M37" s="3226" t="s">
        <v>3003</v>
      </c>
      <c r="N37" s="3226" t="s">
        <v>3004</v>
      </c>
      <c r="O37" s="3226" t="s">
        <v>3005</v>
      </c>
      <c r="P37" s="3226" t="s">
        <v>3006</v>
      </c>
      <c r="Q37" s="3226" t="s">
        <v>3007</v>
      </c>
    </row>
    <row r="38" spans="1:17" ht="14.25" customHeight="1">
      <c r="A38" s="3226" t="s">
        <v>296</v>
      </c>
      <c r="B38" s="3227" t="s">
        <v>186</v>
      </c>
      <c r="C38" s="3226">
        <v>23120</v>
      </c>
      <c r="D38" s="3226">
        <v>24630</v>
      </c>
      <c r="E38" s="3226">
        <v>25030</v>
      </c>
      <c r="F38" s="3226">
        <v>7710</v>
      </c>
      <c r="G38" s="3239">
        <v>17240</v>
      </c>
      <c r="M38" s="3226" t="s">
        <v>3008</v>
      </c>
      <c r="N38" s="3226" t="s">
        <v>3009</v>
      </c>
      <c r="O38" s="3226" t="s">
        <v>3010</v>
      </c>
      <c r="P38" s="3226" t="s">
        <v>3011</v>
      </c>
      <c r="Q38" s="3226" t="s">
        <v>3012</v>
      </c>
    </row>
    <row r="39" spans="1:17" ht="14.25" customHeight="1">
      <c r="A39" s="3226" t="s">
        <v>296</v>
      </c>
      <c r="B39" s="3227" t="s">
        <v>195</v>
      </c>
      <c r="C39" s="3226">
        <v>22330</v>
      </c>
      <c r="D39" s="3226">
        <v>21140</v>
      </c>
      <c r="E39" s="3226">
        <v>23970</v>
      </c>
      <c r="F39" s="3226">
        <v>7940</v>
      </c>
      <c r="G39" s="3239">
        <v>14790</v>
      </c>
      <c r="M39" s="3226" t="s">
        <v>3013</v>
      </c>
      <c r="N39" s="3226" t="s">
        <v>3014</v>
      </c>
      <c r="O39" s="3226" t="s">
        <v>3015</v>
      </c>
      <c r="P39" s="3226" t="s">
        <v>3016</v>
      </c>
      <c r="Q39" s="3226" t="s">
        <v>3017</v>
      </c>
    </row>
    <row r="40" spans="1:17" ht="14.25" customHeight="1">
      <c r="A40" s="3226" t="s">
        <v>296</v>
      </c>
      <c r="B40" s="3227" t="s">
        <v>202</v>
      </c>
      <c r="C40" s="3226">
        <v>24740</v>
      </c>
      <c r="D40" s="3226">
        <v>24690</v>
      </c>
      <c r="E40" s="3226">
        <v>22610</v>
      </c>
      <c r="F40" s="3226"/>
      <c r="G40" s="3239">
        <v>17280</v>
      </c>
      <c r="M40" s="3226" t="s">
        <v>3018</v>
      </c>
      <c r="N40" s="3226" t="s">
        <v>3019</v>
      </c>
      <c r="O40" s="3226" t="s">
        <v>3020</v>
      </c>
      <c r="P40" s="3226" t="s">
        <v>3021</v>
      </c>
      <c r="Q40" s="3226" t="s">
        <v>3022</v>
      </c>
    </row>
    <row r="41" spans="1:17" ht="14.25" customHeight="1" thickBot="1">
      <c r="A41" s="3226" t="s">
        <v>296</v>
      </c>
      <c r="B41" s="3227" t="s">
        <v>209</v>
      </c>
      <c r="C41" s="3226">
        <v>21220</v>
      </c>
      <c r="D41" s="3226">
        <v>21120</v>
      </c>
      <c r="E41" s="3226">
        <v>22590</v>
      </c>
      <c r="F41" s="3226"/>
      <c r="G41" s="3239">
        <v>14780</v>
      </c>
      <c r="M41" s="3233" t="s">
        <v>3023</v>
      </c>
      <c r="N41" s="3226" t="s">
        <v>3024</v>
      </c>
      <c r="O41" s="3226" t="s">
        <v>3025</v>
      </c>
      <c r="P41" s="3226" t="s">
        <v>3026</v>
      </c>
      <c r="Q41" s="3226" t="s">
        <v>3027</v>
      </c>
    </row>
    <row r="42" spans="1:17" ht="14.25" customHeight="1">
      <c r="A42" s="3226" t="s">
        <v>296</v>
      </c>
      <c r="B42" s="3227" t="s">
        <v>215</v>
      </c>
      <c r="C42" s="3226">
        <v>24800</v>
      </c>
      <c r="D42" s="3226">
        <v>22280</v>
      </c>
      <c r="E42" s="3226">
        <v>24350</v>
      </c>
      <c r="F42" s="3226"/>
      <c r="G42" s="3239">
        <v>15590</v>
      </c>
      <c r="N42" s="3226" t="s">
        <v>3028</v>
      </c>
      <c r="O42" s="3226" t="s">
        <v>3029</v>
      </c>
      <c r="P42" s="3226" t="s">
        <v>3030</v>
      </c>
      <c r="Q42" s="3226" t="s">
        <v>3031</v>
      </c>
    </row>
    <row r="43" spans="1:17" ht="14.25" customHeight="1">
      <c r="A43" s="3226" t="s">
        <v>3032</v>
      </c>
      <c r="B43" s="3227" t="s">
        <v>223</v>
      </c>
      <c r="C43" s="3226">
        <v>21210</v>
      </c>
      <c r="D43" s="3226">
        <v>21160</v>
      </c>
      <c r="E43" s="3226">
        <v>22650</v>
      </c>
      <c r="F43" s="3226"/>
      <c r="G43" s="3239">
        <v>14800</v>
      </c>
      <c r="N43" s="3226" t="s">
        <v>3033</v>
      </c>
      <c r="O43" s="3226" t="s">
        <v>3034</v>
      </c>
      <c r="P43" s="3226" t="s">
        <v>3035</v>
      </c>
      <c r="Q43" s="3226" t="s">
        <v>3036</v>
      </c>
    </row>
    <row r="44" spans="1:17" ht="14.25" customHeight="1" thickBot="1">
      <c r="A44" s="3226" t="s">
        <v>296</v>
      </c>
      <c r="B44" s="3227" t="s">
        <v>231</v>
      </c>
      <c r="C44" s="3226">
        <v>22370</v>
      </c>
      <c r="D44" s="3226">
        <v>23140</v>
      </c>
      <c r="E44" s="3226">
        <v>25090</v>
      </c>
      <c r="F44" s="3226"/>
      <c r="G44" s="3239">
        <v>16190</v>
      </c>
      <c r="N44" s="3226" t="s">
        <v>3037</v>
      </c>
      <c r="O44" s="3226" t="s">
        <v>3038</v>
      </c>
      <c r="P44" s="3233" t="s">
        <v>3039</v>
      </c>
      <c r="Q44" s="3226" t="s">
        <v>3040</v>
      </c>
    </row>
    <row r="45" spans="1:17" ht="14.25" customHeight="1" thickBot="1">
      <c r="A45" s="3226" t="s">
        <v>296</v>
      </c>
      <c r="B45" s="3227" t="s">
        <v>236</v>
      </c>
      <c r="C45" s="3226">
        <v>21240</v>
      </c>
      <c r="D45" s="3226">
        <v>27050</v>
      </c>
      <c r="E45" s="3226">
        <v>28000</v>
      </c>
      <c r="F45" s="3226"/>
      <c r="G45" s="3239">
        <v>18940</v>
      </c>
      <c r="N45" s="3226" t="s">
        <v>3041</v>
      </c>
      <c r="O45" s="3233" t="s">
        <v>3042</v>
      </c>
      <c r="Q45" s="3226" t="s">
        <v>3043</v>
      </c>
    </row>
    <row r="46" spans="1:17" ht="14.25" customHeight="1">
      <c r="A46" s="3226" t="s">
        <v>296</v>
      </c>
      <c r="B46" s="3227" t="s">
        <v>245</v>
      </c>
      <c r="C46" s="3226">
        <v>23240</v>
      </c>
      <c r="D46" s="3226">
        <v>23000</v>
      </c>
      <c r="E46" s="3226">
        <v>24980</v>
      </c>
      <c r="F46" s="3226"/>
      <c r="G46" s="3239">
        <v>16100</v>
      </c>
      <c r="N46" s="3226" t="s">
        <v>3044</v>
      </c>
      <c r="Q46" s="3226" t="s">
        <v>3045</v>
      </c>
    </row>
    <row r="47" spans="1:17" ht="14.25" customHeight="1">
      <c r="A47" s="3226" t="s">
        <v>296</v>
      </c>
      <c r="B47" s="3227" t="s">
        <v>252</v>
      </c>
      <c r="C47" s="3226">
        <v>27150</v>
      </c>
      <c r="D47" s="3226">
        <v>23310</v>
      </c>
      <c r="E47" s="3226">
        <v>25150</v>
      </c>
      <c r="F47" s="3226"/>
      <c r="G47" s="3239">
        <v>16310</v>
      </c>
      <c r="N47" s="3226" t="s">
        <v>3046</v>
      </c>
      <c r="Q47" s="3226" t="s">
        <v>3047</v>
      </c>
    </row>
    <row r="48" spans="1:17" ht="14.25" customHeight="1">
      <c r="A48" s="3226" t="s">
        <v>296</v>
      </c>
      <c r="B48" s="3227" t="s">
        <v>260</v>
      </c>
      <c r="C48" s="3226">
        <v>23100</v>
      </c>
      <c r="D48" s="3226">
        <v>21110</v>
      </c>
      <c r="E48" s="3226">
        <v>23080</v>
      </c>
      <c r="F48" s="3226"/>
      <c r="G48" s="3239">
        <v>14780</v>
      </c>
      <c r="N48" s="3226" t="s">
        <v>3048</v>
      </c>
      <c r="Q48" s="3226" t="s">
        <v>3049</v>
      </c>
    </row>
    <row r="49" spans="1:17" ht="14.25" customHeight="1">
      <c r="A49" s="3226" t="s">
        <v>296</v>
      </c>
      <c r="B49" s="3227" t="s">
        <v>267</v>
      </c>
      <c r="C49" s="3226">
        <v>23400</v>
      </c>
      <c r="D49" s="3226">
        <v>22920</v>
      </c>
      <c r="E49" s="3226">
        <v>24900</v>
      </c>
      <c r="F49" s="3226"/>
      <c r="G49" s="3239">
        <v>16040</v>
      </c>
      <c r="N49" s="3226" t="s">
        <v>3050</v>
      </c>
      <c r="Q49" s="3226" t="s">
        <v>3051</v>
      </c>
    </row>
    <row r="50" spans="1:17" ht="14.25" customHeight="1">
      <c r="A50" s="3226" t="s">
        <v>296</v>
      </c>
      <c r="B50" s="3227" t="s">
        <v>2928</v>
      </c>
      <c r="C50" s="3226">
        <v>21200</v>
      </c>
      <c r="D50" s="3226">
        <v>26540</v>
      </c>
      <c r="E50" s="3226">
        <v>23200</v>
      </c>
      <c r="F50" s="3226"/>
      <c r="G50" s="3239">
        <v>18580</v>
      </c>
      <c r="N50" s="3226" t="s">
        <v>3052</v>
      </c>
      <c r="Q50" s="3227" t="s">
        <v>3053</v>
      </c>
    </row>
    <row r="51" spans="1:17" ht="14.25" customHeight="1" thickBot="1">
      <c r="A51" s="3226" t="s">
        <v>296</v>
      </c>
      <c r="B51" s="3227" t="s">
        <v>2930</v>
      </c>
      <c r="C51" s="3226">
        <v>23000</v>
      </c>
      <c r="D51" s="3226">
        <v>23460</v>
      </c>
      <c r="E51" s="3226">
        <v>25290</v>
      </c>
      <c r="F51" s="3226"/>
      <c r="G51" s="3239">
        <v>16420</v>
      </c>
      <c r="N51" s="3226" t="s">
        <v>3054</v>
      </c>
      <c r="Q51" s="3233" t="s">
        <v>3055</v>
      </c>
    </row>
    <row r="52" spans="1:17" ht="14.25" customHeight="1">
      <c r="A52" s="3226" t="s">
        <v>296</v>
      </c>
      <c r="B52" s="3227" t="s">
        <v>2934</v>
      </c>
      <c r="C52" s="3226">
        <v>26660</v>
      </c>
      <c r="D52" s="3226">
        <v>22350</v>
      </c>
      <c r="E52" s="3226">
        <v>22920</v>
      </c>
      <c r="F52" s="3226"/>
      <c r="G52" s="3239">
        <v>15640</v>
      </c>
      <c r="N52" s="3226" t="s">
        <v>3056</v>
      </c>
    </row>
    <row r="53" spans="1:17" ht="14.25" customHeight="1">
      <c r="A53" s="3226" t="s">
        <v>296</v>
      </c>
      <c r="B53" s="3227" t="s">
        <v>2939</v>
      </c>
      <c r="C53" s="3226">
        <v>23580</v>
      </c>
      <c r="D53" s="3226"/>
      <c r="E53" s="3226">
        <v>24280</v>
      </c>
      <c r="F53" s="3226"/>
      <c r="G53" s="3239"/>
      <c r="N53" s="3226" t="s">
        <v>3057</v>
      </c>
    </row>
    <row r="54" spans="1:17" ht="14.25" customHeight="1" thickBot="1">
      <c r="A54" s="3240" t="s">
        <v>296</v>
      </c>
      <c r="B54" s="3232" t="s">
        <v>2942</v>
      </c>
      <c r="C54" s="3233">
        <v>22460</v>
      </c>
      <c r="D54" s="3233"/>
      <c r="E54" s="3233"/>
      <c r="F54" s="3233"/>
      <c r="G54" s="3241"/>
      <c r="N54" s="3226" t="s">
        <v>3058</v>
      </c>
    </row>
    <row r="55" spans="1:17" ht="14.25" customHeight="1">
      <c r="A55" s="3231" t="s">
        <v>110</v>
      </c>
      <c r="B55" s="3222" t="s">
        <v>3059</v>
      </c>
      <c r="C55" s="3226">
        <v>21970</v>
      </c>
      <c r="D55" s="3226">
        <v>20370</v>
      </c>
      <c r="E55" s="3226">
        <v>20180</v>
      </c>
      <c r="F55" s="3226">
        <v>5730</v>
      </c>
      <c r="G55" s="3226">
        <v>13820</v>
      </c>
      <c r="N55" s="3226" t="s">
        <v>3060</v>
      </c>
    </row>
    <row r="56" spans="1:17" ht="14.25" customHeight="1">
      <c r="A56" s="3226" t="s">
        <v>110</v>
      </c>
      <c r="B56" s="3226" t="s">
        <v>130</v>
      </c>
      <c r="C56" s="3226">
        <v>20470</v>
      </c>
      <c r="D56" s="3226">
        <v>20700</v>
      </c>
      <c r="E56" s="3226">
        <v>20380</v>
      </c>
      <c r="F56" s="3226">
        <v>4760</v>
      </c>
      <c r="G56" s="3226">
        <v>14050</v>
      </c>
      <c r="N56" s="3226" t="s">
        <v>3061</v>
      </c>
    </row>
    <row r="57" spans="1:17" ht="14.25" customHeight="1">
      <c r="A57" s="3226" t="s">
        <v>110</v>
      </c>
      <c r="B57" s="3226" t="s">
        <v>139</v>
      </c>
      <c r="C57" s="3226">
        <v>20790</v>
      </c>
      <c r="D57" s="3226">
        <v>21370</v>
      </c>
      <c r="E57" s="3226">
        <v>20890</v>
      </c>
      <c r="F57" s="3226">
        <v>4910</v>
      </c>
      <c r="G57" s="3226">
        <v>14510</v>
      </c>
      <c r="N57" s="3226" t="s">
        <v>3062</v>
      </c>
    </row>
    <row r="58" spans="1:17" ht="14.25" customHeight="1">
      <c r="A58" s="3226" t="s">
        <v>110</v>
      </c>
      <c r="B58" s="3226" t="s">
        <v>148</v>
      </c>
      <c r="C58" s="3226">
        <v>21460</v>
      </c>
      <c r="D58" s="3226">
        <v>20920</v>
      </c>
      <c r="E58" s="3226">
        <v>23410</v>
      </c>
      <c r="F58" s="3226">
        <v>5100</v>
      </c>
      <c r="G58" s="3226">
        <v>14200</v>
      </c>
      <c r="N58" s="3226" t="s">
        <v>3063</v>
      </c>
    </row>
    <row r="59" spans="1:17" ht="14.25" customHeight="1">
      <c r="A59" s="3226" t="s">
        <v>110</v>
      </c>
      <c r="B59" s="3226" t="s">
        <v>157</v>
      </c>
      <c r="C59" s="3226">
        <v>21000</v>
      </c>
      <c r="D59" s="3226">
        <v>21550</v>
      </c>
      <c r="E59" s="3226">
        <v>21150</v>
      </c>
      <c r="F59" s="3226">
        <v>5250</v>
      </c>
      <c r="G59" s="3226">
        <v>14630</v>
      </c>
      <c r="N59" s="3226" t="s">
        <v>3064</v>
      </c>
    </row>
    <row r="60" spans="1:17" ht="14.25" customHeight="1">
      <c r="A60" s="3226" t="s">
        <v>110</v>
      </c>
      <c r="B60" s="3226" t="s">
        <v>164</v>
      </c>
      <c r="C60" s="3226">
        <v>21640</v>
      </c>
      <c r="D60" s="3226">
        <v>21260</v>
      </c>
      <c r="E60" s="3226">
        <v>24040</v>
      </c>
      <c r="F60" s="3226">
        <v>4470</v>
      </c>
      <c r="G60" s="3226">
        <v>14430</v>
      </c>
      <c r="N60" s="3226" t="s">
        <v>3065</v>
      </c>
    </row>
    <row r="61" spans="1:17" ht="14.25" customHeight="1">
      <c r="A61" s="3226" t="s">
        <v>110</v>
      </c>
      <c r="B61" s="3226" t="s">
        <v>170</v>
      </c>
      <c r="C61" s="3226">
        <v>21330</v>
      </c>
      <c r="D61" s="3226">
        <v>18640</v>
      </c>
      <c r="E61" s="3226">
        <v>21190</v>
      </c>
      <c r="F61" s="3226">
        <v>4180</v>
      </c>
      <c r="G61" s="3226">
        <v>12650</v>
      </c>
      <c r="N61" s="3226" t="s">
        <v>3066</v>
      </c>
    </row>
    <row r="62" spans="1:17" ht="14.25" customHeight="1">
      <c r="A62" s="3226" t="s">
        <v>110</v>
      </c>
      <c r="B62" s="3226" t="s">
        <v>177</v>
      </c>
      <c r="C62" s="3226">
        <v>18710</v>
      </c>
      <c r="D62" s="3226">
        <v>19400</v>
      </c>
      <c r="E62" s="3226">
        <v>23750</v>
      </c>
      <c r="F62" s="3226">
        <v>4860</v>
      </c>
      <c r="G62" s="3226">
        <v>13170</v>
      </c>
      <c r="N62" s="3226" t="s">
        <v>3067</v>
      </c>
    </row>
    <row r="63" spans="1:17" ht="14.25" customHeight="1">
      <c r="A63" s="3226" t="s">
        <v>110</v>
      </c>
      <c r="B63" s="3226" t="s">
        <v>187</v>
      </c>
      <c r="C63" s="3226">
        <v>19480</v>
      </c>
      <c r="D63" s="3226">
        <v>16830</v>
      </c>
      <c r="E63" s="3226">
        <v>21590</v>
      </c>
      <c r="F63" s="3226">
        <v>4560</v>
      </c>
      <c r="G63" s="3226">
        <v>11420</v>
      </c>
      <c r="N63" s="3226" t="s">
        <v>3068</v>
      </c>
    </row>
    <row r="64" spans="1:17" ht="14.25" customHeight="1" thickBot="1">
      <c r="A64" s="3226" t="s">
        <v>110</v>
      </c>
      <c r="B64" s="3226" t="s">
        <v>196</v>
      </c>
      <c r="C64" s="3226">
        <v>16920</v>
      </c>
      <c r="D64" s="3226">
        <v>19190</v>
      </c>
      <c r="E64" s="3226">
        <v>22200</v>
      </c>
      <c r="F64" s="3226">
        <v>4390</v>
      </c>
      <c r="G64" s="3226">
        <v>13030</v>
      </c>
      <c r="N64" s="3233" t="s">
        <v>3069</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2940</v>
      </c>
      <c r="C78" s="3226">
        <v>19820</v>
      </c>
      <c r="D78" s="3226">
        <v>19780</v>
      </c>
      <c r="E78" s="3226">
        <v>18560</v>
      </c>
      <c r="F78" s="3226"/>
      <c r="G78" s="3226">
        <v>13430</v>
      </c>
    </row>
    <row r="79" spans="1:7" s="3215" customFormat="1" ht="14.25" customHeight="1">
      <c r="A79" s="3226" t="s">
        <v>110</v>
      </c>
      <c r="B79" s="3226" t="s">
        <v>2943</v>
      </c>
      <c r="C79" s="3226">
        <v>21660</v>
      </c>
      <c r="D79" s="3226">
        <v>18000</v>
      </c>
      <c r="E79" s="3226">
        <v>22570</v>
      </c>
      <c r="F79" s="3226"/>
      <c r="G79" s="3226">
        <v>12220</v>
      </c>
    </row>
    <row r="80" spans="1:7" s="3215" customFormat="1" ht="14.25" customHeight="1">
      <c r="A80" s="3226" t="s">
        <v>110</v>
      </c>
      <c r="B80" s="3226" t="s">
        <v>2947</v>
      </c>
      <c r="C80" s="3226">
        <v>19850</v>
      </c>
      <c r="D80" s="3226"/>
      <c r="E80" s="3226">
        <v>21700</v>
      </c>
      <c r="F80" s="3226"/>
      <c r="G80" s="3226"/>
    </row>
    <row r="81" spans="1:7" s="3215" customFormat="1" ht="14.25" customHeight="1">
      <c r="A81" s="3226" t="s">
        <v>110</v>
      </c>
      <c r="B81" s="3226" t="s">
        <v>2952</v>
      </c>
      <c r="C81" s="3226">
        <v>18080</v>
      </c>
      <c r="D81" s="3226"/>
      <c r="E81" s="3226">
        <v>20900</v>
      </c>
      <c r="F81" s="3226"/>
      <c r="G81" s="3226"/>
    </row>
    <row r="82" spans="1:7" s="3215" customFormat="1" ht="14.25" customHeight="1">
      <c r="A82" s="3226" t="s">
        <v>110</v>
      </c>
      <c r="B82" s="3226" t="s">
        <v>2959</v>
      </c>
      <c r="C82" s="3226"/>
      <c r="D82" s="3226"/>
      <c r="E82" s="3226">
        <v>20840</v>
      </c>
      <c r="F82" s="3226"/>
      <c r="G82" s="3226"/>
    </row>
    <row r="83" spans="1:7" s="3215" customFormat="1" ht="14.25" customHeight="1">
      <c r="A83" s="3226" t="s">
        <v>110</v>
      </c>
      <c r="B83" s="3226" t="s">
        <v>3070</v>
      </c>
      <c r="C83" s="3226"/>
      <c r="D83" s="3226"/>
      <c r="E83" s="3226"/>
      <c r="F83" s="3226">
        <v>4770</v>
      </c>
      <c r="G83" s="3226"/>
    </row>
    <row r="84" spans="1:7" s="3215" customFormat="1" ht="14.25" customHeight="1">
      <c r="A84" s="3226" t="s">
        <v>110</v>
      </c>
      <c r="B84" s="3226" t="s">
        <v>3071</v>
      </c>
      <c r="C84" s="3226"/>
      <c r="D84" s="3226"/>
      <c r="E84" s="3226"/>
      <c r="F84" s="3226">
        <v>4600</v>
      </c>
      <c r="G84" s="3226"/>
    </row>
    <row r="85" spans="1:7" s="3215" customFormat="1" ht="14.25" customHeight="1">
      <c r="A85" s="3226" t="s">
        <v>110</v>
      </c>
      <c r="B85" s="3226" t="s">
        <v>3072</v>
      </c>
      <c r="C85" s="3226"/>
      <c r="D85" s="3226"/>
      <c r="E85" s="3226"/>
      <c r="F85" s="3226">
        <v>4680</v>
      </c>
      <c r="G85" s="3226"/>
    </row>
    <row r="86" spans="1:7" s="3215" customFormat="1" ht="14.25" customHeight="1" thickBot="1">
      <c r="A86" s="3234" t="s">
        <v>110</v>
      </c>
      <c r="B86" s="3236" t="s">
        <v>3073</v>
      </c>
      <c r="C86" s="3237">
        <v>16610</v>
      </c>
      <c r="D86" s="3237">
        <v>16540</v>
      </c>
      <c r="E86" s="3237">
        <v>18850</v>
      </c>
      <c r="F86" s="3237"/>
      <c r="G86" s="3237">
        <v>11220</v>
      </c>
    </row>
    <row r="87" spans="1:7" s="3215" customFormat="1" ht="14.25" customHeight="1">
      <c r="A87" s="3231" t="s">
        <v>303</v>
      </c>
      <c r="B87" s="3222" t="s">
        <v>3074</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2953</v>
      </c>
      <c r="C113" s="3226">
        <v>15520</v>
      </c>
      <c r="D113" s="3226">
        <v>15450</v>
      </c>
      <c r="E113" s="3226"/>
      <c r="F113" s="3226"/>
      <c r="G113" s="3239">
        <v>10210</v>
      </c>
    </row>
    <row r="114" spans="1:7" s="3215" customFormat="1" ht="14.25" customHeight="1">
      <c r="A114" s="3226" t="s">
        <v>303</v>
      </c>
      <c r="B114" s="3226" t="s">
        <v>2960</v>
      </c>
      <c r="C114" s="3226">
        <v>13110</v>
      </c>
      <c r="D114" s="3226">
        <v>13050</v>
      </c>
      <c r="E114" s="3226"/>
      <c r="F114" s="3226"/>
      <c r="G114" s="3239">
        <v>8620</v>
      </c>
    </row>
    <row r="115" spans="1:7" s="3215" customFormat="1" ht="14.25" customHeight="1">
      <c r="A115" s="3226" t="s">
        <v>303</v>
      </c>
      <c r="B115" s="3226" t="s">
        <v>2966</v>
      </c>
      <c r="C115" s="3226">
        <v>12460</v>
      </c>
      <c r="D115" s="3226">
        <v>12390</v>
      </c>
      <c r="E115" s="3226"/>
      <c r="F115" s="3226"/>
      <c r="G115" s="3239">
        <v>8190</v>
      </c>
    </row>
    <row r="116" spans="1:7" s="3215" customFormat="1" ht="14.25" customHeight="1">
      <c r="A116" s="3226" t="s">
        <v>303</v>
      </c>
      <c r="B116" s="3226" t="s">
        <v>2973</v>
      </c>
      <c r="C116" s="3226">
        <v>13580</v>
      </c>
      <c r="D116" s="3226">
        <v>13520</v>
      </c>
      <c r="E116" s="3226"/>
      <c r="F116" s="3226"/>
      <c r="G116" s="3239">
        <v>8930</v>
      </c>
    </row>
    <row r="117" spans="1:7" s="3215" customFormat="1" ht="14.25" customHeight="1">
      <c r="A117" s="3226" t="s">
        <v>303</v>
      </c>
      <c r="B117" s="3226" t="s">
        <v>2980</v>
      </c>
      <c r="C117" s="3226">
        <v>17120</v>
      </c>
      <c r="D117" s="3226">
        <v>17040</v>
      </c>
      <c r="E117" s="3226"/>
      <c r="F117" s="3226"/>
      <c r="G117" s="3239">
        <v>11260</v>
      </c>
    </row>
    <row r="118" spans="1:7" s="3215" customFormat="1" ht="14.25" customHeight="1">
      <c r="A118" s="3226" t="s">
        <v>303</v>
      </c>
      <c r="B118" s="3226" t="s">
        <v>2985</v>
      </c>
      <c r="C118" s="3226">
        <v>14860</v>
      </c>
      <c r="D118" s="3226">
        <v>14790</v>
      </c>
      <c r="E118" s="3226"/>
      <c r="F118" s="3226"/>
      <c r="G118" s="3239">
        <v>9780</v>
      </c>
    </row>
    <row r="119" spans="1:7" s="3215" customFormat="1" ht="14.25" customHeight="1">
      <c r="A119" s="3226" t="s">
        <v>303</v>
      </c>
      <c r="B119" s="3226" t="s">
        <v>2989</v>
      </c>
      <c r="C119" s="3226">
        <v>16470</v>
      </c>
      <c r="D119" s="3226">
        <v>16400</v>
      </c>
      <c r="E119" s="3226"/>
      <c r="F119" s="3226"/>
      <c r="G119" s="3239">
        <v>10840</v>
      </c>
    </row>
    <row r="120" spans="1:7" s="3215" customFormat="1" ht="14.25" customHeight="1">
      <c r="A120" s="3226" t="s">
        <v>303</v>
      </c>
      <c r="B120" s="3226" t="s">
        <v>3075</v>
      </c>
      <c r="C120" s="3226"/>
      <c r="D120" s="3226"/>
      <c r="E120" s="3226"/>
      <c r="F120" s="3226">
        <v>4160</v>
      </c>
      <c r="G120" s="3239"/>
    </row>
    <row r="121" spans="1:7" s="3215" customFormat="1" ht="14.25" customHeight="1">
      <c r="A121" s="3226" t="s">
        <v>303</v>
      </c>
      <c r="B121" s="3226" t="s">
        <v>3076</v>
      </c>
      <c r="C121" s="3226"/>
      <c r="D121" s="3226"/>
      <c r="E121" s="3226"/>
      <c r="F121" s="3226">
        <v>3880</v>
      </c>
      <c r="G121" s="3239"/>
    </row>
    <row r="122" spans="1:7" s="3215" customFormat="1" ht="14.25" customHeight="1">
      <c r="A122" s="3226" t="s">
        <v>303</v>
      </c>
      <c r="B122" s="3226" t="s">
        <v>3077</v>
      </c>
      <c r="C122" s="3226">
        <v>13750</v>
      </c>
      <c r="D122" s="3226">
        <v>13680</v>
      </c>
      <c r="E122" s="3226">
        <v>16460</v>
      </c>
      <c r="F122" s="3226">
        <v>2880</v>
      </c>
      <c r="G122" s="3239">
        <v>9040</v>
      </c>
    </row>
    <row r="123" spans="1:7" s="3215" customFormat="1" ht="14.25" customHeight="1">
      <c r="A123" s="3226" t="s">
        <v>303</v>
      </c>
      <c r="B123" s="3226" t="s">
        <v>3008</v>
      </c>
      <c r="C123" s="3226">
        <v>13590</v>
      </c>
      <c r="D123" s="3226">
        <v>13520</v>
      </c>
      <c r="E123" s="3226">
        <v>16290</v>
      </c>
      <c r="F123" s="3226">
        <v>2790</v>
      </c>
      <c r="G123" s="3239">
        <v>8930</v>
      </c>
    </row>
    <row r="124" spans="1:7" s="3215" customFormat="1" ht="14.25" customHeight="1">
      <c r="A124" s="3226" t="s">
        <v>303</v>
      </c>
      <c r="B124" s="3226" t="s">
        <v>3013</v>
      </c>
      <c r="C124" s="3226">
        <v>13400</v>
      </c>
      <c r="D124" s="3226">
        <v>13320</v>
      </c>
      <c r="E124" s="3226">
        <v>16100</v>
      </c>
      <c r="F124" s="3226">
        <v>2320</v>
      </c>
      <c r="G124" s="3239">
        <v>8800</v>
      </c>
    </row>
    <row r="125" spans="1:7" s="3215" customFormat="1" ht="14.25" customHeight="1">
      <c r="A125" s="3226" t="s">
        <v>303</v>
      </c>
      <c r="B125" s="3226" t="s">
        <v>3018</v>
      </c>
      <c r="C125" s="3226">
        <v>12860</v>
      </c>
      <c r="D125" s="3226">
        <v>12790</v>
      </c>
      <c r="E125" s="3226">
        <v>15370</v>
      </c>
      <c r="F125" s="3226">
        <v>2280</v>
      </c>
      <c r="G125" s="3239">
        <v>8450</v>
      </c>
    </row>
    <row r="126" spans="1:7" s="3215" customFormat="1" ht="14.25" customHeight="1" thickBot="1">
      <c r="A126" s="3240" t="s">
        <v>303</v>
      </c>
      <c r="B126" s="3233" t="s">
        <v>3023</v>
      </c>
      <c r="C126" s="3233">
        <v>12960</v>
      </c>
      <c r="D126" s="3233">
        <v>12890</v>
      </c>
      <c r="E126" s="3233">
        <v>15530</v>
      </c>
      <c r="F126" s="3233">
        <v>2910</v>
      </c>
      <c r="G126" s="3241">
        <v>8520</v>
      </c>
    </row>
    <row r="127" spans="1:7" s="3215" customFormat="1" ht="14.25" customHeight="1">
      <c r="A127" s="3231" t="s">
        <v>29</v>
      </c>
      <c r="B127" s="3222" t="s">
        <v>3078</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3079</v>
      </c>
      <c r="C148" s="3226">
        <v>10370</v>
      </c>
      <c r="D148" s="3226">
        <v>10310</v>
      </c>
      <c r="E148" s="3226">
        <v>12970</v>
      </c>
      <c r="F148" s="3226"/>
      <c r="G148" s="3226">
        <v>6630</v>
      </c>
    </row>
    <row r="149" spans="1:7" s="3215" customFormat="1" ht="14.25" customHeight="1">
      <c r="A149" s="3226" t="s">
        <v>29</v>
      </c>
      <c r="B149" s="3226" t="s">
        <v>3080</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2954</v>
      </c>
      <c r="C153" s="3226">
        <v>10880</v>
      </c>
      <c r="D153" s="3226">
        <v>10820</v>
      </c>
      <c r="E153" s="3226">
        <v>13660</v>
      </c>
      <c r="F153" s="3226">
        <v>2260</v>
      </c>
      <c r="G153" s="3226">
        <v>6970</v>
      </c>
    </row>
    <row r="154" spans="1:7" s="3215" customFormat="1" ht="14.25" customHeight="1">
      <c r="A154" s="3226" t="s">
        <v>29</v>
      </c>
      <c r="B154" s="3226" t="s">
        <v>3081</v>
      </c>
      <c r="C154" s="3226">
        <v>11220</v>
      </c>
      <c r="D154" s="3226">
        <v>11160</v>
      </c>
      <c r="E154" s="3226">
        <v>14130</v>
      </c>
      <c r="F154" s="3226">
        <v>2230</v>
      </c>
      <c r="G154" s="3226">
        <v>7180</v>
      </c>
    </row>
    <row r="155" spans="1:7" s="3215" customFormat="1" ht="14.25" customHeight="1">
      <c r="A155" s="3226" t="s">
        <v>29</v>
      </c>
      <c r="B155" s="3226" t="s">
        <v>2967</v>
      </c>
      <c r="C155" s="3226">
        <v>10430</v>
      </c>
      <c r="D155" s="3226">
        <v>10380</v>
      </c>
      <c r="E155" s="3226">
        <v>13140</v>
      </c>
      <c r="F155" s="3226">
        <v>2080</v>
      </c>
      <c r="G155" s="3226">
        <v>6650</v>
      </c>
    </row>
    <row r="156" spans="1:7" s="3215" customFormat="1" ht="14.25" customHeight="1">
      <c r="A156" s="3226" t="s">
        <v>29</v>
      </c>
      <c r="B156" s="3226" t="s">
        <v>3082</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3083</v>
      </c>
      <c r="C160" s="3226">
        <v>11180</v>
      </c>
      <c r="D160" s="3226">
        <v>11140</v>
      </c>
      <c r="E160" s="3226">
        <v>14050</v>
      </c>
      <c r="F160" s="3226">
        <v>2270</v>
      </c>
      <c r="G160" s="3226">
        <v>7170</v>
      </c>
    </row>
    <row r="161" spans="1:7" s="3215" customFormat="1" ht="14.25" customHeight="1">
      <c r="A161" s="3226" t="s">
        <v>29</v>
      </c>
      <c r="B161" s="3226" t="s">
        <v>2999</v>
      </c>
      <c r="C161" s="3226">
        <v>11160</v>
      </c>
      <c r="D161" s="3226">
        <v>11120</v>
      </c>
      <c r="E161" s="3226">
        <v>14020</v>
      </c>
      <c r="F161" s="3226">
        <v>2150</v>
      </c>
      <c r="G161" s="3226">
        <v>7160</v>
      </c>
    </row>
    <row r="162" spans="1:7" s="3215" customFormat="1" ht="14.25" customHeight="1">
      <c r="A162" s="3226" t="s">
        <v>29</v>
      </c>
      <c r="B162" s="3226" t="s">
        <v>3004</v>
      </c>
      <c r="C162" s="3226">
        <v>9620</v>
      </c>
      <c r="D162" s="3226">
        <v>9570</v>
      </c>
      <c r="E162" s="3226">
        <v>12320</v>
      </c>
      <c r="F162" s="3226">
        <v>2010</v>
      </c>
      <c r="G162" s="3226">
        <v>6160</v>
      </c>
    </row>
    <row r="163" spans="1:7" s="3215" customFormat="1" ht="14.25" customHeight="1">
      <c r="A163" s="3226" t="s">
        <v>29</v>
      </c>
      <c r="B163" s="3226" t="s">
        <v>3009</v>
      </c>
      <c r="C163" s="3226">
        <v>9320</v>
      </c>
      <c r="D163" s="3226">
        <v>9270</v>
      </c>
      <c r="E163" s="3226">
        <v>11790</v>
      </c>
      <c r="F163" s="3226">
        <v>1920</v>
      </c>
      <c r="G163" s="3226">
        <v>5960</v>
      </c>
    </row>
    <row r="164" spans="1:7" s="3215" customFormat="1" ht="14.25" customHeight="1">
      <c r="A164" s="3226" t="s">
        <v>29</v>
      </c>
      <c r="B164" s="3226" t="s">
        <v>3014</v>
      </c>
      <c r="C164" s="3226"/>
      <c r="D164" s="3226"/>
      <c r="E164" s="3226"/>
      <c r="F164" s="3226">
        <v>1980</v>
      </c>
      <c r="G164" s="3226"/>
    </row>
    <row r="165" spans="1:7" s="3215" customFormat="1" ht="14.25" customHeight="1">
      <c r="A165" s="3226" t="s">
        <v>29</v>
      </c>
      <c r="B165" s="3226" t="s">
        <v>3084</v>
      </c>
      <c r="C165" s="3226">
        <v>11060</v>
      </c>
      <c r="D165" s="3226">
        <v>11030</v>
      </c>
      <c r="E165" s="3226">
        <v>13850</v>
      </c>
      <c r="F165" s="3226">
        <v>2170</v>
      </c>
      <c r="G165" s="3226">
        <v>7090</v>
      </c>
    </row>
    <row r="166" spans="1:7" s="3215" customFormat="1" ht="14.25" customHeight="1">
      <c r="A166" s="3226" t="s">
        <v>29</v>
      </c>
      <c r="B166" s="3226" t="s">
        <v>3024</v>
      </c>
      <c r="C166" s="3226">
        <v>11050</v>
      </c>
      <c r="D166" s="3226">
        <v>11010</v>
      </c>
      <c r="E166" s="3226">
        <v>13920</v>
      </c>
      <c r="F166" s="3226">
        <v>2140</v>
      </c>
      <c r="G166" s="3226">
        <v>7080</v>
      </c>
    </row>
    <row r="167" spans="1:7" s="3215" customFormat="1" ht="14.25" customHeight="1">
      <c r="A167" s="3226" t="s">
        <v>29</v>
      </c>
      <c r="B167" s="3226" t="s">
        <v>3028</v>
      </c>
      <c r="C167" s="3226">
        <v>10930</v>
      </c>
      <c r="D167" s="3226">
        <v>10890</v>
      </c>
      <c r="E167" s="3226">
        <v>13790</v>
      </c>
      <c r="F167" s="3226">
        <v>2010</v>
      </c>
      <c r="G167" s="3226">
        <v>7000</v>
      </c>
    </row>
    <row r="168" spans="1:7" s="3215" customFormat="1" ht="14.25" customHeight="1">
      <c r="A168" s="3226" t="s">
        <v>29</v>
      </c>
      <c r="B168" s="3226" t="s">
        <v>3033</v>
      </c>
      <c r="C168" s="3226">
        <v>9420</v>
      </c>
      <c r="D168" s="3226">
        <v>9380</v>
      </c>
      <c r="E168" s="3226">
        <v>11970</v>
      </c>
      <c r="F168" s="3226"/>
      <c r="G168" s="3226">
        <v>6040</v>
      </c>
    </row>
    <row r="169" spans="1:7" s="3215" customFormat="1" ht="14.25" customHeight="1">
      <c r="A169" s="3226" t="s">
        <v>29</v>
      </c>
      <c r="B169" s="3226" t="s">
        <v>3085</v>
      </c>
      <c r="C169" s="3226"/>
      <c r="D169" s="3226"/>
      <c r="E169" s="3226"/>
      <c r="F169" s="3226">
        <v>2880</v>
      </c>
      <c r="G169" s="3226"/>
    </row>
    <row r="170" spans="1:7" s="3215" customFormat="1" ht="14.25" customHeight="1">
      <c r="A170" s="3226" t="s">
        <v>29</v>
      </c>
      <c r="B170" s="3226" t="s">
        <v>3041</v>
      </c>
      <c r="C170" s="3226"/>
      <c r="D170" s="3226"/>
      <c r="E170" s="3226"/>
      <c r="F170" s="3226">
        <v>2880</v>
      </c>
      <c r="G170" s="3226"/>
    </row>
    <row r="171" spans="1:7" s="3215" customFormat="1" ht="14.25" customHeight="1">
      <c r="A171" s="3226" t="s">
        <v>29</v>
      </c>
      <c r="B171" s="3226" t="s">
        <v>3044</v>
      </c>
      <c r="C171" s="3226"/>
      <c r="D171" s="3226"/>
      <c r="E171" s="3226"/>
      <c r="F171" s="3226">
        <v>2880</v>
      </c>
      <c r="G171" s="3226"/>
    </row>
    <row r="172" spans="1:7" s="3215" customFormat="1" ht="14.25" customHeight="1">
      <c r="A172" s="3226" t="s">
        <v>29</v>
      </c>
      <c r="B172" s="3226" t="s">
        <v>3046</v>
      </c>
      <c r="C172" s="3226"/>
      <c r="D172" s="3226"/>
      <c r="E172" s="3226"/>
      <c r="F172" s="3226">
        <v>2880</v>
      </c>
      <c r="G172" s="3226"/>
    </row>
    <row r="173" spans="1:7" s="3215" customFormat="1" ht="14.25" customHeight="1">
      <c r="A173" s="3226" t="s">
        <v>29</v>
      </c>
      <c r="B173" s="3226" t="s">
        <v>3048</v>
      </c>
      <c r="C173" s="3226"/>
      <c r="D173" s="3226"/>
      <c r="E173" s="3226"/>
      <c r="F173" s="3226">
        <v>2150</v>
      </c>
      <c r="G173" s="3226"/>
    </row>
    <row r="174" spans="1:7" s="3215" customFormat="1" ht="14.25" customHeight="1">
      <c r="A174" s="3226" t="s">
        <v>29</v>
      </c>
      <c r="B174" s="3226" t="s">
        <v>3050</v>
      </c>
      <c r="C174" s="3226"/>
      <c r="D174" s="3226"/>
      <c r="E174" s="3226"/>
      <c r="F174" s="3226">
        <v>2030</v>
      </c>
      <c r="G174" s="3226"/>
    </row>
    <row r="175" spans="1:7" s="3215" customFormat="1" ht="14.25" customHeight="1">
      <c r="A175" s="3226" t="s">
        <v>29</v>
      </c>
      <c r="B175" s="3226" t="s">
        <v>3052</v>
      </c>
      <c r="C175" s="3226"/>
      <c r="D175" s="3226"/>
      <c r="E175" s="3226"/>
      <c r="F175" s="3226">
        <v>2780</v>
      </c>
      <c r="G175" s="3226"/>
    </row>
    <row r="176" spans="1:7" s="3215" customFormat="1" ht="14.25" customHeight="1">
      <c r="A176" s="3226" t="s">
        <v>29</v>
      </c>
      <c r="B176" s="3226" t="s">
        <v>3054</v>
      </c>
      <c r="C176" s="3226"/>
      <c r="D176" s="3226"/>
      <c r="E176" s="3226"/>
      <c r="F176" s="3226">
        <v>2780</v>
      </c>
      <c r="G176" s="3226"/>
    </row>
    <row r="177" spans="1:7" s="3215" customFormat="1" ht="14.25" customHeight="1">
      <c r="A177" s="3226" t="s">
        <v>29</v>
      </c>
      <c r="B177" s="3226" t="s">
        <v>3086</v>
      </c>
      <c r="C177" s="3226"/>
      <c r="D177" s="3226"/>
      <c r="E177" s="3226"/>
      <c r="F177" s="3226">
        <v>2780</v>
      </c>
      <c r="G177" s="3226"/>
    </row>
    <row r="178" spans="1:7" s="3215" customFormat="1" ht="14.25" customHeight="1">
      <c r="A178" s="3226" t="s">
        <v>29</v>
      </c>
      <c r="B178" s="3226" t="s">
        <v>3087</v>
      </c>
      <c r="C178" s="3226"/>
      <c r="D178" s="3226"/>
      <c r="E178" s="3226"/>
      <c r="F178" s="3226">
        <v>2060</v>
      </c>
      <c r="G178" s="3226"/>
    </row>
    <row r="179" spans="1:7" s="3215" customFormat="1" ht="14.25" customHeight="1">
      <c r="A179" s="3226" t="s">
        <v>29</v>
      </c>
      <c r="B179" s="3226" t="s">
        <v>3088</v>
      </c>
      <c r="C179" s="3226"/>
      <c r="D179" s="3226"/>
      <c r="E179" s="3226"/>
      <c r="F179" s="3226">
        <v>2120</v>
      </c>
      <c r="G179" s="3226"/>
    </row>
    <row r="180" spans="1:7" s="3215" customFormat="1" ht="14.25" customHeight="1">
      <c r="A180" s="3226" t="s">
        <v>29</v>
      </c>
      <c r="B180" s="3226" t="s">
        <v>3060</v>
      </c>
      <c r="C180" s="3226"/>
      <c r="D180" s="3226"/>
      <c r="E180" s="3226"/>
      <c r="F180" s="3226">
        <v>2340</v>
      </c>
      <c r="G180" s="3226"/>
    </row>
    <row r="181" spans="1:7" s="3215" customFormat="1" ht="14.25" customHeight="1">
      <c r="A181" s="3226" t="s">
        <v>29</v>
      </c>
      <c r="B181" s="3226" t="s">
        <v>3061</v>
      </c>
      <c r="C181" s="3226"/>
      <c r="D181" s="3226"/>
      <c r="E181" s="3226"/>
      <c r="F181" s="3226">
        <v>2340</v>
      </c>
      <c r="G181" s="3226"/>
    </row>
    <row r="182" spans="1:7" s="3215" customFormat="1" ht="14.25" customHeight="1">
      <c r="A182" s="3226" t="s">
        <v>29</v>
      </c>
      <c r="B182" s="3226" t="s">
        <v>3062</v>
      </c>
      <c r="C182" s="3226"/>
      <c r="D182" s="3226"/>
      <c r="E182" s="3226"/>
      <c r="F182" s="3226">
        <v>2340</v>
      </c>
      <c r="G182" s="3226"/>
    </row>
    <row r="183" spans="1:7" s="3215" customFormat="1" ht="14.25" customHeight="1">
      <c r="A183" s="3226" t="s">
        <v>29</v>
      </c>
      <c r="B183" s="3226" t="s">
        <v>3063</v>
      </c>
      <c r="C183" s="3226"/>
      <c r="D183" s="3226"/>
      <c r="E183" s="3226"/>
      <c r="F183" s="3226">
        <v>2340</v>
      </c>
      <c r="G183" s="3226"/>
    </row>
    <row r="184" spans="1:7" s="3215" customFormat="1" ht="14.25" customHeight="1">
      <c r="A184" s="3226" t="s">
        <v>29</v>
      </c>
      <c r="B184" s="3226" t="s">
        <v>3064</v>
      </c>
      <c r="C184" s="3226"/>
      <c r="D184" s="3226"/>
      <c r="E184" s="3226"/>
      <c r="F184" s="3226">
        <v>2340</v>
      </c>
      <c r="G184" s="3226"/>
    </row>
    <row r="185" spans="1:7" s="3215" customFormat="1" ht="14.25" customHeight="1">
      <c r="A185" s="3226" t="s">
        <v>29</v>
      </c>
      <c r="B185" s="3226" t="s">
        <v>3065</v>
      </c>
      <c r="C185" s="3226"/>
      <c r="D185" s="3226"/>
      <c r="E185" s="3226"/>
      <c r="F185" s="3226">
        <v>2530</v>
      </c>
      <c r="G185" s="3226"/>
    </row>
    <row r="186" spans="1:7" s="3215" customFormat="1" ht="14.25" customHeight="1">
      <c r="A186" s="3226" t="s">
        <v>29</v>
      </c>
      <c r="B186" s="3226" t="s">
        <v>3066</v>
      </c>
      <c r="C186" s="3226"/>
      <c r="D186" s="3226"/>
      <c r="E186" s="3226"/>
      <c r="F186" s="3226">
        <v>2550</v>
      </c>
      <c r="G186" s="3226"/>
    </row>
    <row r="187" spans="1:7" s="3215" customFormat="1" ht="14.25" customHeight="1">
      <c r="A187" s="3226" t="s">
        <v>29</v>
      </c>
      <c r="B187" s="3226" t="s">
        <v>3067</v>
      </c>
      <c r="C187" s="3226"/>
      <c r="D187" s="3226"/>
      <c r="E187" s="3226"/>
      <c r="F187" s="3226">
        <v>2070</v>
      </c>
      <c r="G187" s="3226"/>
    </row>
    <row r="188" spans="1:7" s="3215" customFormat="1" ht="14.25" customHeight="1">
      <c r="A188" s="3226" t="s">
        <v>29</v>
      </c>
      <c r="B188" s="3226" t="s">
        <v>3068</v>
      </c>
      <c r="C188" s="3226"/>
      <c r="D188" s="3226"/>
      <c r="E188" s="3226"/>
      <c r="F188" s="3226">
        <v>2340</v>
      </c>
      <c r="G188" s="3226"/>
    </row>
    <row r="189" spans="1:7" s="3215" customFormat="1" ht="14.25" customHeight="1" thickBot="1">
      <c r="A189" s="3234" t="s">
        <v>29</v>
      </c>
      <c r="B189" s="3237" t="s">
        <v>3069</v>
      </c>
      <c r="C189" s="3237"/>
      <c r="D189" s="3237"/>
      <c r="E189" s="3237"/>
      <c r="F189" s="3237">
        <v>2050</v>
      </c>
      <c r="G189" s="3237"/>
    </row>
    <row r="190" spans="1:7" s="3215" customFormat="1" ht="14.25" customHeight="1">
      <c r="A190" s="3231" t="s">
        <v>304</v>
      </c>
      <c r="B190" s="3222" t="s">
        <v>3089</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3090</v>
      </c>
      <c r="C199" s="3226">
        <v>8690</v>
      </c>
      <c r="D199" s="3226">
        <v>8630</v>
      </c>
      <c r="E199" s="3226">
        <v>11350</v>
      </c>
      <c r="F199" s="3226">
        <v>1600</v>
      </c>
      <c r="G199" s="3239">
        <v>5450</v>
      </c>
    </row>
    <row r="200" spans="1:7" s="3215" customFormat="1" ht="14.25" customHeight="1">
      <c r="A200" s="3226" t="s">
        <v>304</v>
      </c>
      <c r="B200" s="3226" t="s">
        <v>2901</v>
      </c>
      <c r="C200" s="3226"/>
      <c r="D200" s="3226"/>
      <c r="E200" s="3226"/>
      <c r="F200" s="3226">
        <v>1510</v>
      </c>
      <c r="G200" s="3239"/>
    </row>
    <row r="201" spans="1:7" s="3215" customFormat="1" ht="14.25" customHeight="1">
      <c r="A201" s="3226" t="s">
        <v>304</v>
      </c>
      <c r="B201" s="3226" t="s">
        <v>3091</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3092</v>
      </c>
      <c r="C203" s="3226">
        <v>8130</v>
      </c>
      <c r="D203" s="3226">
        <v>8070</v>
      </c>
      <c r="E203" s="3226">
        <v>10820</v>
      </c>
      <c r="F203" s="3226">
        <v>1690</v>
      </c>
      <c r="G203" s="3239">
        <v>5100</v>
      </c>
    </row>
    <row r="204" spans="1:7" s="3215" customFormat="1" ht="14.25" customHeight="1">
      <c r="A204" s="3226" t="s">
        <v>304</v>
      </c>
      <c r="B204" s="3226" t="s">
        <v>2912</v>
      </c>
      <c r="C204" s="3226">
        <v>8350</v>
      </c>
      <c r="D204" s="3226">
        <v>8290</v>
      </c>
      <c r="E204" s="3226">
        <v>11080</v>
      </c>
      <c r="F204" s="3226">
        <v>1450</v>
      </c>
      <c r="G204" s="3239">
        <v>5240</v>
      </c>
    </row>
    <row r="205" spans="1:7" s="3215" customFormat="1" ht="14.25" customHeight="1">
      <c r="A205" s="3226" t="s">
        <v>304</v>
      </c>
      <c r="B205" s="3226" t="s">
        <v>2914</v>
      </c>
      <c r="C205" s="3226">
        <v>7190</v>
      </c>
      <c r="D205" s="3226">
        <v>7130</v>
      </c>
      <c r="E205" s="3226">
        <v>9490</v>
      </c>
      <c r="F205" s="3226">
        <v>1470</v>
      </c>
      <c r="G205" s="3239">
        <v>4510</v>
      </c>
    </row>
    <row r="206" spans="1:7" s="3215" customFormat="1" ht="14.25" customHeight="1">
      <c r="A206" s="3226" t="s">
        <v>304</v>
      </c>
      <c r="B206" s="3226" t="s">
        <v>2917</v>
      </c>
      <c r="C206" s="3226">
        <v>7000</v>
      </c>
      <c r="D206" s="3226">
        <v>6950</v>
      </c>
      <c r="E206" s="3226">
        <v>9170</v>
      </c>
      <c r="F206" s="3226">
        <v>1400</v>
      </c>
      <c r="G206" s="3239">
        <v>4380</v>
      </c>
    </row>
    <row r="207" spans="1:7" s="3215" customFormat="1" ht="14.25" customHeight="1">
      <c r="A207" s="3226" t="s">
        <v>304</v>
      </c>
      <c r="B207" s="3226" t="s">
        <v>2919</v>
      </c>
      <c r="C207" s="3226">
        <v>6950</v>
      </c>
      <c r="D207" s="3226">
        <v>6900</v>
      </c>
      <c r="E207" s="3226">
        <v>9110</v>
      </c>
      <c r="F207" s="3226">
        <v>1790</v>
      </c>
      <c r="G207" s="3239">
        <v>4360</v>
      </c>
    </row>
    <row r="208" spans="1:7" s="3215" customFormat="1" ht="14.25" customHeight="1">
      <c r="A208" s="3226" t="s">
        <v>304</v>
      </c>
      <c r="B208" s="3226" t="s">
        <v>3093</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2929</v>
      </c>
      <c r="C210" s="3226">
        <v>8710</v>
      </c>
      <c r="D210" s="3226">
        <v>8660</v>
      </c>
      <c r="E210" s="3226">
        <v>11440</v>
      </c>
      <c r="F210" s="3226">
        <v>1740</v>
      </c>
      <c r="G210" s="3239">
        <v>5470</v>
      </c>
    </row>
    <row r="211" spans="1:7" s="3215" customFormat="1" ht="14.25" customHeight="1">
      <c r="A211" s="3226" t="s">
        <v>304</v>
      </c>
      <c r="B211" s="3226" t="s">
        <v>3094</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3095</v>
      </c>
      <c r="C214" s="3226">
        <v>8090</v>
      </c>
      <c r="D214" s="3226">
        <v>8030</v>
      </c>
      <c r="E214" s="3226">
        <v>10780</v>
      </c>
      <c r="F214" s="3226">
        <v>1570</v>
      </c>
      <c r="G214" s="3239">
        <v>5070</v>
      </c>
    </row>
    <row r="215" spans="1:7" s="3215" customFormat="1" ht="14.25" customHeight="1">
      <c r="A215" s="3226" t="s">
        <v>304</v>
      </c>
      <c r="B215" s="3226" t="s">
        <v>3096</v>
      </c>
      <c r="C215" s="3226">
        <v>7950</v>
      </c>
      <c r="D215" s="3226">
        <v>7900</v>
      </c>
      <c r="E215" s="3226">
        <v>10560</v>
      </c>
      <c r="F215" s="3226">
        <v>1630</v>
      </c>
      <c r="G215" s="3239">
        <v>4990</v>
      </c>
    </row>
    <row r="216" spans="1:7" s="3215" customFormat="1" ht="14.25" customHeight="1">
      <c r="A216" s="3226" t="s">
        <v>304</v>
      </c>
      <c r="B216" s="3226" t="s">
        <v>3097</v>
      </c>
      <c r="C216" s="3226">
        <v>8490</v>
      </c>
      <c r="D216" s="3226">
        <v>8440</v>
      </c>
      <c r="E216" s="3226">
        <v>11260</v>
      </c>
      <c r="F216" s="3226">
        <v>1690</v>
      </c>
      <c r="G216" s="3239">
        <v>5330</v>
      </c>
    </row>
    <row r="217" spans="1:7" s="3215" customFormat="1" ht="14.25" customHeight="1">
      <c r="A217" s="3226" t="s">
        <v>304</v>
      </c>
      <c r="B217" s="3226" t="s">
        <v>2962</v>
      </c>
      <c r="C217" s="3226">
        <v>8200</v>
      </c>
      <c r="D217" s="3226">
        <v>8150</v>
      </c>
      <c r="E217" s="3226">
        <v>10910</v>
      </c>
      <c r="F217" s="3226">
        <v>1670</v>
      </c>
      <c r="G217" s="3239">
        <v>5150</v>
      </c>
    </row>
    <row r="218" spans="1:7" s="3215" customFormat="1" ht="14.25" customHeight="1">
      <c r="A218" s="3226" t="s">
        <v>304</v>
      </c>
      <c r="B218" s="3226" t="s">
        <v>3098</v>
      </c>
      <c r="C218" s="3226"/>
      <c r="D218" s="3226"/>
      <c r="E218" s="3226"/>
      <c r="F218" s="3226">
        <v>2040</v>
      </c>
      <c r="G218" s="3239"/>
    </row>
    <row r="219" spans="1:7" s="3215" customFormat="1" ht="14.25" customHeight="1">
      <c r="A219" s="3226" t="s">
        <v>304</v>
      </c>
      <c r="B219" s="3226" t="s">
        <v>3099</v>
      </c>
      <c r="C219" s="3226"/>
      <c r="D219" s="3226"/>
      <c r="E219" s="3226"/>
      <c r="F219" s="3226">
        <v>2040</v>
      </c>
      <c r="G219" s="3239"/>
    </row>
    <row r="220" spans="1:7" s="3215" customFormat="1" ht="14.25" customHeight="1">
      <c r="A220" s="3226" t="s">
        <v>304</v>
      </c>
      <c r="B220" s="3226" t="s">
        <v>3100</v>
      </c>
      <c r="C220" s="3226"/>
      <c r="D220" s="3226"/>
      <c r="E220" s="3226"/>
      <c r="F220" s="3226">
        <v>2040</v>
      </c>
      <c r="G220" s="3239"/>
    </row>
    <row r="221" spans="1:7" s="3215" customFormat="1" ht="14.25" customHeight="1">
      <c r="A221" s="3226" t="s">
        <v>304</v>
      </c>
      <c r="B221" s="3226" t="s">
        <v>3101</v>
      </c>
      <c r="C221" s="3226"/>
      <c r="D221" s="3226"/>
      <c r="E221" s="3226"/>
      <c r="F221" s="3226">
        <v>2040</v>
      </c>
      <c r="G221" s="3239"/>
    </row>
    <row r="222" spans="1:7" s="3215" customFormat="1" ht="14.25" customHeight="1">
      <c r="A222" s="3226" t="s">
        <v>304</v>
      </c>
      <c r="B222" s="3226" t="s">
        <v>3102</v>
      </c>
      <c r="C222" s="3226"/>
      <c r="D222" s="3226"/>
      <c r="E222" s="3226"/>
      <c r="F222" s="3226">
        <v>2040</v>
      </c>
      <c r="G222" s="3239"/>
    </row>
    <row r="223" spans="1:7" s="3215" customFormat="1" ht="14.25" customHeight="1">
      <c r="A223" s="3226" t="s">
        <v>304</v>
      </c>
      <c r="B223" s="3226" t="s">
        <v>3103</v>
      </c>
      <c r="C223" s="3226"/>
      <c r="D223" s="3226"/>
      <c r="E223" s="3226"/>
      <c r="F223" s="3226">
        <v>1930</v>
      </c>
      <c r="G223" s="3239"/>
    </row>
    <row r="224" spans="1:7" s="3215" customFormat="1" ht="14.25" customHeight="1">
      <c r="A224" s="3226" t="s">
        <v>304</v>
      </c>
      <c r="B224" s="3226" t="s">
        <v>3104</v>
      </c>
      <c r="C224" s="3226"/>
      <c r="D224" s="3226"/>
      <c r="E224" s="3226"/>
      <c r="F224" s="3226">
        <v>1930</v>
      </c>
      <c r="G224" s="3239"/>
    </row>
    <row r="225" spans="1:7" s="3215" customFormat="1" ht="14.25" customHeight="1">
      <c r="A225" s="3226" t="s">
        <v>304</v>
      </c>
      <c r="B225" s="3226" t="s">
        <v>3105</v>
      </c>
      <c r="C225" s="3226"/>
      <c r="D225" s="3226"/>
      <c r="E225" s="3226"/>
      <c r="F225" s="3226">
        <v>1930</v>
      </c>
      <c r="G225" s="3239"/>
    </row>
    <row r="226" spans="1:7" s="3215" customFormat="1" ht="14.25" customHeight="1">
      <c r="A226" s="3226" t="s">
        <v>304</v>
      </c>
      <c r="B226" s="3226" t="s">
        <v>3106</v>
      </c>
      <c r="C226" s="3226"/>
      <c r="D226" s="3226"/>
      <c r="E226" s="3226"/>
      <c r="F226" s="3226">
        <v>1700</v>
      </c>
      <c r="G226" s="3239"/>
    </row>
    <row r="227" spans="1:7" s="3215" customFormat="1" ht="14.25" customHeight="1">
      <c r="A227" s="3226" t="s">
        <v>304</v>
      </c>
      <c r="B227" s="3226" t="s">
        <v>3107</v>
      </c>
      <c r="C227" s="3226"/>
      <c r="D227" s="3226"/>
      <c r="E227" s="3226"/>
      <c r="F227" s="3226">
        <v>1520</v>
      </c>
      <c r="G227" s="3239"/>
    </row>
    <row r="228" spans="1:7" s="3215" customFormat="1" ht="14.25" customHeight="1">
      <c r="A228" s="3226" t="s">
        <v>304</v>
      </c>
      <c r="B228" s="3226" t="s">
        <v>3108</v>
      </c>
      <c r="C228" s="3226"/>
      <c r="D228" s="3226"/>
      <c r="E228" s="3226"/>
      <c r="F228" s="3226">
        <v>1520</v>
      </c>
      <c r="G228" s="3239"/>
    </row>
    <row r="229" spans="1:7" s="3215" customFormat="1" ht="14.25" customHeight="1">
      <c r="A229" s="3226" t="s">
        <v>304</v>
      </c>
      <c r="B229" s="3226" t="s">
        <v>3025</v>
      </c>
      <c r="C229" s="3226"/>
      <c r="D229" s="3226"/>
      <c r="E229" s="3226"/>
      <c r="F229" s="3226">
        <v>1520</v>
      </c>
      <c r="G229" s="3239"/>
    </row>
    <row r="230" spans="1:7" s="3215" customFormat="1" ht="14.25" customHeight="1">
      <c r="A230" s="3226" t="s">
        <v>304</v>
      </c>
      <c r="B230" s="3226" t="s">
        <v>3109</v>
      </c>
      <c r="C230" s="3226"/>
      <c r="D230" s="3226"/>
      <c r="E230" s="3226"/>
      <c r="F230" s="3226">
        <v>1820</v>
      </c>
      <c r="G230" s="3239"/>
    </row>
    <row r="231" spans="1:7" s="3215" customFormat="1" ht="14.25" customHeight="1">
      <c r="A231" s="3226" t="s">
        <v>304</v>
      </c>
      <c r="B231" s="3226" t="s">
        <v>3110</v>
      </c>
      <c r="C231" s="3226"/>
      <c r="D231" s="3226"/>
      <c r="E231" s="3226"/>
      <c r="F231" s="3226">
        <v>1760</v>
      </c>
      <c r="G231" s="3239"/>
    </row>
    <row r="232" spans="1:7" s="3215" customFormat="1" ht="14.25" customHeight="1">
      <c r="A232" s="3226" t="s">
        <v>304</v>
      </c>
      <c r="B232" s="3226" t="s">
        <v>3111</v>
      </c>
      <c r="C232" s="3226"/>
      <c r="D232" s="3226"/>
      <c r="E232" s="3226"/>
      <c r="F232" s="3226">
        <v>1840</v>
      </c>
      <c r="G232" s="3239"/>
    </row>
    <row r="233" spans="1:7" s="3215" customFormat="1" ht="14.25" customHeight="1" thickBot="1">
      <c r="A233" s="3240" t="s">
        <v>304</v>
      </c>
      <c r="B233" s="3233" t="s">
        <v>3042</v>
      </c>
      <c r="C233" s="3233"/>
      <c r="D233" s="3233"/>
      <c r="E233" s="3233"/>
      <c r="F233" s="3233">
        <v>1770</v>
      </c>
      <c r="G233" s="3241"/>
    </row>
    <row r="234" spans="1:7" s="3215" customFormat="1" ht="14.25" customHeight="1">
      <c r="A234" s="3231" t="s">
        <v>305</v>
      </c>
      <c r="B234" s="3222" t="s">
        <v>3112</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2883</v>
      </c>
      <c r="C238" s="3226">
        <v>6920</v>
      </c>
      <c r="D238" s="3226">
        <v>6890</v>
      </c>
      <c r="E238" s="3226">
        <v>8640</v>
      </c>
      <c r="F238" s="3226">
        <v>1310</v>
      </c>
      <c r="G238" s="3226">
        <v>4230</v>
      </c>
    </row>
    <row r="239" spans="1:7" s="3215" customFormat="1" ht="14.25" customHeight="1">
      <c r="A239" s="3226" t="s">
        <v>305</v>
      </c>
      <c r="B239" s="3226" t="s">
        <v>3113</v>
      </c>
      <c r="C239" s="3226">
        <v>6780</v>
      </c>
      <c r="D239" s="3226">
        <v>6750</v>
      </c>
      <c r="E239" s="3226">
        <v>8440</v>
      </c>
      <c r="F239" s="3226">
        <v>1160</v>
      </c>
      <c r="G239" s="3226">
        <v>4140</v>
      </c>
    </row>
    <row r="240" spans="1:7" s="3215" customFormat="1" ht="14.25" customHeight="1">
      <c r="A240" s="3226" t="s">
        <v>305</v>
      </c>
      <c r="B240" s="3226" t="s">
        <v>3114</v>
      </c>
      <c r="C240" s="3226">
        <v>5420</v>
      </c>
      <c r="D240" s="3226">
        <v>5380</v>
      </c>
      <c r="E240" s="3226">
        <v>6640</v>
      </c>
      <c r="F240" s="3226">
        <v>1020</v>
      </c>
      <c r="G240" s="3226">
        <v>3300</v>
      </c>
    </row>
    <row r="241" spans="1:7" s="3215" customFormat="1" ht="14.25" customHeight="1">
      <c r="A241" s="3226" t="s">
        <v>305</v>
      </c>
      <c r="B241" s="3226" t="s">
        <v>3115</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3116</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3117</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3118</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3119</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3120</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2945</v>
      </c>
      <c r="C258" s="3226">
        <v>6190</v>
      </c>
      <c r="D258" s="3226">
        <v>6160</v>
      </c>
      <c r="E258" s="3226">
        <v>7680</v>
      </c>
      <c r="F258" s="3226">
        <v>1170</v>
      </c>
      <c r="G258" s="3226">
        <v>3780</v>
      </c>
    </row>
    <row r="259" spans="1:7" s="3215" customFormat="1" ht="14.25" customHeight="1">
      <c r="A259" s="3226" t="s">
        <v>305</v>
      </c>
      <c r="B259" s="3226" t="s">
        <v>3121</v>
      </c>
      <c r="C259" s="3226">
        <v>7610</v>
      </c>
      <c r="D259" s="3226">
        <v>7570</v>
      </c>
      <c r="E259" s="3226">
        <v>9350</v>
      </c>
      <c r="F259" s="3226">
        <v>1350</v>
      </c>
      <c r="G259" s="3226">
        <v>4650</v>
      </c>
    </row>
    <row r="260" spans="1:7" s="3215" customFormat="1" ht="14.25" customHeight="1">
      <c r="A260" s="3226" t="s">
        <v>305</v>
      </c>
      <c r="B260" s="3226" t="s">
        <v>3122</v>
      </c>
      <c r="C260" s="3226">
        <v>6920</v>
      </c>
      <c r="D260" s="3226">
        <v>6880</v>
      </c>
      <c r="E260" s="3226">
        <v>8380</v>
      </c>
      <c r="F260" s="3226">
        <v>1160</v>
      </c>
      <c r="G260" s="3226">
        <v>4220</v>
      </c>
    </row>
    <row r="261" spans="1:7" s="3215" customFormat="1" ht="14.25" customHeight="1">
      <c r="A261" s="3226" t="s">
        <v>305</v>
      </c>
      <c r="B261" s="3226" t="s">
        <v>3123</v>
      </c>
      <c r="C261" s="3226">
        <v>6850</v>
      </c>
      <c r="D261" s="3226">
        <v>6810</v>
      </c>
      <c r="E261" s="3226">
        <v>8290</v>
      </c>
      <c r="F261" s="3226">
        <v>1130</v>
      </c>
      <c r="G261" s="3226">
        <v>4180</v>
      </c>
    </row>
    <row r="262" spans="1:7" s="3215" customFormat="1" ht="14.25" customHeight="1">
      <c r="A262" s="3226" t="s">
        <v>305</v>
      </c>
      <c r="B262" s="3226" t="s">
        <v>3124</v>
      </c>
      <c r="C262" s="3226">
        <v>5860</v>
      </c>
      <c r="D262" s="3226">
        <v>5820</v>
      </c>
      <c r="E262" s="3226">
        <v>7640</v>
      </c>
      <c r="F262" s="3226">
        <v>1070</v>
      </c>
      <c r="G262" s="3226">
        <v>3570</v>
      </c>
    </row>
    <row r="263" spans="1:7" s="3215" customFormat="1" ht="14.25" customHeight="1">
      <c r="A263" s="3226" t="s">
        <v>305</v>
      </c>
      <c r="B263" s="3226" t="s">
        <v>3125</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3126</v>
      </c>
      <c r="C265" s="3226"/>
      <c r="D265" s="3226"/>
      <c r="E265" s="3226"/>
      <c r="F265" s="3226">
        <v>1500</v>
      </c>
      <c r="G265" s="3226"/>
    </row>
    <row r="266" spans="1:7" s="3215" customFormat="1" ht="14.25" customHeight="1">
      <c r="A266" s="3226" t="s">
        <v>305</v>
      </c>
      <c r="B266" s="3226" t="s">
        <v>3127</v>
      </c>
      <c r="C266" s="3226"/>
      <c r="D266" s="3226"/>
      <c r="E266" s="3226"/>
      <c r="F266" s="3226">
        <v>1500</v>
      </c>
      <c r="G266" s="3226"/>
    </row>
    <row r="267" spans="1:7" s="3215" customFormat="1" ht="14.25" customHeight="1">
      <c r="A267" s="3226" t="s">
        <v>305</v>
      </c>
      <c r="B267" s="3226" t="s">
        <v>3128</v>
      </c>
      <c r="C267" s="3226"/>
      <c r="D267" s="3226"/>
      <c r="E267" s="3226"/>
      <c r="F267" s="3226">
        <v>1500</v>
      </c>
      <c r="G267" s="3226"/>
    </row>
    <row r="268" spans="1:7" s="3215" customFormat="1" ht="14.25" customHeight="1">
      <c r="A268" s="3226" t="s">
        <v>305</v>
      </c>
      <c r="B268" s="3226" t="s">
        <v>3129</v>
      </c>
      <c r="C268" s="3226"/>
      <c r="D268" s="3226"/>
      <c r="E268" s="3226"/>
      <c r="F268" s="3226">
        <v>1290</v>
      </c>
      <c r="G268" s="3226"/>
    </row>
    <row r="269" spans="1:7" s="3215" customFormat="1" ht="14.25" customHeight="1">
      <c r="A269" s="3226" t="s">
        <v>305</v>
      </c>
      <c r="B269" s="3226" t="s">
        <v>3130</v>
      </c>
      <c r="C269" s="3226"/>
      <c r="D269" s="3226"/>
      <c r="E269" s="3226"/>
      <c r="F269" s="3226">
        <v>1150</v>
      </c>
      <c r="G269" s="3226"/>
    </row>
    <row r="270" spans="1:7" s="3215" customFormat="1" ht="14.25" customHeight="1">
      <c r="A270" s="3226" t="s">
        <v>305</v>
      </c>
      <c r="B270" s="3226" t="s">
        <v>3131</v>
      </c>
      <c r="C270" s="3226"/>
      <c r="D270" s="3226"/>
      <c r="E270" s="3226"/>
      <c r="F270" s="3226">
        <v>1380</v>
      </c>
      <c r="G270" s="3226"/>
    </row>
    <row r="271" spans="1:7" s="3215" customFormat="1" ht="14.25" customHeight="1">
      <c r="A271" s="3226" t="s">
        <v>305</v>
      </c>
      <c r="B271" s="3226" t="s">
        <v>3132</v>
      </c>
      <c r="C271" s="3226"/>
      <c r="D271" s="3226"/>
      <c r="E271" s="3226"/>
      <c r="F271" s="3226">
        <v>1460</v>
      </c>
      <c r="G271" s="3226"/>
    </row>
    <row r="272" spans="1:7" s="3215" customFormat="1" ht="14.25" customHeight="1">
      <c r="A272" s="3226" t="s">
        <v>305</v>
      </c>
      <c r="B272" s="3226" t="s">
        <v>3133</v>
      </c>
      <c r="C272" s="3226"/>
      <c r="D272" s="3226"/>
      <c r="E272" s="3226"/>
      <c r="F272" s="3226">
        <v>1460</v>
      </c>
      <c r="G272" s="3226"/>
    </row>
    <row r="273" spans="1:7" s="3215" customFormat="1" ht="14.25" customHeight="1">
      <c r="A273" s="3226" t="s">
        <v>305</v>
      </c>
      <c r="B273" s="3226" t="s">
        <v>3026</v>
      </c>
      <c r="C273" s="3226"/>
      <c r="D273" s="3226"/>
      <c r="E273" s="3226"/>
      <c r="F273" s="3226">
        <v>1490</v>
      </c>
      <c r="G273" s="3226"/>
    </row>
    <row r="274" spans="1:7" s="3215" customFormat="1" ht="14.25" customHeight="1">
      <c r="A274" s="3226" t="s">
        <v>305</v>
      </c>
      <c r="B274" s="3226" t="s">
        <v>3134</v>
      </c>
      <c r="C274" s="3226"/>
      <c r="D274" s="3226"/>
      <c r="E274" s="3226"/>
      <c r="F274" s="3226">
        <v>1490</v>
      </c>
      <c r="G274" s="3226"/>
    </row>
    <row r="275" spans="1:7" s="3215" customFormat="1" ht="14.25" customHeight="1">
      <c r="A275" s="3226" t="s">
        <v>305</v>
      </c>
      <c r="B275" s="3226" t="s">
        <v>3135</v>
      </c>
      <c r="C275" s="3226"/>
      <c r="D275" s="3226"/>
      <c r="E275" s="3226"/>
      <c r="F275" s="3226">
        <v>1220</v>
      </c>
      <c r="G275" s="3226"/>
    </row>
    <row r="276" spans="1:7" s="3215" customFormat="1" ht="14.25" customHeight="1" thickBot="1">
      <c r="A276" s="3234" t="s">
        <v>305</v>
      </c>
      <c r="B276" s="3236" t="s">
        <v>3136</v>
      </c>
      <c r="C276" s="3237"/>
      <c r="D276" s="3237"/>
      <c r="E276" s="3237"/>
      <c r="F276" s="3237">
        <v>1380</v>
      </c>
      <c r="G276" s="3237"/>
    </row>
    <row r="277" spans="1:7" s="3215" customFormat="1" ht="14.25" customHeight="1">
      <c r="A277" s="3231" t="s">
        <v>306</v>
      </c>
      <c r="B277" s="3222" t="s">
        <v>3137</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3138</v>
      </c>
      <c r="C279" s="3226">
        <v>4760</v>
      </c>
      <c r="D279" s="3226">
        <v>4720</v>
      </c>
      <c r="E279" s="3226">
        <v>5540</v>
      </c>
      <c r="F279" s="3226">
        <v>810</v>
      </c>
      <c r="G279" s="3239">
        <v>2850</v>
      </c>
    </row>
    <row r="280" spans="1:7" s="3215" customFormat="1" ht="14.25" customHeight="1">
      <c r="A280" s="3226" t="s">
        <v>306</v>
      </c>
      <c r="B280" s="3226" t="s">
        <v>3139</v>
      </c>
      <c r="C280" s="3226">
        <v>4010</v>
      </c>
      <c r="D280" s="3226">
        <v>3950</v>
      </c>
      <c r="E280" s="3226">
        <v>4710</v>
      </c>
      <c r="F280" s="3226">
        <v>800</v>
      </c>
      <c r="G280" s="3239">
        <v>2390</v>
      </c>
    </row>
    <row r="281" spans="1:7" s="3215" customFormat="1" ht="14.25" customHeight="1">
      <c r="A281" s="3226" t="s">
        <v>306</v>
      </c>
      <c r="B281" s="3226" t="s">
        <v>3140</v>
      </c>
      <c r="C281" s="3226">
        <v>4480</v>
      </c>
      <c r="D281" s="3226">
        <v>4420</v>
      </c>
      <c r="E281" s="3226">
        <v>5230</v>
      </c>
      <c r="F281" s="3226">
        <v>870</v>
      </c>
      <c r="G281" s="3239">
        <v>2660</v>
      </c>
    </row>
    <row r="282" spans="1:7" s="3215" customFormat="1" ht="14.25" customHeight="1">
      <c r="A282" s="3226" t="s">
        <v>306</v>
      </c>
      <c r="B282" s="3226" t="s">
        <v>3141</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3142</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3143</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2918</v>
      </c>
      <c r="C293" s="3226">
        <v>5320</v>
      </c>
      <c r="D293" s="3226">
        <v>5270</v>
      </c>
      <c r="E293" s="3226">
        <v>6160</v>
      </c>
      <c r="F293" s="3226">
        <v>990</v>
      </c>
      <c r="G293" s="3239">
        <v>3170</v>
      </c>
    </row>
    <row r="294" spans="1:7" s="3215" customFormat="1" ht="14.25" customHeight="1">
      <c r="A294" s="3226" t="s">
        <v>306</v>
      </c>
      <c r="B294" s="3226" t="s">
        <v>3144</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2937</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3145</v>
      </c>
      <c r="C302" s="3226">
        <v>5520</v>
      </c>
      <c r="D302" s="3226">
        <v>5470</v>
      </c>
      <c r="E302" s="3226">
        <v>6410</v>
      </c>
      <c r="F302" s="3226">
        <v>950</v>
      </c>
      <c r="G302" s="3239">
        <v>3300</v>
      </c>
    </row>
    <row r="303" spans="1:7" s="3215" customFormat="1" ht="14.25" customHeight="1">
      <c r="A303" s="3226" t="s">
        <v>306</v>
      </c>
      <c r="B303" s="3226" t="s">
        <v>2957</v>
      </c>
      <c r="C303" s="3226">
        <v>5630</v>
      </c>
      <c r="D303" s="3226">
        <v>5590</v>
      </c>
      <c r="E303" s="3226">
        <v>6550</v>
      </c>
      <c r="F303" s="3226">
        <v>1010</v>
      </c>
      <c r="G303" s="3239">
        <v>3370</v>
      </c>
    </row>
    <row r="304" spans="1:7" s="3215" customFormat="1" ht="14.25" customHeight="1">
      <c r="A304" s="3226" t="s">
        <v>306</v>
      </c>
      <c r="B304" s="3226" t="s">
        <v>2964</v>
      </c>
      <c r="C304" s="3226">
        <v>5680</v>
      </c>
      <c r="D304" s="3226">
        <v>5620</v>
      </c>
      <c r="E304" s="3226">
        <v>6620</v>
      </c>
      <c r="F304" s="3226">
        <v>1050</v>
      </c>
      <c r="G304" s="3239">
        <v>3390</v>
      </c>
    </row>
    <row r="305" spans="1:7" s="3215" customFormat="1" ht="14.25" customHeight="1">
      <c r="A305" s="3226" t="s">
        <v>306</v>
      </c>
      <c r="B305" s="3226" t="s">
        <v>2970</v>
      </c>
      <c r="C305" s="3226">
        <v>5590</v>
      </c>
      <c r="D305" s="3226">
        <v>5530</v>
      </c>
      <c r="E305" s="3226">
        <v>6460</v>
      </c>
      <c r="F305" s="3226">
        <v>900</v>
      </c>
      <c r="G305" s="3239">
        <v>3340</v>
      </c>
    </row>
    <row r="306" spans="1:7" s="3215" customFormat="1" ht="14.25" customHeight="1">
      <c r="A306" s="3226" t="s">
        <v>306</v>
      </c>
      <c r="B306" s="3226" t="s">
        <v>3146</v>
      </c>
      <c r="C306" s="3226">
        <v>5560</v>
      </c>
      <c r="D306" s="3226">
        <v>5510</v>
      </c>
      <c r="E306" s="3226">
        <v>6440</v>
      </c>
      <c r="F306" s="3226">
        <v>900</v>
      </c>
      <c r="G306" s="3239">
        <v>3320</v>
      </c>
    </row>
    <row r="307" spans="1:7" s="3215" customFormat="1" ht="14.25" customHeight="1">
      <c r="A307" s="3226" t="s">
        <v>306</v>
      </c>
      <c r="B307" s="3226" t="s">
        <v>2982</v>
      </c>
      <c r="C307" s="3226">
        <v>5650</v>
      </c>
      <c r="D307" s="3226">
        <v>5600</v>
      </c>
      <c r="E307" s="3226">
        <v>6590</v>
      </c>
      <c r="F307" s="3226">
        <v>930</v>
      </c>
      <c r="G307" s="3239">
        <v>3380</v>
      </c>
    </row>
    <row r="308" spans="1:7" s="3215" customFormat="1" ht="14.25" customHeight="1">
      <c r="A308" s="3226" t="s">
        <v>306</v>
      </c>
      <c r="B308" s="3226" t="s">
        <v>3147</v>
      </c>
      <c r="C308" s="3226">
        <v>5620</v>
      </c>
      <c r="D308" s="3226">
        <v>5580</v>
      </c>
      <c r="E308" s="3226">
        <v>6540</v>
      </c>
      <c r="F308" s="3226">
        <v>910</v>
      </c>
      <c r="G308" s="3239">
        <v>3370</v>
      </c>
    </row>
    <row r="309" spans="1:7" s="3215" customFormat="1" ht="14.25" customHeight="1">
      <c r="A309" s="3226" t="s">
        <v>306</v>
      </c>
      <c r="B309" s="3226" t="s">
        <v>3148</v>
      </c>
      <c r="C309" s="3226">
        <v>5060</v>
      </c>
      <c r="D309" s="3226">
        <v>5020</v>
      </c>
      <c r="E309" s="3226">
        <v>6370</v>
      </c>
      <c r="F309" s="3226">
        <v>800</v>
      </c>
      <c r="G309" s="3239">
        <v>3020</v>
      </c>
    </row>
    <row r="310" spans="1:7" s="3215" customFormat="1" ht="14.25" customHeight="1">
      <c r="A310" s="3226" t="s">
        <v>306</v>
      </c>
      <c r="B310" s="3226" t="s">
        <v>2997</v>
      </c>
      <c r="C310" s="3226">
        <v>5150</v>
      </c>
      <c r="D310" s="3226">
        <v>5110</v>
      </c>
      <c r="E310" s="3226">
        <v>6500</v>
      </c>
      <c r="F310" s="3226">
        <v>880</v>
      </c>
      <c r="G310" s="3239">
        <v>3080</v>
      </c>
    </row>
    <row r="311" spans="1:7" s="3215" customFormat="1" ht="14.25" customHeight="1">
      <c r="A311" s="3226" t="s">
        <v>306</v>
      </c>
      <c r="B311" s="3226" t="s">
        <v>3149</v>
      </c>
      <c r="C311" s="3226">
        <v>4750</v>
      </c>
      <c r="D311" s="3226">
        <v>4710</v>
      </c>
      <c r="E311" s="3226">
        <v>5510</v>
      </c>
      <c r="F311" s="3226">
        <v>880</v>
      </c>
      <c r="G311" s="3239">
        <v>2840</v>
      </c>
    </row>
    <row r="312" spans="1:7" s="3215" customFormat="1" ht="14.25" customHeight="1">
      <c r="A312" s="3226" t="s">
        <v>306</v>
      </c>
      <c r="B312" s="3226" t="s">
        <v>3007</v>
      </c>
      <c r="C312" s="3226">
        <v>4690</v>
      </c>
      <c r="D312" s="3226">
        <v>4640</v>
      </c>
      <c r="E312" s="3226">
        <v>5420</v>
      </c>
      <c r="F312" s="3226">
        <v>800</v>
      </c>
      <c r="G312" s="3239">
        <v>2800</v>
      </c>
    </row>
    <row r="313" spans="1:7" s="3215" customFormat="1" ht="14.25" customHeight="1">
      <c r="A313" s="3226" t="s">
        <v>306</v>
      </c>
      <c r="B313" s="3226" t="s">
        <v>3012</v>
      </c>
      <c r="C313" s="3226">
        <v>4810</v>
      </c>
      <c r="D313" s="3226">
        <v>4760</v>
      </c>
      <c r="E313" s="3226">
        <v>5550</v>
      </c>
      <c r="F313" s="3226">
        <v>920</v>
      </c>
      <c r="G313" s="3239">
        <v>2870</v>
      </c>
    </row>
    <row r="314" spans="1:7" s="3215" customFormat="1" ht="14.25" customHeight="1">
      <c r="A314" s="3226" t="s">
        <v>306</v>
      </c>
      <c r="B314" s="3226" t="s">
        <v>3150</v>
      </c>
      <c r="C314" s="3226"/>
      <c r="D314" s="3226"/>
      <c r="E314" s="3226"/>
      <c r="F314" s="3226">
        <v>1020</v>
      </c>
      <c r="G314" s="3239"/>
    </row>
    <row r="315" spans="1:7" s="3215" customFormat="1" ht="14.25" customHeight="1">
      <c r="A315" s="3226" t="s">
        <v>306</v>
      </c>
      <c r="B315" s="3226" t="s">
        <v>3151</v>
      </c>
      <c r="C315" s="3226"/>
      <c r="D315" s="3226"/>
      <c r="E315" s="3226"/>
      <c r="F315" s="3226">
        <v>1050</v>
      </c>
      <c r="G315" s="3239"/>
    </row>
    <row r="316" spans="1:7" s="3215" customFormat="1" ht="14.25" customHeight="1">
      <c r="A316" s="3226" t="s">
        <v>306</v>
      </c>
      <c r="B316" s="3226" t="s">
        <v>3027</v>
      </c>
      <c r="C316" s="3226"/>
      <c r="D316" s="3226"/>
      <c r="E316" s="3226"/>
      <c r="F316" s="3226">
        <v>900</v>
      </c>
      <c r="G316" s="3239"/>
    </row>
    <row r="317" spans="1:7" s="3215" customFormat="1" ht="14.25" customHeight="1">
      <c r="A317" s="3226" t="s">
        <v>306</v>
      </c>
      <c r="B317" s="3226" t="s">
        <v>3152</v>
      </c>
      <c r="C317" s="3226"/>
      <c r="D317" s="3226"/>
      <c r="E317" s="3226"/>
      <c r="F317" s="3226">
        <v>920</v>
      </c>
      <c r="G317" s="3239"/>
    </row>
    <row r="318" spans="1:7" s="3215" customFormat="1" ht="14.25" customHeight="1">
      <c r="A318" s="3226" t="s">
        <v>306</v>
      </c>
      <c r="B318" s="3226" t="s">
        <v>3153</v>
      </c>
      <c r="C318" s="3226"/>
      <c r="D318" s="3226"/>
      <c r="E318" s="3226"/>
      <c r="F318" s="3226">
        <v>1080</v>
      </c>
      <c r="G318" s="3239"/>
    </row>
    <row r="319" spans="1:7" s="3215" customFormat="1" ht="14.25" customHeight="1">
      <c r="A319" s="3226" t="s">
        <v>306</v>
      </c>
      <c r="B319" s="3226" t="s">
        <v>3040</v>
      </c>
      <c r="C319" s="3226"/>
      <c r="D319" s="3226"/>
      <c r="E319" s="3226"/>
      <c r="F319" s="3226">
        <v>1020</v>
      </c>
      <c r="G319" s="3239"/>
    </row>
    <row r="320" spans="1:7" s="3215" customFormat="1" ht="14.25" customHeight="1">
      <c r="A320" s="3226" t="s">
        <v>306</v>
      </c>
      <c r="B320" s="3226" t="s">
        <v>3043</v>
      </c>
      <c r="C320" s="3226"/>
      <c r="D320" s="3226"/>
      <c r="E320" s="3226"/>
      <c r="F320" s="3226">
        <v>1050</v>
      </c>
      <c r="G320" s="3239"/>
    </row>
    <row r="321" spans="1:7" s="3215" customFormat="1" ht="14.25" customHeight="1">
      <c r="A321" s="3226" t="s">
        <v>306</v>
      </c>
      <c r="B321" s="3226" t="s">
        <v>3045</v>
      </c>
      <c r="C321" s="3226"/>
      <c r="D321" s="3226"/>
      <c r="E321" s="3226"/>
      <c r="F321" s="3226">
        <v>960</v>
      </c>
      <c r="G321" s="3239"/>
    </row>
    <row r="322" spans="1:7" s="3215" customFormat="1" ht="14.25" customHeight="1">
      <c r="A322" s="3226" t="s">
        <v>306</v>
      </c>
      <c r="B322" s="3226" t="s">
        <v>3047</v>
      </c>
      <c r="C322" s="3226"/>
      <c r="D322" s="3226"/>
      <c r="E322" s="3226"/>
      <c r="F322" s="3226">
        <v>960</v>
      </c>
      <c r="G322" s="3239"/>
    </row>
    <row r="323" spans="1:7" s="3215" customFormat="1" ht="14.25" customHeight="1">
      <c r="A323" s="3226" t="s">
        <v>306</v>
      </c>
      <c r="B323" s="3226" t="s">
        <v>3049</v>
      </c>
      <c r="C323" s="3226"/>
      <c r="D323" s="3226"/>
      <c r="E323" s="3226"/>
      <c r="F323" s="3226">
        <v>880</v>
      </c>
      <c r="G323" s="3239"/>
    </row>
    <row r="324" spans="1:7" s="3215" customFormat="1" ht="14.25" customHeight="1">
      <c r="A324" s="3226" t="s">
        <v>306</v>
      </c>
      <c r="B324" s="3226" t="s">
        <v>3051</v>
      </c>
      <c r="C324" s="3226"/>
      <c r="D324" s="3226"/>
      <c r="E324" s="3226"/>
      <c r="F324" s="3226">
        <v>930</v>
      </c>
      <c r="G324" s="3239"/>
    </row>
    <row r="325" spans="1:7" s="3215" customFormat="1" ht="14.25" customHeight="1">
      <c r="A325" s="3226" t="s">
        <v>306</v>
      </c>
      <c r="B325" s="3227" t="s">
        <v>3053</v>
      </c>
      <c r="C325" s="3226"/>
      <c r="D325" s="3226"/>
      <c r="E325" s="3226"/>
      <c r="F325" s="3226">
        <v>900</v>
      </c>
      <c r="G325" s="3239"/>
    </row>
    <row r="326" spans="1:7" s="3215" customFormat="1" ht="14.25" customHeight="1" thickBot="1">
      <c r="A326" s="3240" t="s">
        <v>306</v>
      </c>
      <c r="B326" s="3233" t="s">
        <v>3055</v>
      </c>
      <c r="C326" s="3233"/>
      <c r="D326" s="3233"/>
      <c r="E326" s="3233"/>
      <c r="F326" s="3233">
        <v>790</v>
      </c>
      <c r="G326" s="3241"/>
    </row>
    <row r="327" spans="1:7" s="3215" customFormat="1" ht="14.25" customHeight="1">
      <c r="A327" s="3231" t="s">
        <v>307</v>
      </c>
      <c r="B327" s="3222" t="s">
        <v>3154</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3155</v>
      </c>
      <c r="C329" s="3226">
        <v>2730</v>
      </c>
      <c r="D329" s="3226">
        <v>2690</v>
      </c>
      <c r="E329" s="3226">
        <v>3100</v>
      </c>
      <c r="F329" s="3226">
        <v>660</v>
      </c>
      <c r="G329" s="3226">
        <v>1610</v>
      </c>
    </row>
    <row r="330" spans="1:7" s="3215" customFormat="1" ht="14.25" customHeight="1">
      <c r="A330" s="3226" t="s">
        <v>307</v>
      </c>
      <c r="B330" s="3226" t="s">
        <v>3156</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2889</v>
      </c>
      <c r="C332" s="3226">
        <v>3520</v>
      </c>
      <c r="D332" s="3226">
        <v>3480</v>
      </c>
      <c r="E332" s="3226">
        <v>3830</v>
      </c>
      <c r="F332" s="3226">
        <v>720</v>
      </c>
      <c r="G332" s="3226">
        <v>2090</v>
      </c>
    </row>
    <row r="333" spans="1:7" s="3215" customFormat="1" ht="14.25" customHeight="1">
      <c r="A333" s="3226" t="s">
        <v>307</v>
      </c>
      <c r="B333" s="3226" t="s">
        <v>3157</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2899</v>
      </c>
      <c r="C336" s="3226">
        <v>3570</v>
      </c>
      <c r="D336" s="3226">
        <v>3530</v>
      </c>
      <c r="E336" s="3226">
        <v>3880</v>
      </c>
      <c r="F336" s="3226">
        <v>770</v>
      </c>
      <c r="G336" s="3226">
        <v>2110</v>
      </c>
    </row>
    <row r="337" spans="1:10" s="3215" customFormat="1" ht="14.25" customHeight="1">
      <c r="A337" s="3226" t="s">
        <v>307</v>
      </c>
      <c r="B337" s="3226" t="s">
        <v>3158</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3159</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3160</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2924</v>
      </c>
      <c r="C345" s="3226">
        <v>3190</v>
      </c>
      <c r="D345" s="3226">
        <v>3140</v>
      </c>
      <c r="E345" s="3226">
        <v>3450</v>
      </c>
      <c r="F345" s="3226">
        <v>720</v>
      </c>
      <c r="G345" s="3226">
        <v>1880</v>
      </c>
      <c r="J345" s="3215"/>
    </row>
    <row r="346" spans="1:10">
      <c r="A346" s="3226" t="s">
        <v>307</v>
      </c>
      <c r="B346" s="3226" t="s">
        <v>3161</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2933</v>
      </c>
      <c r="C348" s="3226">
        <v>4000</v>
      </c>
      <c r="D348" s="3226">
        <v>3950</v>
      </c>
      <c r="E348" s="3226">
        <v>4430</v>
      </c>
      <c r="F348" s="3226">
        <v>760</v>
      </c>
      <c r="G348" s="3226">
        <v>2360</v>
      </c>
      <c r="J348" s="3215"/>
    </row>
    <row r="349" spans="1:10">
      <c r="A349" s="3226" t="s">
        <v>307</v>
      </c>
      <c r="B349" s="3226" t="s">
        <v>2938</v>
      </c>
      <c r="C349" s="3226">
        <v>3820</v>
      </c>
      <c r="D349" s="3226">
        <v>3780</v>
      </c>
      <c r="E349" s="3226">
        <v>4170</v>
      </c>
      <c r="F349" s="3226">
        <v>710</v>
      </c>
      <c r="G349" s="3226">
        <v>2260</v>
      </c>
      <c r="J349" s="3215"/>
    </row>
    <row r="350" spans="1:10">
      <c r="A350" s="3226" t="s">
        <v>307</v>
      </c>
      <c r="B350" s="3226" t="s">
        <v>3162</v>
      </c>
      <c r="C350" s="3226">
        <v>3760</v>
      </c>
      <c r="D350" s="3226">
        <v>3730</v>
      </c>
      <c r="E350" s="3226">
        <v>4100</v>
      </c>
      <c r="F350" s="3226">
        <v>800</v>
      </c>
      <c r="G350" s="3226">
        <v>2230</v>
      </c>
      <c r="J350" s="3215"/>
    </row>
    <row r="351" spans="1:10">
      <c r="A351" s="3226" t="s">
        <v>307</v>
      </c>
      <c r="B351" s="3226" t="s">
        <v>2946</v>
      </c>
      <c r="C351" s="3226">
        <v>3610</v>
      </c>
      <c r="D351" s="3226">
        <v>3580</v>
      </c>
      <c r="E351" s="3226">
        <v>3930</v>
      </c>
      <c r="F351" s="3226">
        <v>700</v>
      </c>
      <c r="G351" s="3226">
        <v>2140</v>
      </c>
      <c r="J351" s="3215"/>
    </row>
    <row r="352" spans="1:10">
      <c r="A352" s="3226" t="s">
        <v>307</v>
      </c>
      <c r="B352" s="3226" t="s">
        <v>2951</v>
      </c>
      <c r="C352" s="3226">
        <v>3670</v>
      </c>
      <c r="D352" s="3226">
        <v>3630</v>
      </c>
      <c r="E352" s="3226">
        <v>4000</v>
      </c>
      <c r="F352" s="3226">
        <v>750</v>
      </c>
      <c r="G352" s="3226">
        <v>2180</v>
      </c>
    </row>
    <row r="353" spans="1:7" s="3219" customFormat="1">
      <c r="A353" s="3226" t="s">
        <v>307</v>
      </c>
      <c r="B353" s="3226" t="s">
        <v>3163</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2971</v>
      </c>
      <c r="C355" s="3226">
        <v>3650</v>
      </c>
      <c r="D355" s="3226">
        <v>3610</v>
      </c>
      <c r="E355" s="3226">
        <v>4200</v>
      </c>
      <c r="F355" s="3226">
        <v>640</v>
      </c>
      <c r="G355" s="3226">
        <v>2160</v>
      </c>
    </row>
    <row r="356" spans="1:7" s="3219" customFormat="1">
      <c r="A356" s="3226" t="s">
        <v>307</v>
      </c>
      <c r="B356" s="3226" t="s">
        <v>2978</v>
      </c>
      <c r="C356" s="3226">
        <v>3260</v>
      </c>
      <c r="D356" s="3226">
        <v>3230</v>
      </c>
      <c r="E356" s="3226">
        <v>3740</v>
      </c>
      <c r="F356" s="3226">
        <v>600</v>
      </c>
      <c r="G356" s="3226">
        <v>1930</v>
      </c>
    </row>
    <row r="357" spans="1:7" s="3219" customFormat="1" ht="12" thickBot="1">
      <c r="A357" s="3234" t="s">
        <v>307</v>
      </c>
      <c r="B357" s="3237" t="s">
        <v>3164</v>
      </c>
      <c r="C357" s="3237">
        <v>3690</v>
      </c>
      <c r="D357" s="3237">
        <v>3650</v>
      </c>
      <c r="E357" s="3237">
        <v>4020</v>
      </c>
      <c r="F357" s="3237">
        <v>700</v>
      </c>
      <c r="G357" s="3237">
        <v>2190</v>
      </c>
    </row>
    <row r="358" spans="1:7" s="3219" customFormat="1">
      <c r="A358" s="3231" t="s">
        <v>3165</v>
      </c>
      <c r="B358" s="3222" t="s">
        <v>3166</v>
      </c>
      <c r="C358" s="3222">
        <v>2080</v>
      </c>
      <c r="D358" s="3222">
        <v>2040</v>
      </c>
      <c r="E358" s="3222">
        <v>2010</v>
      </c>
      <c r="F358" s="3222">
        <v>530</v>
      </c>
      <c r="G358" s="3238">
        <v>1230</v>
      </c>
    </row>
    <row r="359" spans="1:7" s="3219" customFormat="1">
      <c r="A359" s="3226" t="s">
        <v>3165</v>
      </c>
      <c r="B359" s="3226" t="s">
        <v>3167</v>
      </c>
      <c r="C359" s="3226">
        <v>1850</v>
      </c>
      <c r="D359" s="3226">
        <v>1820</v>
      </c>
      <c r="E359" s="3226">
        <v>1780</v>
      </c>
      <c r="F359" s="3226">
        <v>520</v>
      </c>
      <c r="G359" s="3239">
        <v>1100</v>
      </c>
    </row>
    <row r="360" spans="1:7" s="3219" customFormat="1">
      <c r="A360" s="3226" t="s">
        <v>3165</v>
      </c>
      <c r="B360" s="3226" t="s">
        <v>3168</v>
      </c>
      <c r="C360" s="3226">
        <v>2020</v>
      </c>
      <c r="D360" s="3226">
        <v>1990</v>
      </c>
      <c r="E360" s="3226">
        <v>1950</v>
      </c>
      <c r="F360" s="3226">
        <v>500</v>
      </c>
      <c r="G360" s="3239">
        <v>1200</v>
      </c>
    </row>
    <row r="361" spans="1:7" s="3219" customFormat="1">
      <c r="A361" s="3226" t="s">
        <v>3165</v>
      </c>
      <c r="B361" s="3226" t="s">
        <v>153</v>
      </c>
      <c r="C361" s="3226">
        <v>2260</v>
      </c>
      <c r="D361" s="3226">
        <v>2220</v>
      </c>
      <c r="E361" s="3226">
        <v>2180</v>
      </c>
      <c r="F361" s="3226">
        <v>580</v>
      </c>
      <c r="G361" s="3239">
        <v>1340</v>
      </c>
    </row>
    <row r="362" spans="1:7" s="3219" customFormat="1">
      <c r="A362" s="3226" t="s">
        <v>3165</v>
      </c>
      <c r="B362" s="3226" t="s">
        <v>3169</v>
      </c>
      <c r="C362" s="3226">
        <v>2650</v>
      </c>
      <c r="D362" s="3226">
        <v>2610</v>
      </c>
      <c r="E362" s="3226">
        <v>2570</v>
      </c>
      <c r="F362" s="3226">
        <v>630</v>
      </c>
      <c r="G362" s="3239">
        <v>1570</v>
      </c>
    </row>
    <row r="363" spans="1:7" s="3219" customFormat="1">
      <c r="A363" s="3226" t="s">
        <v>3165</v>
      </c>
      <c r="B363" s="3226" t="s">
        <v>2890</v>
      </c>
      <c r="C363" s="3226">
        <v>2390</v>
      </c>
      <c r="D363" s="3226">
        <v>2360</v>
      </c>
      <c r="E363" s="3226">
        <v>2320</v>
      </c>
      <c r="F363" s="3226">
        <v>600</v>
      </c>
      <c r="G363" s="3239">
        <v>1420</v>
      </c>
    </row>
    <row r="364" spans="1:7" s="3219" customFormat="1">
      <c r="A364" s="3226" t="s">
        <v>3165</v>
      </c>
      <c r="B364" s="3226" t="s">
        <v>3170</v>
      </c>
      <c r="C364" s="3226">
        <v>2050</v>
      </c>
      <c r="D364" s="3226">
        <v>2030</v>
      </c>
      <c r="E364" s="3226">
        <v>1990</v>
      </c>
      <c r="F364" s="3226">
        <v>550</v>
      </c>
      <c r="G364" s="3239">
        <v>1220</v>
      </c>
    </row>
    <row r="365" spans="1:7" s="3219" customFormat="1">
      <c r="A365" s="3226" t="s">
        <v>3165</v>
      </c>
      <c r="B365" s="3226" t="s">
        <v>200</v>
      </c>
      <c r="C365" s="3226">
        <v>2140</v>
      </c>
      <c r="D365" s="3226">
        <v>2100</v>
      </c>
      <c r="E365" s="3226">
        <v>2060</v>
      </c>
      <c r="F365" s="3226">
        <v>540</v>
      </c>
      <c r="G365" s="3239">
        <v>1270</v>
      </c>
    </row>
    <row r="366" spans="1:7" s="3219" customFormat="1">
      <c r="A366" s="3226" t="s">
        <v>3165</v>
      </c>
      <c r="B366" s="3226" t="s">
        <v>2897</v>
      </c>
      <c r="C366" s="3226">
        <v>2410</v>
      </c>
      <c r="D366" s="3226">
        <v>2370</v>
      </c>
      <c r="E366" s="3226">
        <v>2330</v>
      </c>
      <c r="F366" s="3226">
        <v>570</v>
      </c>
      <c r="G366" s="3239">
        <v>1440</v>
      </c>
    </row>
    <row r="367" spans="1:7" s="3219" customFormat="1">
      <c r="A367" s="3226" t="s">
        <v>3165</v>
      </c>
      <c r="B367" s="3226" t="s">
        <v>3171</v>
      </c>
      <c r="C367" s="3226">
        <v>2300</v>
      </c>
      <c r="D367" s="3226">
        <v>2260</v>
      </c>
      <c r="E367" s="3226">
        <v>2220</v>
      </c>
      <c r="F367" s="3226">
        <v>560</v>
      </c>
      <c r="G367" s="3239">
        <v>1370</v>
      </c>
    </row>
    <row r="368" spans="1:7" s="3219" customFormat="1">
      <c r="A368" s="3226" t="s">
        <v>3165</v>
      </c>
      <c r="B368" s="3226" t="s">
        <v>3172</v>
      </c>
      <c r="C368" s="3226">
        <v>2430</v>
      </c>
      <c r="D368" s="3226">
        <v>2390</v>
      </c>
      <c r="E368" s="3226">
        <v>2350</v>
      </c>
      <c r="F368" s="3226">
        <v>570</v>
      </c>
      <c r="G368" s="3239">
        <v>1450</v>
      </c>
    </row>
    <row r="369" spans="1:7" s="3219" customFormat="1">
      <c r="A369" s="3226" t="s">
        <v>3165</v>
      </c>
      <c r="B369" s="3226" t="s">
        <v>214</v>
      </c>
      <c r="C369" s="3226">
        <v>2320</v>
      </c>
      <c r="D369" s="3226">
        <v>2290</v>
      </c>
      <c r="E369" s="3226">
        <v>2250</v>
      </c>
      <c r="F369" s="3226">
        <v>550</v>
      </c>
      <c r="G369" s="3239">
        <v>1380</v>
      </c>
    </row>
    <row r="370" spans="1:7" s="3219" customFormat="1">
      <c r="A370" s="3226" t="s">
        <v>3165</v>
      </c>
      <c r="B370" s="3226" t="s">
        <v>221</v>
      </c>
      <c r="C370" s="3226">
        <v>2190</v>
      </c>
      <c r="D370" s="3226">
        <v>2170</v>
      </c>
      <c r="E370" s="3226">
        <v>2130</v>
      </c>
      <c r="F370" s="3226">
        <v>530</v>
      </c>
      <c r="G370" s="3239">
        <v>1310</v>
      </c>
    </row>
    <row r="371" spans="1:7" s="3219" customFormat="1">
      <c r="A371" s="3226" t="s">
        <v>3165</v>
      </c>
      <c r="B371" s="3226" t="s">
        <v>229</v>
      </c>
      <c r="C371" s="3226">
        <v>2460</v>
      </c>
      <c r="D371" s="3226">
        <v>2420</v>
      </c>
      <c r="E371" s="3226">
        <v>2370</v>
      </c>
      <c r="F371" s="3226">
        <v>560</v>
      </c>
      <c r="G371" s="3239">
        <v>1470</v>
      </c>
    </row>
    <row r="372" spans="1:7" s="3219" customFormat="1">
      <c r="A372" s="3226" t="s">
        <v>3165</v>
      </c>
      <c r="B372" s="3226" t="s">
        <v>3173</v>
      </c>
      <c r="C372" s="3226">
        <v>2250</v>
      </c>
      <c r="D372" s="3226">
        <v>2210</v>
      </c>
      <c r="E372" s="3226">
        <v>2180</v>
      </c>
      <c r="F372" s="3226">
        <v>550</v>
      </c>
      <c r="G372" s="3239">
        <v>1340</v>
      </c>
    </row>
    <row r="373" spans="1:7" s="3219" customFormat="1">
      <c r="A373" s="3226" t="s">
        <v>3165</v>
      </c>
      <c r="B373" s="3226" t="s">
        <v>258</v>
      </c>
      <c r="C373" s="3226">
        <v>2210</v>
      </c>
      <c r="D373" s="3226">
        <v>2190</v>
      </c>
      <c r="E373" s="3226">
        <v>2150</v>
      </c>
      <c r="F373" s="3226">
        <v>530</v>
      </c>
      <c r="G373" s="3239">
        <v>1320</v>
      </c>
    </row>
    <row r="374" spans="1:7" s="3219" customFormat="1">
      <c r="A374" s="3226" t="s">
        <v>3165</v>
      </c>
      <c r="B374" s="3226" t="s">
        <v>266</v>
      </c>
      <c r="C374" s="3226">
        <v>2320</v>
      </c>
      <c r="D374" s="3226">
        <v>2280</v>
      </c>
      <c r="E374" s="3226">
        <v>2230</v>
      </c>
      <c r="F374" s="3226">
        <v>580</v>
      </c>
      <c r="G374" s="3239">
        <v>1380</v>
      </c>
    </row>
    <row r="375" spans="1:7" s="3219" customFormat="1">
      <c r="A375" s="3226" t="s">
        <v>3165</v>
      </c>
      <c r="B375" s="3226" t="s">
        <v>3174</v>
      </c>
      <c r="C375" s="3226">
        <v>2090</v>
      </c>
      <c r="D375" s="3226">
        <v>2050</v>
      </c>
      <c r="E375" s="3226">
        <v>2020</v>
      </c>
      <c r="F375" s="3226">
        <v>520</v>
      </c>
      <c r="G375" s="3239">
        <v>1240</v>
      </c>
    </row>
    <row r="376" spans="1:7" s="3219" customFormat="1">
      <c r="A376" s="3226" t="s">
        <v>3165</v>
      </c>
      <c r="B376" s="3226" t="s">
        <v>277</v>
      </c>
      <c r="C376" s="3226">
        <v>2010</v>
      </c>
      <c r="D376" s="3226">
        <v>1980</v>
      </c>
      <c r="E376" s="3226">
        <v>1940</v>
      </c>
      <c r="F376" s="3226">
        <v>540</v>
      </c>
      <c r="G376" s="3239">
        <v>1190</v>
      </c>
    </row>
    <row r="377" spans="1:7" s="3219" customFormat="1" ht="12" thickBot="1">
      <c r="A377" s="3234" t="s">
        <v>3165</v>
      </c>
      <c r="B377" s="3237" t="s">
        <v>2927</v>
      </c>
      <c r="C377" s="3237">
        <v>1930</v>
      </c>
      <c r="D377" s="3237">
        <v>1890</v>
      </c>
      <c r="E377" s="3237">
        <v>1860</v>
      </c>
      <c r="F377" s="3237">
        <v>530</v>
      </c>
      <c r="G377" s="3242">
        <v>1150</v>
      </c>
    </row>
    <row r="378" spans="1:7" s="3219" customFormat="1">
      <c r="A378" s="3243" t="s">
        <v>3175</v>
      </c>
      <c r="B378" s="3222" t="s">
        <v>3176</v>
      </c>
      <c r="C378" s="3222">
        <v>1520</v>
      </c>
      <c r="D378" s="3222">
        <v>1490</v>
      </c>
      <c r="E378" s="3222">
        <v>1460</v>
      </c>
      <c r="F378" s="3222">
        <v>460</v>
      </c>
      <c r="G378" s="3238">
        <v>940</v>
      </c>
    </row>
    <row r="379" spans="1:7" s="3219" customFormat="1">
      <c r="A379" s="3244" t="s">
        <v>3175</v>
      </c>
      <c r="B379" s="3226" t="s">
        <v>3177</v>
      </c>
      <c r="C379" s="3226">
        <v>1500</v>
      </c>
      <c r="D379" s="3226">
        <v>1470</v>
      </c>
      <c r="E379" s="3226">
        <v>1430</v>
      </c>
      <c r="F379" s="3226">
        <v>460</v>
      </c>
      <c r="G379" s="3239">
        <v>920</v>
      </c>
    </row>
    <row r="380" spans="1:7" s="3219" customFormat="1">
      <c r="A380" s="3244" t="s">
        <v>3175</v>
      </c>
      <c r="B380" s="3226" t="s">
        <v>3178</v>
      </c>
      <c r="C380" s="3226">
        <v>1620</v>
      </c>
      <c r="D380" s="3226">
        <v>1590</v>
      </c>
      <c r="E380" s="3226">
        <v>1560</v>
      </c>
      <c r="F380" s="3226">
        <v>480</v>
      </c>
      <c r="G380" s="3239">
        <v>1000</v>
      </c>
    </row>
    <row r="381" spans="1:7" s="3219" customFormat="1">
      <c r="A381" s="3244" t="s">
        <v>3175</v>
      </c>
      <c r="B381" s="3226" t="s">
        <v>3179</v>
      </c>
      <c r="C381" s="3226">
        <v>1460</v>
      </c>
      <c r="D381" s="3226">
        <v>1430</v>
      </c>
      <c r="E381" s="3226">
        <v>1390</v>
      </c>
      <c r="F381" s="3226">
        <v>450</v>
      </c>
      <c r="G381" s="3239">
        <v>900</v>
      </c>
    </row>
    <row r="382" spans="1:7" s="3219" customFormat="1">
      <c r="A382" s="3244" t="s">
        <v>3175</v>
      </c>
      <c r="B382" s="3226" t="s">
        <v>3180</v>
      </c>
      <c r="C382" s="3226">
        <v>1310</v>
      </c>
      <c r="D382" s="3226">
        <v>1280</v>
      </c>
      <c r="E382" s="3226">
        <v>1250</v>
      </c>
      <c r="F382" s="3226">
        <v>440</v>
      </c>
      <c r="G382" s="3239">
        <v>800</v>
      </c>
    </row>
    <row r="383" spans="1:7" s="3219" customFormat="1">
      <c r="A383" s="3244" t="s">
        <v>3175</v>
      </c>
      <c r="B383" s="3226" t="s">
        <v>3181</v>
      </c>
      <c r="C383" s="3226">
        <v>1260</v>
      </c>
      <c r="D383" s="3226">
        <v>1230</v>
      </c>
      <c r="E383" s="3226">
        <v>1200</v>
      </c>
      <c r="F383" s="3226">
        <v>420</v>
      </c>
      <c r="G383" s="3239">
        <v>770</v>
      </c>
    </row>
    <row r="384" spans="1:7" s="3219" customFormat="1" ht="12" thickBot="1">
      <c r="A384" s="3245" t="s">
        <v>3175</v>
      </c>
      <c r="B384" s="3233" t="s">
        <v>3182</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5" t="s">
        <v>3183</v>
      </c>
      <c r="B1" s="3845"/>
    </row>
    <row r="2" spans="1:7" ht="14.25" thickBot="1">
      <c r="A2" s="3248"/>
      <c r="B2" s="3248"/>
    </row>
    <row r="3" spans="1:7" ht="14.25" thickBot="1">
      <c r="A3" s="3248"/>
      <c r="B3" s="3248"/>
      <c r="C3" s="3249" t="s">
        <v>2813</v>
      </c>
      <c r="D3" s="3249" t="s">
        <v>2869</v>
      </c>
      <c r="E3" s="3249" t="s">
        <v>2815</v>
      </c>
      <c r="F3" s="3249" t="s">
        <v>2870</v>
      </c>
      <c r="G3" s="3249" t="s">
        <v>2633</v>
      </c>
    </row>
    <row r="4" spans="1:7" ht="14.25" thickBot="1">
      <c r="A4" s="3250" t="s">
        <v>2868</v>
      </c>
      <c r="B4" s="3251" t="s">
        <v>2874</v>
      </c>
      <c r="C4" s="3249"/>
      <c r="D4" s="3249"/>
      <c r="E4" s="3249"/>
      <c r="F4" s="3249"/>
      <c r="G4" s="3249"/>
    </row>
    <row r="5" spans="1:7">
      <c r="A5" s="3252" t="s">
        <v>2842</v>
      </c>
      <c r="B5" s="3253" t="s">
        <v>2856</v>
      </c>
      <c r="C5" s="3254">
        <v>9.8000000000000004E-2</v>
      </c>
      <c r="D5" s="3254">
        <v>8.6999999999999994E-2</v>
      </c>
      <c r="E5" s="3254">
        <v>8.6999999999999994E-2</v>
      </c>
      <c r="F5" s="3254">
        <v>9.8000000000000004E-2</v>
      </c>
      <c r="G5" s="3255">
        <v>9.5000000000000001E-2</v>
      </c>
    </row>
    <row r="6" spans="1:7">
      <c r="A6" s="3256" t="s">
        <v>144</v>
      </c>
      <c r="B6" s="3257" t="s">
        <v>2871</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2857</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2907</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2925</v>
      </c>
      <c r="C29" s="3266"/>
      <c r="D29" s="3262">
        <v>5.1999999999999998E-2</v>
      </c>
      <c r="E29" s="3262">
        <v>7.0000000000000007E-2</v>
      </c>
      <c r="F29" s="3266"/>
      <c r="G29" s="3264">
        <v>7.0999999999999994E-2</v>
      </c>
    </row>
    <row r="30" spans="1:7">
      <c r="A30" s="3267" t="s">
        <v>296</v>
      </c>
      <c r="B30" s="3253" t="s">
        <v>2858</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2844</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2928</v>
      </c>
      <c r="C50" s="3258">
        <v>9.8000000000000004E-2</v>
      </c>
      <c r="D50" s="3258">
        <v>7.2999999999999995E-2</v>
      </c>
      <c r="E50" s="3258">
        <v>7.0999999999999994E-2</v>
      </c>
      <c r="F50" s="3269"/>
      <c r="G50" s="3259">
        <v>7.2999999999999995E-2</v>
      </c>
    </row>
    <row r="51" spans="1:7">
      <c r="A51" s="3268" t="s">
        <v>296</v>
      </c>
      <c r="B51" s="3257" t="s">
        <v>2930</v>
      </c>
      <c r="C51" s="3258">
        <v>9.9000000000000005E-2</v>
      </c>
      <c r="D51" s="3258">
        <v>8.5000000000000006E-2</v>
      </c>
      <c r="E51" s="3258">
        <v>6.3E-2</v>
      </c>
      <c r="F51" s="3269"/>
      <c r="G51" s="3259">
        <v>9.6000000000000002E-2</v>
      </c>
    </row>
    <row r="52" spans="1:7">
      <c r="A52" s="3268" t="s">
        <v>296</v>
      </c>
      <c r="B52" s="3257" t="s">
        <v>2934</v>
      </c>
      <c r="C52" s="3258">
        <v>7.3999999999999996E-2</v>
      </c>
      <c r="D52" s="3258">
        <v>9.6000000000000002E-2</v>
      </c>
      <c r="E52" s="3258">
        <v>0.05</v>
      </c>
      <c r="F52" s="3269"/>
      <c r="G52" s="3259">
        <v>9.8000000000000004E-2</v>
      </c>
    </row>
    <row r="53" spans="1:7">
      <c r="A53" s="3268" t="s">
        <v>296</v>
      </c>
      <c r="B53" s="3257" t="s">
        <v>2939</v>
      </c>
      <c r="C53" s="3258">
        <v>8.5999999999999993E-2</v>
      </c>
      <c r="D53" s="3269"/>
      <c r="E53" s="3258">
        <v>9.1999999999999998E-2</v>
      </c>
      <c r="F53" s="3269"/>
      <c r="G53" s="3270"/>
    </row>
    <row r="54" spans="1:7" ht="14.25" thickBot="1">
      <c r="A54" s="3271" t="s">
        <v>296</v>
      </c>
      <c r="B54" s="3261" t="s">
        <v>2942</v>
      </c>
      <c r="C54" s="3262">
        <v>9.6000000000000002E-2</v>
      </c>
      <c r="D54" s="3263"/>
      <c r="E54" s="3272"/>
      <c r="F54" s="3263"/>
      <c r="G54" s="3273"/>
    </row>
    <row r="55" spans="1:7">
      <c r="A55" s="3267" t="s">
        <v>110</v>
      </c>
      <c r="B55" s="3253" t="s">
        <v>2859</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2940</v>
      </c>
      <c r="C78" s="3258">
        <v>0.1</v>
      </c>
      <c r="D78" s="3258">
        <v>8.5000000000000006E-2</v>
      </c>
      <c r="E78" s="3258">
        <v>9.6000000000000002E-2</v>
      </c>
      <c r="F78" s="3269"/>
      <c r="G78" s="3259">
        <v>9.6000000000000002E-2</v>
      </c>
    </row>
    <row r="79" spans="1:7">
      <c r="A79" s="3268" t="s">
        <v>110</v>
      </c>
      <c r="B79" s="3257" t="s">
        <v>2943</v>
      </c>
      <c r="C79" s="3258">
        <v>0.05</v>
      </c>
      <c r="D79" s="3258">
        <v>9.6000000000000002E-2</v>
      </c>
      <c r="E79" s="3258">
        <v>9.5000000000000001E-2</v>
      </c>
      <c r="F79" s="3269"/>
      <c r="G79" s="3259">
        <v>9.8000000000000004E-2</v>
      </c>
    </row>
    <row r="80" spans="1:7">
      <c r="A80" s="3268" t="s">
        <v>110</v>
      </c>
      <c r="B80" s="3257" t="s">
        <v>2947</v>
      </c>
      <c r="C80" s="3258">
        <v>8.5999999999999993E-2</v>
      </c>
      <c r="D80" s="3274"/>
      <c r="E80" s="3258">
        <v>0.1</v>
      </c>
      <c r="F80" s="3269"/>
      <c r="G80" s="3270"/>
    </row>
    <row r="81" spans="1:7">
      <c r="A81" s="3268" t="s">
        <v>110</v>
      </c>
      <c r="B81" s="3257" t="s">
        <v>2952</v>
      </c>
      <c r="C81" s="3258">
        <v>9.6000000000000002E-2</v>
      </c>
      <c r="D81" s="3269"/>
      <c r="E81" s="3258">
        <v>9.8000000000000004E-2</v>
      </c>
      <c r="F81" s="3269"/>
      <c r="G81" s="3270"/>
    </row>
    <row r="82" spans="1:7">
      <c r="A82" s="3268" t="s">
        <v>110</v>
      </c>
      <c r="B82" s="3257" t="s">
        <v>2959</v>
      </c>
      <c r="C82" s="3274"/>
      <c r="D82" s="3269"/>
      <c r="E82" s="3258">
        <v>7.6999999999999999E-2</v>
      </c>
      <c r="F82" s="3269"/>
      <c r="G82" s="3270"/>
    </row>
    <row r="83" spans="1:7">
      <c r="A83" s="3268" t="s">
        <v>110</v>
      </c>
      <c r="B83" s="3257" t="s">
        <v>2965</v>
      </c>
      <c r="C83" s="3269"/>
      <c r="D83" s="3269"/>
      <c r="E83" s="3269"/>
      <c r="F83" s="3258">
        <v>0.1</v>
      </c>
      <c r="G83" s="3275"/>
    </row>
    <row r="84" spans="1:7">
      <c r="A84" s="3268" t="s">
        <v>110</v>
      </c>
      <c r="B84" s="3257" t="s">
        <v>2972</v>
      </c>
      <c r="C84" s="3269"/>
      <c r="D84" s="3269"/>
      <c r="E84" s="3269"/>
      <c r="F84" s="3258">
        <v>0.1</v>
      </c>
      <c r="G84" s="3275"/>
    </row>
    <row r="85" spans="1:7">
      <c r="A85" s="3268" t="s">
        <v>110</v>
      </c>
      <c r="B85" s="3257" t="s">
        <v>2979</v>
      </c>
      <c r="C85" s="3269"/>
      <c r="D85" s="3269"/>
      <c r="E85" s="3269"/>
      <c r="F85" s="3258">
        <v>0.1</v>
      </c>
      <c r="G85" s="3275"/>
    </row>
    <row r="86" spans="1:7" ht="14.25" thickBot="1">
      <c r="A86" s="3271" t="s">
        <v>110</v>
      </c>
      <c r="B86" s="3261" t="s">
        <v>2984</v>
      </c>
      <c r="C86" s="3262">
        <v>9.8000000000000004E-2</v>
      </c>
      <c r="D86" s="3262">
        <v>9.8000000000000004E-2</v>
      </c>
      <c r="E86" s="3262">
        <v>9.6000000000000002E-2</v>
      </c>
      <c r="F86" s="3272"/>
      <c r="G86" s="3264">
        <v>0.1</v>
      </c>
    </row>
    <row r="87" spans="1:7">
      <c r="A87" s="3267" t="s">
        <v>303</v>
      </c>
      <c r="B87" s="3253" t="s">
        <v>2860</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2953</v>
      </c>
      <c r="C113" s="3258">
        <v>0.1</v>
      </c>
      <c r="D113" s="3258">
        <v>0.1</v>
      </c>
      <c r="E113" s="3269"/>
      <c r="F113" s="3269"/>
      <c r="G113" s="3259">
        <v>0.1</v>
      </c>
    </row>
    <row r="114" spans="1:7">
      <c r="A114" s="3268" t="s">
        <v>303</v>
      </c>
      <c r="B114" s="3257" t="s">
        <v>2960</v>
      </c>
      <c r="C114" s="3258">
        <v>9.7000000000000003E-2</v>
      </c>
      <c r="D114" s="3258">
        <v>9.7000000000000003E-2</v>
      </c>
      <c r="E114" s="3269"/>
      <c r="F114" s="3269"/>
      <c r="G114" s="3259">
        <v>9.9000000000000005E-2</v>
      </c>
    </row>
    <row r="115" spans="1:7">
      <c r="A115" s="3268" t="s">
        <v>303</v>
      </c>
      <c r="B115" s="3257" t="s">
        <v>2966</v>
      </c>
      <c r="C115" s="3258">
        <v>0.1</v>
      </c>
      <c r="D115" s="3258">
        <v>0.1</v>
      </c>
      <c r="E115" s="3269"/>
      <c r="F115" s="3269"/>
      <c r="G115" s="3259">
        <v>0.1</v>
      </c>
    </row>
    <row r="116" spans="1:7">
      <c r="A116" s="3268" t="s">
        <v>303</v>
      </c>
      <c r="B116" s="3257" t="s">
        <v>2973</v>
      </c>
      <c r="C116" s="3258">
        <v>0.1</v>
      </c>
      <c r="D116" s="3258">
        <v>0.1</v>
      </c>
      <c r="E116" s="3269"/>
      <c r="F116" s="3269"/>
      <c r="G116" s="3259">
        <v>0.1</v>
      </c>
    </row>
    <row r="117" spans="1:7">
      <c r="A117" s="3268" t="s">
        <v>303</v>
      </c>
      <c r="B117" s="3257" t="s">
        <v>2980</v>
      </c>
      <c r="C117" s="3258">
        <v>9.7000000000000003E-2</v>
      </c>
      <c r="D117" s="3258">
        <v>9.7000000000000003E-2</v>
      </c>
      <c r="E117" s="3269"/>
      <c r="F117" s="3269"/>
      <c r="G117" s="3259">
        <v>9.7000000000000003E-2</v>
      </c>
    </row>
    <row r="118" spans="1:7">
      <c r="A118" s="3268" t="s">
        <v>303</v>
      </c>
      <c r="B118" s="3257" t="s">
        <v>2985</v>
      </c>
      <c r="C118" s="3258">
        <v>0.1</v>
      </c>
      <c r="D118" s="3258">
        <v>0.1</v>
      </c>
      <c r="E118" s="3269"/>
      <c r="F118" s="3269"/>
      <c r="G118" s="3259">
        <v>0.1</v>
      </c>
    </row>
    <row r="119" spans="1:7">
      <c r="A119" s="3268" t="s">
        <v>303</v>
      </c>
      <c r="B119" s="3257" t="s">
        <v>2989</v>
      </c>
      <c r="C119" s="3258">
        <v>5.0999999999999997E-2</v>
      </c>
      <c r="D119" s="3258">
        <v>5.1999999999999998E-2</v>
      </c>
      <c r="E119" s="3269"/>
      <c r="F119" s="3274"/>
      <c r="G119" s="3259">
        <v>0.06</v>
      </c>
    </row>
    <row r="120" spans="1:7">
      <c r="A120" s="3268" t="s">
        <v>303</v>
      </c>
      <c r="B120" s="3257" t="s">
        <v>2993</v>
      </c>
      <c r="C120" s="3269"/>
      <c r="D120" s="3269"/>
      <c r="E120" s="3269"/>
      <c r="F120" s="3258">
        <v>0.1</v>
      </c>
      <c r="G120" s="3275"/>
    </row>
    <row r="121" spans="1:7">
      <c r="A121" s="3268" t="s">
        <v>303</v>
      </c>
      <c r="B121" s="3257" t="s">
        <v>2998</v>
      </c>
      <c r="C121" s="3269"/>
      <c r="D121" s="3269"/>
      <c r="E121" s="3269"/>
      <c r="F121" s="3258">
        <v>0.1</v>
      </c>
      <c r="G121" s="3275"/>
    </row>
    <row r="122" spans="1:7">
      <c r="A122" s="3268" t="s">
        <v>303</v>
      </c>
      <c r="B122" s="3257" t="s">
        <v>3003</v>
      </c>
      <c r="C122" s="3258">
        <v>0.1</v>
      </c>
      <c r="D122" s="3258">
        <v>0.1</v>
      </c>
      <c r="E122" s="3258">
        <v>9.8000000000000004E-2</v>
      </c>
      <c r="F122" s="3258">
        <v>0.1</v>
      </c>
      <c r="G122" s="3259">
        <v>0.1</v>
      </c>
    </row>
    <row r="123" spans="1:7">
      <c r="A123" s="3268" t="s">
        <v>303</v>
      </c>
      <c r="B123" s="3257" t="s">
        <v>3008</v>
      </c>
      <c r="C123" s="3258">
        <v>0.1</v>
      </c>
      <c r="D123" s="3258">
        <v>0.1</v>
      </c>
      <c r="E123" s="3258">
        <v>9.8000000000000004E-2</v>
      </c>
      <c r="F123" s="3258">
        <v>0.1</v>
      </c>
      <c r="G123" s="3259">
        <v>0.1</v>
      </c>
    </row>
    <row r="124" spans="1:7">
      <c r="A124" s="3268" t="s">
        <v>303</v>
      </c>
      <c r="B124" s="3257" t="s">
        <v>3013</v>
      </c>
      <c r="C124" s="3258">
        <v>0.1</v>
      </c>
      <c r="D124" s="3258">
        <v>0.1</v>
      </c>
      <c r="E124" s="3258">
        <v>9.8000000000000004E-2</v>
      </c>
      <c r="F124" s="3274"/>
      <c r="G124" s="3259">
        <v>0.1</v>
      </c>
    </row>
    <row r="125" spans="1:7">
      <c r="A125" s="3268" t="s">
        <v>303</v>
      </c>
      <c r="B125" s="3257" t="s">
        <v>3018</v>
      </c>
      <c r="C125" s="3258">
        <v>9.8000000000000004E-2</v>
      </c>
      <c r="D125" s="3258">
        <v>9.8000000000000004E-2</v>
      </c>
      <c r="E125" s="3258">
        <v>9.6000000000000002E-2</v>
      </c>
      <c r="F125" s="3274"/>
      <c r="G125" s="3259">
        <v>0.1</v>
      </c>
    </row>
    <row r="126" spans="1:7" ht="14.25" thickBot="1">
      <c r="A126" s="3271" t="s">
        <v>303</v>
      </c>
      <c r="B126" s="3261" t="s">
        <v>3184</v>
      </c>
      <c r="C126" s="3262">
        <v>0.1</v>
      </c>
      <c r="D126" s="3262">
        <v>0.1</v>
      </c>
      <c r="E126" s="3262">
        <v>9.8000000000000004E-2</v>
      </c>
      <c r="F126" s="3262">
        <v>0.1</v>
      </c>
      <c r="G126" s="3264">
        <v>0.1</v>
      </c>
    </row>
    <row r="127" spans="1:7">
      <c r="A127" s="3267" t="s">
        <v>29</v>
      </c>
      <c r="B127" s="3253" t="s">
        <v>2861</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2931</v>
      </c>
      <c r="C148" s="3258">
        <v>0.13</v>
      </c>
      <c r="D148" s="3258">
        <v>0.13</v>
      </c>
      <c r="E148" s="3258">
        <v>0.13</v>
      </c>
      <c r="F148" s="3269"/>
      <c r="G148" s="3259">
        <v>0.13</v>
      </c>
    </row>
    <row r="149" spans="1:7">
      <c r="A149" s="3268" t="s">
        <v>29</v>
      </c>
      <c r="B149" s="3257" t="s">
        <v>2935</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2954</v>
      </c>
      <c r="C153" s="3258">
        <v>0.13</v>
      </c>
      <c r="D153" s="3258">
        <v>0.13</v>
      </c>
      <c r="E153" s="3258">
        <v>0.13</v>
      </c>
      <c r="F153" s="3258">
        <v>0.13</v>
      </c>
      <c r="G153" s="3259">
        <v>0.13</v>
      </c>
    </row>
    <row r="154" spans="1:7">
      <c r="A154" s="3268" t="s">
        <v>29</v>
      </c>
      <c r="B154" s="3257" t="s">
        <v>2961</v>
      </c>
      <c r="C154" s="3258">
        <v>0.121</v>
      </c>
      <c r="D154" s="3258">
        <v>0.121</v>
      </c>
      <c r="E154" s="3258">
        <v>0.105</v>
      </c>
      <c r="F154" s="3258">
        <v>0.121</v>
      </c>
      <c r="G154" s="3259">
        <v>0.123</v>
      </c>
    </row>
    <row r="155" spans="1:7">
      <c r="A155" s="3268" t="s">
        <v>29</v>
      </c>
      <c r="B155" s="3257" t="s">
        <v>2967</v>
      </c>
      <c r="C155" s="3258">
        <v>0.1</v>
      </c>
      <c r="D155" s="3258">
        <v>0.1</v>
      </c>
      <c r="E155" s="3258">
        <v>0.1</v>
      </c>
      <c r="F155" s="3258">
        <v>0.1</v>
      </c>
      <c r="G155" s="3259">
        <v>0.1</v>
      </c>
    </row>
    <row r="156" spans="1:7">
      <c r="A156" s="3268" t="s">
        <v>29</v>
      </c>
      <c r="B156" s="3257" t="s">
        <v>2974</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2994</v>
      </c>
      <c r="C160" s="3258">
        <v>0.13</v>
      </c>
      <c r="D160" s="3258">
        <v>0.13</v>
      </c>
      <c r="E160" s="3258">
        <v>0.124</v>
      </c>
      <c r="F160" s="3258">
        <v>0.126</v>
      </c>
      <c r="G160" s="3259">
        <v>0.13</v>
      </c>
    </row>
    <row r="161" spans="1:7">
      <c r="A161" s="3268" t="s">
        <v>29</v>
      </c>
      <c r="B161" s="3257" t="s">
        <v>2999</v>
      </c>
      <c r="C161" s="3258">
        <v>0.13</v>
      </c>
      <c r="D161" s="3258">
        <v>0.13</v>
      </c>
      <c r="E161" s="3258">
        <v>0.124</v>
      </c>
      <c r="F161" s="3258">
        <v>0.127</v>
      </c>
      <c r="G161" s="3259">
        <v>0.13</v>
      </c>
    </row>
    <row r="162" spans="1:7">
      <c r="A162" s="3268" t="s">
        <v>29</v>
      </c>
      <c r="B162" s="3257" t="s">
        <v>3004</v>
      </c>
      <c r="C162" s="3258">
        <v>0.1</v>
      </c>
      <c r="D162" s="3258">
        <v>0.1</v>
      </c>
      <c r="E162" s="3258">
        <v>0.1</v>
      </c>
      <c r="F162" s="3258">
        <v>0.121</v>
      </c>
      <c r="G162" s="3259">
        <v>0.105</v>
      </c>
    </row>
    <row r="163" spans="1:7">
      <c r="A163" s="3268" t="s">
        <v>29</v>
      </c>
      <c r="B163" s="3257" t="s">
        <v>3009</v>
      </c>
      <c r="C163" s="3258">
        <v>0.1</v>
      </c>
      <c r="D163" s="3258">
        <v>0.1</v>
      </c>
      <c r="E163" s="3258">
        <v>0.1</v>
      </c>
      <c r="F163" s="3258">
        <v>0.1</v>
      </c>
      <c r="G163" s="3259">
        <v>0.1</v>
      </c>
    </row>
    <row r="164" spans="1:7">
      <c r="A164" s="3268" t="s">
        <v>29</v>
      </c>
      <c r="B164" s="3257" t="s">
        <v>3014</v>
      </c>
      <c r="C164" s="3274"/>
      <c r="D164" s="3274"/>
      <c r="E164" s="3274"/>
      <c r="F164" s="3258">
        <v>0.1</v>
      </c>
      <c r="G164" s="3270"/>
    </row>
    <row r="165" spans="1:7">
      <c r="A165" s="3268" t="s">
        <v>29</v>
      </c>
      <c r="B165" s="3257" t="s">
        <v>3185</v>
      </c>
      <c r="C165" s="3258">
        <v>0.126</v>
      </c>
      <c r="D165" s="3258">
        <v>0.126</v>
      </c>
      <c r="E165" s="3258">
        <v>0.11899999999999999</v>
      </c>
      <c r="F165" s="3258">
        <v>0.13</v>
      </c>
      <c r="G165" s="3259">
        <v>0.128</v>
      </c>
    </row>
    <row r="166" spans="1:7">
      <c r="A166" s="3268" t="s">
        <v>29</v>
      </c>
      <c r="B166" s="3257" t="s">
        <v>3024</v>
      </c>
      <c r="C166" s="3258">
        <v>0.129</v>
      </c>
      <c r="D166" s="3258">
        <v>0.129</v>
      </c>
      <c r="E166" s="3258">
        <v>0.123</v>
      </c>
      <c r="F166" s="3258">
        <v>0.128</v>
      </c>
      <c r="G166" s="3259">
        <v>0.13</v>
      </c>
    </row>
    <row r="167" spans="1:7">
      <c r="A167" s="3268" t="s">
        <v>29</v>
      </c>
      <c r="B167" s="3257" t="s">
        <v>3028</v>
      </c>
      <c r="C167" s="3258">
        <v>0.125</v>
      </c>
      <c r="D167" s="3258">
        <v>0.125</v>
      </c>
      <c r="E167" s="3258">
        <v>0.11700000000000001</v>
      </c>
      <c r="F167" s="3258">
        <v>0.13</v>
      </c>
      <c r="G167" s="3259">
        <v>0.126</v>
      </c>
    </row>
    <row r="168" spans="1:7">
      <c r="A168" s="3268" t="s">
        <v>29</v>
      </c>
      <c r="B168" s="3257" t="s">
        <v>3033</v>
      </c>
      <c r="C168" s="3258">
        <v>0.128</v>
      </c>
      <c r="D168" s="3258">
        <v>0.128</v>
      </c>
      <c r="E168" s="3258">
        <v>0.123</v>
      </c>
      <c r="F168" s="3269"/>
      <c r="G168" s="3259">
        <v>0.13</v>
      </c>
    </row>
    <row r="169" spans="1:7">
      <c r="A169" s="3268" t="s">
        <v>29</v>
      </c>
      <c r="B169" s="3257" t="s">
        <v>3186</v>
      </c>
      <c r="C169" s="3274"/>
      <c r="D169" s="3274"/>
      <c r="E169" s="3274"/>
      <c r="F169" s="3258">
        <v>0.05</v>
      </c>
      <c r="G169" s="3270"/>
    </row>
    <row r="170" spans="1:7">
      <c r="A170" s="3268" t="s">
        <v>29</v>
      </c>
      <c r="B170" s="3257" t="s">
        <v>3187</v>
      </c>
      <c r="C170" s="3274"/>
      <c r="D170" s="3274"/>
      <c r="E170" s="3274"/>
      <c r="F170" s="3258">
        <v>0.05</v>
      </c>
      <c r="G170" s="3270"/>
    </row>
    <row r="171" spans="1:7">
      <c r="A171" s="3268" t="s">
        <v>29</v>
      </c>
      <c r="B171" s="3257" t="s">
        <v>3188</v>
      </c>
      <c r="C171" s="3274"/>
      <c r="D171" s="3274"/>
      <c r="E171" s="3274"/>
      <c r="F171" s="3258">
        <v>0.05</v>
      </c>
      <c r="G171" s="3275"/>
    </row>
    <row r="172" spans="1:7">
      <c r="A172" s="3268" t="s">
        <v>29</v>
      </c>
      <c r="B172" s="3257" t="s">
        <v>3189</v>
      </c>
      <c r="C172" s="3274"/>
      <c r="D172" s="3274"/>
      <c r="E172" s="3274"/>
      <c r="F172" s="3258">
        <v>0.05</v>
      </c>
      <c r="G172" s="3275"/>
    </row>
    <row r="173" spans="1:7">
      <c r="A173" s="3268" t="s">
        <v>29</v>
      </c>
      <c r="B173" s="3257" t="s">
        <v>3190</v>
      </c>
      <c r="C173" s="3274"/>
      <c r="D173" s="3274"/>
      <c r="E173" s="3274"/>
      <c r="F173" s="3258">
        <v>0.05</v>
      </c>
      <c r="G173" s="3270"/>
    </row>
    <row r="174" spans="1:7">
      <c r="A174" s="3268" t="s">
        <v>29</v>
      </c>
      <c r="B174" s="3257" t="s">
        <v>3191</v>
      </c>
      <c r="C174" s="3274"/>
      <c r="D174" s="3274"/>
      <c r="E174" s="3274"/>
      <c r="F174" s="3258">
        <v>0.05</v>
      </c>
      <c r="G174" s="3270"/>
    </row>
    <row r="175" spans="1:7">
      <c r="A175" s="3268" t="s">
        <v>29</v>
      </c>
      <c r="B175" s="3257" t="s">
        <v>3192</v>
      </c>
      <c r="C175" s="3274"/>
      <c r="D175" s="3274"/>
      <c r="E175" s="3274"/>
      <c r="F175" s="3258">
        <v>0.05</v>
      </c>
      <c r="G175" s="3270"/>
    </row>
    <row r="176" spans="1:7">
      <c r="A176" s="3268" t="s">
        <v>29</v>
      </c>
      <c r="B176" s="3257" t="s">
        <v>3193</v>
      </c>
      <c r="C176" s="3274"/>
      <c r="D176" s="3274"/>
      <c r="E176" s="3274"/>
      <c r="F176" s="3258">
        <v>0.05</v>
      </c>
      <c r="G176" s="3270"/>
    </row>
    <row r="177" spans="1:7">
      <c r="A177" s="3268" t="s">
        <v>29</v>
      </c>
      <c r="B177" s="3257" t="s">
        <v>3194</v>
      </c>
      <c r="C177" s="3269"/>
      <c r="D177" s="3269"/>
      <c r="E177" s="3269"/>
      <c r="F177" s="3258">
        <v>0.05</v>
      </c>
      <c r="G177" s="3275"/>
    </row>
    <row r="178" spans="1:7">
      <c r="A178" s="3268" t="s">
        <v>29</v>
      </c>
      <c r="B178" s="3257" t="s">
        <v>3195</v>
      </c>
      <c r="C178" s="3269"/>
      <c r="D178" s="3269"/>
      <c r="E178" s="3269"/>
      <c r="F178" s="3258">
        <v>0.05</v>
      </c>
      <c r="G178" s="3275"/>
    </row>
    <row r="179" spans="1:7">
      <c r="A179" s="3268" t="s">
        <v>29</v>
      </c>
      <c r="B179" s="3257" t="s">
        <v>3196</v>
      </c>
      <c r="C179" s="3269"/>
      <c r="D179" s="3269"/>
      <c r="E179" s="3269"/>
      <c r="F179" s="3258">
        <v>0.05</v>
      </c>
      <c r="G179" s="3275"/>
    </row>
    <row r="180" spans="1:7">
      <c r="A180" s="3268" t="s">
        <v>29</v>
      </c>
      <c r="B180" s="3257" t="s">
        <v>3197</v>
      </c>
      <c r="C180" s="3269"/>
      <c r="D180" s="3269"/>
      <c r="E180" s="3269"/>
      <c r="F180" s="3258">
        <v>0.05</v>
      </c>
      <c r="G180" s="3275"/>
    </row>
    <row r="181" spans="1:7">
      <c r="A181" s="3268" t="s">
        <v>29</v>
      </c>
      <c r="B181" s="3257" t="s">
        <v>3198</v>
      </c>
      <c r="C181" s="3269"/>
      <c r="D181" s="3269"/>
      <c r="E181" s="3269"/>
      <c r="F181" s="3258">
        <v>0.05</v>
      </c>
      <c r="G181" s="3275"/>
    </row>
    <row r="182" spans="1:7">
      <c r="A182" s="3268" t="s">
        <v>29</v>
      </c>
      <c r="B182" s="3257" t="s">
        <v>3199</v>
      </c>
      <c r="C182" s="3269"/>
      <c r="D182" s="3269"/>
      <c r="E182" s="3269"/>
      <c r="F182" s="3258">
        <v>0.05</v>
      </c>
      <c r="G182" s="3275"/>
    </row>
    <row r="183" spans="1:7">
      <c r="A183" s="3268" t="s">
        <v>29</v>
      </c>
      <c r="B183" s="3257" t="s">
        <v>3200</v>
      </c>
      <c r="C183" s="3269"/>
      <c r="D183" s="3269"/>
      <c r="E183" s="3269"/>
      <c r="F183" s="3258">
        <v>0.05</v>
      </c>
      <c r="G183" s="3275"/>
    </row>
    <row r="184" spans="1:7">
      <c r="A184" s="3268" t="s">
        <v>29</v>
      </c>
      <c r="B184" s="3257" t="s">
        <v>3201</v>
      </c>
      <c r="C184" s="3269"/>
      <c r="D184" s="3269"/>
      <c r="E184" s="3269"/>
      <c r="F184" s="3258">
        <v>0.05</v>
      </c>
      <c r="G184" s="3275"/>
    </row>
    <row r="185" spans="1:7">
      <c r="A185" s="3268" t="s">
        <v>29</v>
      </c>
      <c r="B185" s="3257" t="s">
        <v>3202</v>
      </c>
      <c r="C185" s="3269"/>
      <c r="D185" s="3269"/>
      <c r="E185" s="3269"/>
      <c r="F185" s="3258">
        <v>0.05</v>
      </c>
      <c r="G185" s="3275"/>
    </row>
    <row r="186" spans="1:7">
      <c r="A186" s="3268" t="s">
        <v>29</v>
      </c>
      <c r="B186" s="3257" t="s">
        <v>3203</v>
      </c>
      <c r="C186" s="3269"/>
      <c r="D186" s="3269"/>
      <c r="E186" s="3269"/>
      <c r="F186" s="3258">
        <v>0.05</v>
      </c>
      <c r="G186" s="3275"/>
    </row>
    <row r="187" spans="1:7">
      <c r="A187" s="3268" t="s">
        <v>29</v>
      </c>
      <c r="B187" s="3257" t="s">
        <v>3204</v>
      </c>
      <c r="C187" s="3269"/>
      <c r="D187" s="3269"/>
      <c r="E187" s="3269"/>
      <c r="F187" s="3258">
        <v>0.05</v>
      </c>
      <c r="G187" s="3275"/>
    </row>
    <row r="188" spans="1:7">
      <c r="A188" s="3268" t="s">
        <v>29</v>
      </c>
      <c r="B188" s="3257" t="s">
        <v>3205</v>
      </c>
      <c r="C188" s="3269"/>
      <c r="D188" s="3269"/>
      <c r="E188" s="3269"/>
      <c r="F188" s="3258">
        <v>0.05</v>
      </c>
      <c r="G188" s="3275"/>
    </row>
    <row r="189" spans="1:7" ht="14.25" thickBot="1">
      <c r="A189" s="3271" t="s">
        <v>29</v>
      </c>
      <c r="B189" s="3261" t="s">
        <v>3206</v>
      </c>
      <c r="C189" s="3263"/>
      <c r="D189" s="3263"/>
      <c r="E189" s="3263"/>
      <c r="F189" s="3262">
        <v>0.05</v>
      </c>
      <c r="G189" s="3276"/>
    </row>
    <row r="190" spans="1:7">
      <c r="A190" s="3267" t="s">
        <v>304</v>
      </c>
      <c r="B190" s="3253" t="s">
        <v>2862</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2898</v>
      </c>
      <c r="C199" s="3258">
        <v>0.13</v>
      </c>
      <c r="D199" s="3258">
        <v>0.13</v>
      </c>
      <c r="E199" s="3258">
        <v>0.13</v>
      </c>
      <c r="F199" s="3258">
        <v>0.13</v>
      </c>
      <c r="G199" s="3259">
        <v>0.13</v>
      </c>
    </row>
    <row r="200" spans="1:7">
      <c r="A200" s="3268" t="s">
        <v>304</v>
      </c>
      <c r="B200" s="3257" t="s">
        <v>2901</v>
      </c>
      <c r="C200" s="3274"/>
      <c r="D200" s="3274"/>
      <c r="E200" s="3274"/>
      <c r="F200" s="3258">
        <v>0.13</v>
      </c>
      <c r="G200" s="3270"/>
    </row>
    <row r="201" spans="1:7">
      <c r="A201" s="3268" t="s">
        <v>304</v>
      </c>
      <c r="B201" s="3257" t="s">
        <v>2906</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2909</v>
      </c>
      <c r="C203" s="3258">
        <v>0.129</v>
      </c>
      <c r="D203" s="3258">
        <v>0.129</v>
      </c>
      <c r="E203" s="3258">
        <v>0.13</v>
      </c>
      <c r="F203" s="3258">
        <v>0.13</v>
      </c>
      <c r="G203" s="3259">
        <v>0.13</v>
      </c>
    </row>
    <row r="204" spans="1:7">
      <c r="A204" s="3268" t="s">
        <v>304</v>
      </c>
      <c r="B204" s="3257" t="s">
        <v>2912</v>
      </c>
      <c r="C204" s="3258">
        <v>0.129</v>
      </c>
      <c r="D204" s="3258">
        <v>0.129</v>
      </c>
      <c r="E204" s="3258">
        <v>0.123</v>
      </c>
      <c r="F204" s="3258">
        <v>0.13</v>
      </c>
      <c r="G204" s="3259">
        <v>0.13</v>
      </c>
    </row>
    <row r="205" spans="1:7">
      <c r="A205" s="3268" t="s">
        <v>304</v>
      </c>
      <c r="B205" s="3257" t="s">
        <v>2914</v>
      </c>
      <c r="C205" s="3258">
        <v>0.13</v>
      </c>
      <c r="D205" s="3258">
        <v>0.13</v>
      </c>
      <c r="E205" s="3258">
        <v>0.13</v>
      </c>
      <c r="F205" s="3258">
        <v>0.13</v>
      </c>
      <c r="G205" s="3259">
        <v>0.13</v>
      </c>
    </row>
    <row r="206" spans="1:7">
      <c r="A206" s="3268" t="s">
        <v>304</v>
      </c>
      <c r="B206" s="3257" t="s">
        <v>2917</v>
      </c>
      <c r="C206" s="3258">
        <v>0.13</v>
      </c>
      <c r="D206" s="3258">
        <v>0.13</v>
      </c>
      <c r="E206" s="3258">
        <v>0.13</v>
      </c>
      <c r="F206" s="3258">
        <v>0.128</v>
      </c>
      <c r="G206" s="3259">
        <v>0.13</v>
      </c>
    </row>
    <row r="207" spans="1:7">
      <c r="A207" s="3268" t="s">
        <v>304</v>
      </c>
      <c r="B207" s="3257" t="s">
        <v>2919</v>
      </c>
      <c r="C207" s="3258">
        <v>0.13</v>
      </c>
      <c r="D207" s="3258">
        <v>0.13</v>
      </c>
      <c r="E207" s="3258">
        <v>0.13</v>
      </c>
      <c r="F207" s="3258">
        <v>0.13</v>
      </c>
      <c r="G207" s="3259">
        <v>0.13</v>
      </c>
    </row>
    <row r="208" spans="1:7">
      <c r="A208" s="3268" t="s">
        <v>304</v>
      </c>
      <c r="B208" s="3257" t="s">
        <v>2922</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2929</v>
      </c>
      <c r="C210" s="3258">
        <v>0.121</v>
      </c>
      <c r="D210" s="3258">
        <v>0.121</v>
      </c>
      <c r="E210" s="3258">
        <v>0.125</v>
      </c>
      <c r="F210" s="3258">
        <v>0.13</v>
      </c>
      <c r="G210" s="3259">
        <v>0.123</v>
      </c>
    </row>
    <row r="211" spans="1:7">
      <c r="A211" s="3268" t="s">
        <v>304</v>
      </c>
      <c r="B211" s="3257" t="s">
        <v>2932</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2944</v>
      </c>
      <c r="C214" s="3258">
        <v>0.128</v>
      </c>
      <c r="D214" s="3258">
        <v>0.128</v>
      </c>
      <c r="E214" s="3258">
        <v>0.13</v>
      </c>
      <c r="F214" s="3258">
        <v>0.13</v>
      </c>
      <c r="G214" s="3259">
        <v>0.13</v>
      </c>
    </row>
    <row r="215" spans="1:7">
      <c r="A215" s="3268" t="s">
        <v>304</v>
      </c>
      <c r="B215" s="3257" t="s">
        <v>2948</v>
      </c>
      <c r="C215" s="3258">
        <v>0.13</v>
      </c>
      <c r="D215" s="3258">
        <v>0.13</v>
      </c>
      <c r="E215" s="3258">
        <v>0.13</v>
      </c>
      <c r="F215" s="3258">
        <v>0.129</v>
      </c>
      <c r="G215" s="3259">
        <v>0.13</v>
      </c>
    </row>
    <row r="216" spans="1:7">
      <c r="A216" s="3268" t="s">
        <v>304</v>
      </c>
      <c r="B216" s="3257" t="s">
        <v>2955</v>
      </c>
      <c r="C216" s="3258">
        <v>0.13</v>
      </c>
      <c r="D216" s="3258">
        <v>0.13</v>
      </c>
      <c r="E216" s="3258">
        <v>0.13</v>
      </c>
      <c r="F216" s="3258">
        <v>0.13</v>
      </c>
      <c r="G216" s="3259">
        <v>0.13</v>
      </c>
    </row>
    <row r="217" spans="1:7">
      <c r="A217" s="3268" t="s">
        <v>304</v>
      </c>
      <c r="B217" s="3257" t="s">
        <v>2962</v>
      </c>
      <c r="C217" s="3258">
        <v>0.129</v>
      </c>
      <c r="D217" s="3258">
        <v>0.129</v>
      </c>
      <c r="E217" s="3258">
        <v>0.13</v>
      </c>
      <c r="F217" s="3258">
        <v>0.13</v>
      </c>
      <c r="G217" s="3259">
        <v>0.13</v>
      </c>
    </row>
    <row r="218" spans="1:7">
      <c r="A218" s="3268" t="s">
        <v>304</v>
      </c>
      <c r="B218" s="3257" t="s">
        <v>2968</v>
      </c>
      <c r="C218" s="3269"/>
      <c r="D218" s="3269"/>
      <c r="E218" s="3269"/>
      <c r="F218" s="3258">
        <v>0.05</v>
      </c>
      <c r="G218" s="3275"/>
    </row>
    <row r="219" spans="1:7">
      <c r="A219" s="3268" t="s">
        <v>304</v>
      </c>
      <c r="B219" s="3257" t="s">
        <v>2975</v>
      </c>
      <c r="C219" s="3269"/>
      <c r="D219" s="3269"/>
      <c r="E219" s="3269"/>
      <c r="F219" s="3258">
        <v>0.05</v>
      </c>
      <c r="G219" s="3275"/>
    </row>
    <row r="220" spans="1:7">
      <c r="A220" s="3268" t="s">
        <v>304</v>
      </c>
      <c r="B220" s="3257" t="s">
        <v>2981</v>
      </c>
      <c r="C220" s="3269"/>
      <c r="D220" s="3269"/>
      <c r="E220" s="3269"/>
      <c r="F220" s="3258">
        <v>0.05</v>
      </c>
      <c r="G220" s="3275"/>
    </row>
    <row r="221" spans="1:7">
      <c r="A221" s="3268" t="s">
        <v>304</v>
      </c>
      <c r="B221" s="3257" t="s">
        <v>2986</v>
      </c>
      <c r="C221" s="3269"/>
      <c r="D221" s="3269"/>
      <c r="E221" s="3269"/>
      <c r="F221" s="3258">
        <v>0.05</v>
      </c>
      <c r="G221" s="3275"/>
    </row>
    <row r="222" spans="1:7">
      <c r="A222" s="3268" t="s">
        <v>304</v>
      </c>
      <c r="B222" s="3257" t="s">
        <v>2990</v>
      </c>
      <c r="C222" s="3269"/>
      <c r="D222" s="3269"/>
      <c r="E222" s="3269"/>
      <c r="F222" s="3258">
        <v>0.05</v>
      </c>
      <c r="G222" s="3275"/>
    </row>
    <row r="223" spans="1:7">
      <c r="A223" s="3268" t="s">
        <v>304</v>
      </c>
      <c r="B223" s="3257" t="s">
        <v>2995</v>
      </c>
      <c r="C223" s="3269"/>
      <c r="D223" s="3269"/>
      <c r="E223" s="3269"/>
      <c r="F223" s="3258">
        <v>0.05</v>
      </c>
      <c r="G223" s="3275"/>
    </row>
    <row r="224" spans="1:7">
      <c r="A224" s="3268" t="s">
        <v>304</v>
      </c>
      <c r="B224" s="3257" t="s">
        <v>3000</v>
      </c>
      <c r="C224" s="3269"/>
      <c r="D224" s="3269"/>
      <c r="E224" s="3269"/>
      <c r="F224" s="3258">
        <v>0.05</v>
      </c>
      <c r="G224" s="3275"/>
    </row>
    <row r="225" spans="1:7">
      <c r="A225" s="3268" t="s">
        <v>304</v>
      </c>
      <c r="B225" s="3257" t="s">
        <v>3005</v>
      </c>
      <c r="C225" s="3269"/>
      <c r="D225" s="3269"/>
      <c r="E225" s="3269"/>
      <c r="F225" s="3258">
        <v>0.05</v>
      </c>
      <c r="G225" s="3275"/>
    </row>
    <row r="226" spans="1:7">
      <c r="A226" s="3268" t="s">
        <v>304</v>
      </c>
      <c r="B226" s="3257" t="s">
        <v>3207</v>
      </c>
      <c r="C226" s="3269"/>
      <c r="D226" s="3269"/>
      <c r="E226" s="3269"/>
      <c r="F226" s="3258">
        <v>0.05</v>
      </c>
      <c r="G226" s="3275"/>
    </row>
    <row r="227" spans="1:7">
      <c r="A227" s="3268" t="s">
        <v>304</v>
      </c>
      <c r="B227" s="3257" t="s">
        <v>3208</v>
      </c>
      <c r="C227" s="3269"/>
      <c r="D227" s="3269"/>
      <c r="E227" s="3269"/>
      <c r="F227" s="3258">
        <v>0.05</v>
      </c>
      <c r="G227" s="3275"/>
    </row>
    <row r="228" spans="1:7">
      <c r="A228" s="3268" t="s">
        <v>304</v>
      </c>
      <c r="B228" s="3257" t="s">
        <v>3209</v>
      </c>
      <c r="C228" s="3269"/>
      <c r="D228" s="3269"/>
      <c r="E228" s="3269"/>
      <c r="F228" s="3258">
        <v>0.05</v>
      </c>
      <c r="G228" s="3275"/>
    </row>
    <row r="229" spans="1:7">
      <c r="A229" s="3268" t="s">
        <v>304</v>
      </c>
      <c r="B229" s="3257" t="s">
        <v>3210</v>
      </c>
      <c r="C229" s="3269"/>
      <c r="D229" s="3269"/>
      <c r="E229" s="3269"/>
      <c r="F229" s="3258">
        <v>0.05</v>
      </c>
      <c r="G229" s="3275"/>
    </row>
    <row r="230" spans="1:7">
      <c r="A230" s="3268" t="s">
        <v>304</v>
      </c>
      <c r="B230" s="3257" t="s">
        <v>3211</v>
      </c>
      <c r="C230" s="3269"/>
      <c r="D230" s="3269"/>
      <c r="E230" s="3269"/>
      <c r="F230" s="3258">
        <v>0.05</v>
      </c>
      <c r="G230" s="3275"/>
    </row>
    <row r="231" spans="1:7">
      <c r="A231" s="3268" t="s">
        <v>304</v>
      </c>
      <c r="B231" s="3257" t="s">
        <v>3212</v>
      </c>
      <c r="C231" s="3269"/>
      <c r="D231" s="3269"/>
      <c r="E231" s="3269"/>
      <c r="F231" s="3258">
        <v>0.05</v>
      </c>
      <c r="G231" s="3275"/>
    </row>
    <row r="232" spans="1:7">
      <c r="A232" s="3268" t="s">
        <v>304</v>
      </c>
      <c r="B232" s="3257" t="s">
        <v>3213</v>
      </c>
      <c r="C232" s="3269"/>
      <c r="D232" s="3269"/>
      <c r="E232" s="3269"/>
      <c r="F232" s="3258">
        <v>0.05</v>
      </c>
      <c r="G232" s="3275"/>
    </row>
    <row r="233" spans="1:7" ht="14.25" thickBot="1">
      <c r="A233" s="3271" t="s">
        <v>304</v>
      </c>
      <c r="B233" s="3261" t="s">
        <v>3214</v>
      </c>
      <c r="C233" s="3263"/>
      <c r="D233" s="3263"/>
      <c r="E233" s="3263"/>
      <c r="F233" s="3262">
        <v>0.05</v>
      </c>
      <c r="G233" s="3276"/>
    </row>
    <row r="234" spans="1:7">
      <c r="A234" s="3267" t="s">
        <v>305</v>
      </c>
      <c r="B234" s="3253" t="s">
        <v>2863</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2883</v>
      </c>
      <c r="C238" s="3258">
        <v>0.14899999999999999</v>
      </c>
      <c r="D238" s="3258">
        <v>0.14899999999999999</v>
      </c>
      <c r="E238" s="3258">
        <v>0.15</v>
      </c>
      <c r="F238" s="3258">
        <v>0.15</v>
      </c>
      <c r="G238" s="3259">
        <v>0.15</v>
      </c>
    </row>
    <row r="239" spans="1:7">
      <c r="A239" s="3268" t="s">
        <v>305</v>
      </c>
      <c r="B239" s="3257" t="s">
        <v>2887</v>
      </c>
      <c r="C239" s="3258">
        <v>0.15</v>
      </c>
      <c r="D239" s="3258">
        <v>0.15</v>
      </c>
      <c r="E239" s="3258">
        <v>0.15</v>
      </c>
      <c r="F239" s="3258">
        <v>0.15</v>
      </c>
      <c r="G239" s="3259">
        <v>0.15</v>
      </c>
    </row>
    <row r="240" spans="1:7">
      <c r="A240" s="3268" t="s">
        <v>305</v>
      </c>
      <c r="B240" s="3257" t="s">
        <v>2892</v>
      </c>
      <c r="C240" s="3258">
        <v>0.15</v>
      </c>
      <c r="D240" s="3258">
        <v>0.15</v>
      </c>
      <c r="E240" s="3258">
        <v>0.15</v>
      </c>
      <c r="F240" s="3258">
        <v>0.15</v>
      </c>
      <c r="G240" s="3259">
        <v>0.15</v>
      </c>
    </row>
    <row r="241" spans="1:7">
      <c r="A241" s="3268" t="s">
        <v>305</v>
      </c>
      <c r="B241" s="3257" t="s">
        <v>2896</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2902</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2910</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2915</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2923</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2936</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2945</v>
      </c>
      <c r="C258" s="3258">
        <v>0.14299999999999999</v>
      </c>
      <c r="D258" s="3258">
        <v>0.14299999999999999</v>
      </c>
      <c r="E258" s="3258">
        <v>0.15</v>
      </c>
      <c r="F258" s="3258">
        <v>0.14799999999999999</v>
      </c>
      <c r="G258" s="3259">
        <v>0.14599999999999999</v>
      </c>
    </row>
    <row r="259" spans="1:7">
      <c r="A259" s="3268" t="s">
        <v>305</v>
      </c>
      <c r="B259" s="3257" t="s">
        <v>2949</v>
      </c>
      <c r="C259" s="3258">
        <v>0.14399999999999999</v>
      </c>
      <c r="D259" s="3258">
        <v>0.14399999999999999</v>
      </c>
      <c r="E259" s="3258">
        <v>0.14899999999999999</v>
      </c>
      <c r="F259" s="3258">
        <v>0.14699999999999999</v>
      </c>
      <c r="G259" s="3259">
        <v>0.14599999999999999</v>
      </c>
    </row>
    <row r="260" spans="1:7">
      <c r="A260" s="3268" t="s">
        <v>305</v>
      </c>
      <c r="B260" s="3257" t="s">
        <v>2956</v>
      </c>
      <c r="C260" s="3258">
        <v>0.109</v>
      </c>
      <c r="D260" s="3258">
        <v>0.111</v>
      </c>
      <c r="E260" s="3258">
        <v>0.13100000000000001</v>
      </c>
      <c r="F260" s="3258">
        <v>0.126</v>
      </c>
      <c r="G260" s="3259">
        <v>0.11899999999999999</v>
      </c>
    </row>
    <row r="261" spans="1:7">
      <c r="A261" s="3268" t="s">
        <v>305</v>
      </c>
      <c r="B261" s="3257" t="s">
        <v>2963</v>
      </c>
      <c r="C261" s="3258">
        <v>0.1</v>
      </c>
      <c r="D261" s="3258">
        <v>0.1</v>
      </c>
      <c r="E261" s="3258">
        <v>0.11799999999999999</v>
      </c>
      <c r="F261" s="3258">
        <v>0.108</v>
      </c>
      <c r="G261" s="3259">
        <v>0.107</v>
      </c>
    </row>
    <row r="262" spans="1:7">
      <c r="A262" s="3268" t="s">
        <v>305</v>
      </c>
      <c r="B262" s="3257" t="s">
        <v>2969</v>
      </c>
      <c r="C262" s="3258">
        <v>0.1</v>
      </c>
      <c r="D262" s="3258">
        <v>0.1</v>
      </c>
      <c r="E262" s="3258">
        <v>0.1</v>
      </c>
      <c r="F262" s="3258">
        <v>0.14099999999999999</v>
      </c>
      <c r="G262" s="3259">
        <v>0.1</v>
      </c>
    </row>
    <row r="263" spans="1:7">
      <c r="A263" s="3268" t="s">
        <v>305</v>
      </c>
      <c r="B263" s="3257" t="s">
        <v>2976</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2987</v>
      </c>
      <c r="C265" s="3269"/>
      <c r="D265" s="3269"/>
      <c r="E265" s="3269"/>
      <c r="F265" s="3258">
        <v>0.05</v>
      </c>
      <c r="G265" s="3275"/>
    </row>
    <row r="266" spans="1:7">
      <c r="A266" s="3268" t="s">
        <v>305</v>
      </c>
      <c r="B266" s="3257" t="s">
        <v>2991</v>
      </c>
      <c r="C266" s="3269"/>
      <c r="D266" s="3269"/>
      <c r="E266" s="3269"/>
      <c r="F266" s="3258">
        <v>0.05</v>
      </c>
      <c r="G266" s="3275"/>
    </row>
    <row r="267" spans="1:7">
      <c r="A267" s="3268" t="s">
        <v>305</v>
      </c>
      <c r="B267" s="3257" t="s">
        <v>2996</v>
      </c>
      <c r="C267" s="3269"/>
      <c r="D267" s="3269"/>
      <c r="E267" s="3269"/>
      <c r="F267" s="3258">
        <v>0.05</v>
      </c>
      <c r="G267" s="3275"/>
    </row>
    <row r="268" spans="1:7">
      <c r="A268" s="3268" t="s">
        <v>305</v>
      </c>
      <c r="B268" s="3257" t="s">
        <v>3001</v>
      </c>
      <c r="C268" s="3269"/>
      <c r="D268" s="3269"/>
      <c r="E268" s="3269"/>
      <c r="F268" s="3258">
        <v>0.05</v>
      </c>
      <c r="G268" s="3275"/>
    </row>
    <row r="269" spans="1:7">
      <c r="A269" s="3268" t="s">
        <v>305</v>
      </c>
      <c r="B269" s="3257" t="s">
        <v>3006</v>
      </c>
      <c r="C269" s="3269"/>
      <c r="D269" s="3269"/>
      <c r="E269" s="3269"/>
      <c r="F269" s="3258">
        <v>0.05</v>
      </c>
      <c r="G269" s="3275"/>
    </row>
    <row r="270" spans="1:7">
      <c r="A270" s="3268" t="s">
        <v>305</v>
      </c>
      <c r="B270" s="3257" t="s">
        <v>3011</v>
      </c>
      <c r="C270" s="3269"/>
      <c r="D270" s="3269"/>
      <c r="E270" s="3269"/>
      <c r="F270" s="3258">
        <v>0.05</v>
      </c>
      <c r="G270" s="3275"/>
    </row>
    <row r="271" spans="1:7">
      <c r="A271" s="3268" t="s">
        <v>305</v>
      </c>
      <c r="B271" s="3257" t="s">
        <v>3215</v>
      </c>
      <c r="C271" s="3269"/>
      <c r="D271" s="3269"/>
      <c r="E271" s="3269"/>
      <c r="F271" s="3258">
        <v>0.05</v>
      </c>
      <c r="G271" s="3275"/>
    </row>
    <row r="272" spans="1:7">
      <c r="A272" s="3268" t="s">
        <v>305</v>
      </c>
      <c r="B272" s="3257" t="s">
        <v>3216</v>
      </c>
      <c r="C272" s="3269"/>
      <c r="D272" s="3269"/>
      <c r="E272" s="3269"/>
      <c r="F272" s="3258">
        <v>0.05</v>
      </c>
      <c r="G272" s="3275"/>
    </row>
    <row r="273" spans="1:7">
      <c r="A273" s="3268" t="s">
        <v>305</v>
      </c>
      <c r="B273" s="3257" t="s">
        <v>3217</v>
      </c>
      <c r="C273" s="3269"/>
      <c r="D273" s="3269"/>
      <c r="E273" s="3269"/>
      <c r="F273" s="3258">
        <v>0.05</v>
      </c>
      <c r="G273" s="3275"/>
    </row>
    <row r="274" spans="1:7">
      <c r="A274" s="3268" t="s">
        <v>305</v>
      </c>
      <c r="B274" s="3257" t="s">
        <v>3218</v>
      </c>
      <c r="C274" s="3269"/>
      <c r="D274" s="3269"/>
      <c r="E274" s="3269"/>
      <c r="F274" s="3258">
        <v>0.05</v>
      </c>
      <c r="G274" s="3275"/>
    </row>
    <row r="275" spans="1:7">
      <c r="A275" s="3268" t="s">
        <v>305</v>
      </c>
      <c r="B275" s="3257" t="s">
        <v>3219</v>
      </c>
      <c r="C275" s="3269"/>
      <c r="D275" s="3269"/>
      <c r="E275" s="3269"/>
      <c r="F275" s="3258">
        <v>0.05</v>
      </c>
      <c r="G275" s="3275"/>
    </row>
    <row r="276" spans="1:7" ht="14.25" thickBot="1">
      <c r="A276" s="3271" t="s">
        <v>305</v>
      </c>
      <c r="B276" s="3261" t="s">
        <v>3220</v>
      </c>
      <c r="C276" s="3263"/>
      <c r="D276" s="3263"/>
      <c r="E276" s="3263"/>
      <c r="F276" s="3262">
        <v>0.05</v>
      </c>
      <c r="G276" s="3276"/>
    </row>
    <row r="277" spans="1:7">
      <c r="A277" s="3267" t="s">
        <v>306</v>
      </c>
      <c r="B277" s="3253" t="s">
        <v>2864</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2876</v>
      </c>
      <c r="C279" s="3258">
        <v>0.15</v>
      </c>
      <c r="D279" s="3258">
        <v>0.15</v>
      </c>
      <c r="E279" s="3258">
        <v>0.15</v>
      </c>
      <c r="F279" s="3258">
        <v>0.15</v>
      </c>
      <c r="G279" s="3259">
        <v>0.15</v>
      </c>
    </row>
    <row r="280" spans="1:7">
      <c r="A280" s="3268" t="s">
        <v>306</v>
      </c>
      <c r="B280" s="3257" t="s">
        <v>2880</v>
      </c>
      <c r="C280" s="3258">
        <v>0.15</v>
      </c>
      <c r="D280" s="3258">
        <v>0.15</v>
      </c>
      <c r="E280" s="3258">
        <v>0.15</v>
      </c>
      <c r="F280" s="3258">
        <v>0.15</v>
      </c>
      <c r="G280" s="3259">
        <v>0.15</v>
      </c>
    </row>
    <row r="281" spans="1:7">
      <c r="A281" s="3268" t="s">
        <v>306</v>
      </c>
      <c r="B281" s="3257" t="s">
        <v>2884</v>
      </c>
      <c r="C281" s="3258">
        <v>0.15</v>
      </c>
      <c r="D281" s="3258">
        <v>0.15</v>
      </c>
      <c r="E281" s="3258">
        <v>0.15</v>
      </c>
      <c r="F281" s="3258">
        <v>0.15</v>
      </c>
      <c r="G281" s="3259">
        <v>0.15</v>
      </c>
    </row>
    <row r="282" spans="1:7">
      <c r="A282" s="3268" t="s">
        <v>306</v>
      </c>
      <c r="B282" s="3257" t="s">
        <v>2888</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2903</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2908</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2918</v>
      </c>
      <c r="C293" s="3258">
        <v>0.15</v>
      </c>
      <c r="D293" s="3258">
        <v>0.15</v>
      </c>
      <c r="E293" s="3258">
        <v>0.15</v>
      </c>
      <c r="F293" s="3258">
        <v>0.14499999999999999</v>
      </c>
      <c r="G293" s="3259">
        <v>0.15</v>
      </c>
    </row>
    <row r="294" spans="1:7">
      <c r="A294" s="3268" t="s">
        <v>306</v>
      </c>
      <c r="B294" s="3257" t="s">
        <v>2920</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2937</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2950</v>
      </c>
      <c r="C302" s="3258">
        <v>0.15</v>
      </c>
      <c r="D302" s="3258">
        <v>0.15</v>
      </c>
      <c r="E302" s="3258">
        <v>0.15</v>
      </c>
      <c r="F302" s="3258">
        <v>0.14699999999999999</v>
      </c>
      <c r="G302" s="3259">
        <v>0.15</v>
      </c>
    </row>
    <row r="303" spans="1:7">
      <c r="A303" s="3268" t="s">
        <v>306</v>
      </c>
      <c r="B303" s="3257" t="s">
        <v>2957</v>
      </c>
      <c r="C303" s="3258">
        <v>0.15</v>
      </c>
      <c r="D303" s="3258">
        <v>0.15</v>
      </c>
      <c r="E303" s="3258">
        <v>0.15</v>
      </c>
      <c r="F303" s="3258">
        <v>0.14199999999999999</v>
      </c>
      <c r="G303" s="3259">
        <v>0.15</v>
      </c>
    </row>
    <row r="304" spans="1:7">
      <c r="A304" s="3268" t="s">
        <v>306</v>
      </c>
      <c r="B304" s="3257" t="s">
        <v>2964</v>
      </c>
      <c r="C304" s="3258">
        <v>0.15</v>
      </c>
      <c r="D304" s="3258">
        <v>0.15</v>
      </c>
      <c r="E304" s="3258">
        <v>0.15</v>
      </c>
      <c r="F304" s="3258">
        <v>0.14499999999999999</v>
      </c>
      <c r="G304" s="3259">
        <v>0.15</v>
      </c>
    </row>
    <row r="305" spans="1:7">
      <c r="A305" s="3268" t="s">
        <v>306</v>
      </c>
      <c r="B305" s="3257" t="s">
        <v>2970</v>
      </c>
      <c r="C305" s="3258">
        <v>0.15</v>
      </c>
      <c r="D305" s="3258">
        <v>0.15</v>
      </c>
      <c r="E305" s="3258">
        <v>0.15</v>
      </c>
      <c r="F305" s="3258">
        <v>0.111</v>
      </c>
      <c r="G305" s="3259">
        <v>0.15</v>
      </c>
    </row>
    <row r="306" spans="1:7">
      <c r="A306" s="3268" t="s">
        <v>306</v>
      </c>
      <c r="B306" s="3257" t="s">
        <v>2977</v>
      </c>
      <c r="C306" s="3258">
        <v>0.15</v>
      </c>
      <c r="D306" s="3258">
        <v>0.15</v>
      </c>
      <c r="E306" s="3258">
        <v>0.15</v>
      </c>
      <c r="F306" s="3258">
        <v>0.126</v>
      </c>
      <c r="G306" s="3259">
        <v>0.15</v>
      </c>
    </row>
    <row r="307" spans="1:7">
      <c r="A307" s="3268" t="s">
        <v>306</v>
      </c>
      <c r="B307" s="3257" t="s">
        <v>2982</v>
      </c>
      <c r="C307" s="3258">
        <v>0.15</v>
      </c>
      <c r="D307" s="3258">
        <v>0.15</v>
      </c>
      <c r="E307" s="3258">
        <v>0.15</v>
      </c>
      <c r="F307" s="3258">
        <v>0.12</v>
      </c>
      <c r="G307" s="3259">
        <v>0.15</v>
      </c>
    </row>
    <row r="308" spans="1:7">
      <c r="A308" s="3268" t="s">
        <v>306</v>
      </c>
      <c r="B308" s="3257" t="s">
        <v>2988</v>
      </c>
      <c r="C308" s="3258">
        <v>0.15</v>
      </c>
      <c r="D308" s="3258">
        <v>0.15</v>
      </c>
      <c r="E308" s="3258">
        <v>0.15</v>
      </c>
      <c r="F308" s="3258">
        <v>0.13</v>
      </c>
      <c r="G308" s="3259">
        <v>0.15</v>
      </c>
    </row>
    <row r="309" spans="1:7">
      <c r="A309" s="3268" t="s">
        <v>306</v>
      </c>
      <c r="B309" s="3257" t="s">
        <v>2992</v>
      </c>
      <c r="C309" s="3258">
        <v>0.15</v>
      </c>
      <c r="D309" s="3258">
        <v>0.15</v>
      </c>
      <c r="E309" s="3258">
        <v>0.15</v>
      </c>
      <c r="F309" s="3258">
        <v>0.14099999999999999</v>
      </c>
      <c r="G309" s="3259">
        <v>0.15</v>
      </c>
    </row>
    <row r="310" spans="1:7">
      <c r="A310" s="3268" t="s">
        <v>306</v>
      </c>
      <c r="B310" s="3257" t="s">
        <v>2997</v>
      </c>
      <c r="C310" s="3258">
        <v>0.15</v>
      </c>
      <c r="D310" s="3258">
        <v>0.15</v>
      </c>
      <c r="E310" s="3258">
        <v>0.15</v>
      </c>
      <c r="F310" s="3258">
        <v>0.15</v>
      </c>
      <c r="G310" s="3259">
        <v>0.15</v>
      </c>
    </row>
    <row r="311" spans="1:7">
      <c r="A311" s="3268" t="s">
        <v>306</v>
      </c>
      <c r="B311" s="3257" t="s">
        <v>3002</v>
      </c>
      <c r="C311" s="3258">
        <v>0.13200000000000001</v>
      </c>
      <c r="D311" s="3258">
        <v>0.13300000000000001</v>
      </c>
      <c r="E311" s="3258">
        <v>0.14499999999999999</v>
      </c>
      <c r="F311" s="3258">
        <v>0.14199999999999999</v>
      </c>
      <c r="G311" s="3259">
        <v>0.14000000000000001</v>
      </c>
    </row>
    <row r="312" spans="1:7">
      <c r="A312" s="3268" t="s">
        <v>306</v>
      </c>
      <c r="B312" s="3257" t="s">
        <v>3007</v>
      </c>
      <c r="C312" s="3258">
        <v>0.13800000000000001</v>
      </c>
      <c r="D312" s="3258">
        <v>0.14000000000000001</v>
      </c>
      <c r="E312" s="3258">
        <v>0.14599999999999999</v>
      </c>
      <c r="F312" s="3258">
        <v>0.14899999999999999</v>
      </c>
      <c r="G312" s="3259">
        <v>0.14199999999999999</v>
      </c>
    </row>
    <row r="313" spans="1:7">
      <c r="A313" s="3268" t="s">
        <v>306</v>
      </c>
      <c r="B313" s="3257" t="s">
        <v>3012</v>
      </c>
      <c r="C313" s="3258">
        <v>0.125</v>
      </c>
      <c r="D313" s="3258">
        <v>0.127</v>
      </c>
      <c r="E313" s="3258">
        <v>0.14399999999999999</v>
      </c>
      <c r="F313" s="3258">
        <v>0.115</v>
      </c>
      <c r="G313" s="3259">
        <v>0.13600000000000001</v>
      </c>
    </row>
    <row r="314" spans="1:7">
      <c r="A314" s="3268" t="s">
        <v>306</v>
      </c>
      <c r="B314" s="3257" t="s">
        <v>3221</v>
      </c>
      <c r="C314" s="3274"/>
      <c r="D314" s="3274"/>
      <c r="E314" s="3274"/>
      <c r="F314" s="3258">
        <v>0.05</v>
      </c>
      <c r="G314" s="3275"/>
    </row>
    <row r="315" spans="1:7">
      <c r="A315" s="3268" t="s">
        <v>306</v>
      </c>
      <c r="B315" s="3257" t="s">
        <v>3222</v>
      </c>
      <c r="C315" s="3274"/>
      <c r="D315" s="3274"/>
      <c r="E315" s="3274"/>
      <c r="F315" s="3258">
        <v>0.05</v>
      </c>
      <c r="G315" s="3275"/>
    </row>
    <row r="316" spans="1:7">
      <c r="A316" s="3268" t="s">
        <v>306</v>
      </c>
      <c r="B316" s="3257" t="s">
        <v>3223</v>
      </c>
      <c r="C316" s="3269"/>
      <c r="D316" s="3269"/>
      <c r="E316" s="3269"/>
      <c r="F316" s="3258">
        <v>0.05</v>
      </c>
      <c r="G316" s="3275"/>
    </row>
    <row r="317" spans="1:7">
      <c r="A317" s="3268" t="s">
        <v>306</v>
      </c>
      <c r="B317" s="3257" t="s">
        <v>3224</v>
      </c>
      <c r="C317" s="3269"/>
      <c r="D317" s="3269"/>
      <c r="E317" s="3269"/>
      <c r="F317" s="3258">
        <v>0.05</v>
      </c>
      <c r="G317" s="3275"/>
    </row>
    <row r="318" spans="1:7">
      <c r="A318" s="3268" t="s">
        <v>306</v>
      </c>
      <c r="B318" s="3257" t="s">
        <v>3225</v>
      </c>
      <c r="C318" s="3269"/>
      <c r="D318" s="3269"/>
      <c r="E318" s="3269"/>
      <c r="F318" s="3258">
        <v>0.05</v>
      </c>
      <c r="G318" s="3275"/>
    </row>
    <row r="319" spans="1:7">
      <c r="A319" s="3268" t="s">
        <v>306</v>
      </c>
      <c r="B319" s="3257" t="s">
        <v>3226</v>
      </c>
      <c r="C319" s="3269"/>
      <c r="D319" s="3269"/>
      <c r="E319" s="3269"/>
      <c r="F319" s="3258">
        <v>0.05</v>
      </c>
      <c r="G319" s="3275"/>
    </row>
    <row r="320" spans="1:7">
      <c r="A320" s="3268" t="s">
        <v>306</v>
      </c>
      <c r="B320" s="3257" t="s">
        <v>3227</v>
      </c>
      <c r="C320" s="3269"/>
      <c r="D320" s="3269"/>
      <c r="E320" s="3269"/>
      <c r="F320" s="3258">
        <v>0.05</v>
      </c>
      <c r="G320" s="3275"/>
    </row>
    <row r="321" spans="1:7">
      <c r="A321" s="3268" t="s">
        <v>306</v>
      </c>
      <c r="B321" s="3257" t="s">
        <v>3228</v>
      </c>
      <c r="C321" s="3269"/>
      <c r="D321" s="3269"/>
      <c r="E321" s="3269"/>
      <c r="F321" s="3258">
        <v>0.05</v>
      </c>
      <c r="G321" s="3275"/>
    </row>
    <row r="322" spans="1:7">
      <c r="A322" s="3268" t="s">
        <v>306</v>
      </c>
      <c r="B322" s="3257" t="s">
        <v>3229</v>
      </c>
      <c r="C322" s="3269"/>
      <c r="D322" s="3269"/>
      <c r="E322" s="3269"/>
      <c r="F322" s="3258">
        <v>0.05</v>
      </c>
      <c r="G322" s="3275"/>
    </row>
    <row r="323" spans="1:7">
      <c r="A323" s="3268" t="s">
        <v>306</v>
      </c>
      <c r="B323" s="3257" t="s">
        <v>3230</v>
      </c>
      <c r="C323" s="3269"/>
      <c r="D323" s="3269"/>
      <c r="E323" s="3269"/>
      <c r="F323" s="3258">
        <v>0.05</v>
      </c>
      <c r="G323" s="3275"/>
    </row>
    <row r="324" spans="1:7">
      <c r="A324" s="3268" t="s">
        <v>306</v>
      </c>
      <c r="B324" s="3257" t="s">
        <v>3231</v>
      </c>
      <c r="C324" s="3269"/>
      <c r="D324" s="3269"/>
      <c r="E324" s="3269"/>
      <c r="F324" s="3258">
        <v>0.05</v>
      </c>
      <c r="G324" s="3275"/>
    </row>
    <row r="325" spans="1:7">
      <c r="A325" s="3268" t="s">
        <v>306</v>
      </c>
      <c r="B325" s="3257" t="s">
        <v>3232</v>
      </c>
      <c r="C325" s="3269"/>
      <c r="D325" s="3269"/>
      <c r="E325" s="3269"/>
      <c r="F325" s="3258">
        <v>0.05</v>
      </c>
      <c r="G325" s="3275"/>
    </row>
    <row r="326" spans="1:7" ht="14.25" thickBot="1">
      <c r="A326" s="3271" t="s">
        <v>306</v>
      </c>
      <c r="B326" s="3261" t="s">
        <v>3233</v>
      </c>
      <c r="C326" s="3263"/>
      <c r="D326" s="3263"/>
      <c r="E326" s="3263"/>
      <c r="F326" s="3262">
        <v>0.05</v>
      </c>
      <c r="G326" s="3276"/>
    </row>
    <row r="327" spans="1:7">
      <c r="A327" s="3267" t="s">
        <v>307</v>
      </c>
      <c r="B327" s="3253" t="s">
        <v>2865</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2877</v>
      </c>
      <c r="C329" s="3258">
        <v>0.15</v>
      </c>
      <c r="D329" s="3258">
        <v>0.15</v>
      </c>
      <c r="E329" s="3258">
        <v>0.15</v>
      </c>
      <c r="F329" s="3258">
        <v>0.15</v>
      </c>
      <c r="G329" s="3259">
        <v>0.15</v>
      </c>
    </row>
    <row r="330" spans="1:7">
      <c r="A330" s="3268" t="s">
        <v>307</v>
      </c>
      <c r="B330" s="3257" t="s">
        <v>2881</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2889</v>
      </c>
      <c r="C332" s="3258">
        <v>0.15</v>
      </c>
      <c r="D332" s="3258">
        <v>0.15</v>
      </c>
      <c r="E332" s="3258">
        <v>0.15</v>
      </c>
      <c r="F332" s="3258">
        <v>0.15</v>
      </c>
      <c r="G332" s="3259">
        <v>0.15</v>
      </c>
    </row>
    <row r="333" spans="1:7">
      <c r="A333" s="3268" t="s">
        <v>307</v>
      </c>
      <c r="B333" s="3257" t="s">
        <v>2893</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2899</v>
      </c>
      <c r="C336" s="3258">
        <v>0.15</v>
      </c>
      <c r="D336" s="3258">
        <v>0.15</v>
      </c>
      <c r="E336" s="3258">
        <v>0.15</v>
      </c>
      <c r="F336" s="3258">
        <v>0.14199999999999999</v>
      </c>
      <c r="G336" s="3259">
        <v>0.15</v>
      </c>
    </row>
    <row r="337" spans="1:7">
      <c r="A337" s="3268" t="s">
        <v>307</v>
      </c>
      <c r="B337" s="3257" t="s">
        <v>2904</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2911</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2916</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2924</v>
      </c>
      <c r="C345" s="3258">
        <v>0.15</v>
      </c>
      <c r="D345" s="3258">
        <v>0.15</v>
      </c>
      <c r="E345" s="3258">
        <v>0.15</v>
      </c>
      <c r="F345" s="3258">
        <v>0.13800000000000001</v>
      </c>
      <c r="G345" s="3259">
        <v>0.15</v>
      </c>
    </row>
    <row r="346" spans="1:7">
      <c r="A346" s="3268" t="s">
        <v>307</v>
      </c>
      <c r="B346" s="3257" t="s">
        <v>2926</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2933</v>
      </c>
      <c r="C348" s="3258">
        <v>0.15</v>
      </c>
      <c r="D348" s="3258">
        <v>0.15</v>
      </c>
      <c r="E348" s="3258">
        <v>0.15</v>
      </c>
      <c r="F348" s="3258">
        <v>0.14399999999999999</v>
      </c>
      <c r="G348" s="3259">
        <v>0.15</v>
      </c>
    </row>
    <row r="349" spans="1:7">
      <c r="A349" s="3268" t="s">
        <v>307</v>
      </c>
      <c r="B349" s="3257" t="s">
        <v>2938</v>
      </c>
      <c r="C349" s="3258">
        <v>0.15</v>
      </c>
      <c r="D349" s="3258">
        <v>0.15</v>
      </c>
      <c r="E349" s="3258">
        <v>0.15</v>
      </c>
      <c r="F349" s="3258">
        <v>0.15</v>
      </c>
      <c r="G349" s="3259">
        <v>0.15</v>
      </c>
    </row>
    <row r="350" spans="1:7">
      <c r="A350" s="3268" t="s">
        <v>307</v>
      </c>
      <c r="B350" s="3257" t="s">
        <v>2941</v>
      </c>
      <c r="C350" s="3258">
        <v>0.15</v>
      </c>
      <c r="D350" s="3258">
        <v>0.15</v>
      </c>
      <c r="E350" s="3258">
        <v>0.15</v>
      </c>
      <c r="F350" s="3258">
        <v>0.14699999999999999</v>
      </c>
      <c r="G350" s="3259">
        <v>0.15</v>
      </c>
    </row>
    <row r="351" spans="1:7">
      <c r="A351" s="3268" t="s">
        <v>307</v>
      </c>
      <c r="B351" s="3257" t="s">
        <v>2946</v>
      </c>
      <c r="C351" s="3258">
        <v>0.15</v>
      </c>
      <c r="D351" s="3258">
        <v>0.15</v>
      </c>
      <c r="E351" s="3258">
        <v>0.15</v>
      </c>
      <c r="F351" s="3258">
        <v>0.13</v>
      </c>
      <c r="G351" s="3259">
        <v>0.15</v>
      </c>
    </row>
    <row r="352" spans="1:7">
      <c r="A352" s="3268" t="s">
        <v>307</v>
      </c>
      <c r="B352" s="3257" t="s">
        <v>2951</v>
      </c>
      <c r="C352" s="3258">
        <v>0.15</v>
      </c>
      <c r="D352" s="3258">
        <v>0.15</v>
      </c>
      <c r="E352" s="3258">
        <v>0.15</v>
      </c>
      <c r="F352" s="3258">
        <v>0.14599999999999999</v>
      </c>
      <c r="G352" s="3259">
        <v>0.15</v>
      </c>
    </row>
    <row r="353" spans="1:7">
      <c r="A353" s="3268" t="s">
        <v>307</v>
      </c>
      <c r="B353" s="3257" t="s">
        <v>2958</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2971</v>
      </c>
      <c r="C355" s="3258">
        <v>0.15</v>
      </c>
      <c r="D355" s="3258">
        <v>0.15</v>
      </c>
      <c r="E355" s="3258">
        <v>0.15</v>
      </c>
      <c r="F355" s="3258">
        <v>0.15</v>
      </c>
      <c r="G355" s="3259">
        <v>0.15</v>
      </c>
    </row>
    <row r="356" spans="1:7">
      <c r="A356" s="3268" t="s">
        <v>307</v>
      </c>
      <c r="B356" s="3257" t="s">
        <v>2978</v>
      </c>
      <c r="C356" s="3258">
        <v>0.15</v>
      </c>
      <c r="D356" s="3258">
        <v>0.15</v>
      </c>
      <c r="E356" s="3258">
        <v>0.15</v>
      </c>
      <c r="F356" s="3258">
        <v>0.15</v>
      </c>
      <c r="G356" s="3259">
        <v>0.15</v>
      </c>
    </row>
    <row r="357" spans="1:7" ht="14.25" thickBot="1">
      <c r="A357" s="3271" t="s">
        <v>307</v>
      </c>
      <c r="B357" s="3261" t="s">
        <v>2983</v>
      </c>
      <c r="C357" s="3262">
        <v>0.126</v>
      </c>
      <c r="D357" s="3262">
        <v>0.127</v>
      </c>
      <c r="E357" s="3262">
        <v>0.14299999999999999</v>
      </c>
      <c r="F357" s="3262">
        <v>0.125</v>
      </c>
      <c r="G357" s="3264">
        <v>0.129</v>
      </c>
    </row>
    <row r="358" spans="1:7">
      <c r="A358" s="3267" t="s">
        <v>2852</v>
      </c>
      <c r="B358" s="3253" t="s">
        <v>2866</v>
      </c>
      <c r="C358" s="3254">
        <v>0.15</v>
      </c>
      <c r="D358" s="3254">
        <v>0.15</v>
      </c>
      <c r="E358" s="3254">
        <v>0.15</v>
      </c>
      <c r="F358" s="3254">
        <v>0.15</v>
      </c>
      <c r="G358" s="3255">
        <v>0.15</v>
      </c>
    </row>
    <row r="359" spans="1:7">
      <c r="A359" s="3268" t="s">
        <v>2852</v>
      </c>
      <c r="B359" s="3257" t="s">
        <v>2872</v>
      </c>
      <c r="C359" s="3258">
        <v>0.1</v>
      </c>
      <c r="D359" s="3258">
        <v>0.1</v>
      </c>
      <c r="E359" s="3258">
        <v>0.1</v>
      </c>
      <c r="F359" s="3258">
        <v>0.1</v>
      </c>
      <c r="G359" s="3259">
        <v>0.1</v>
      </c>
    </row>
    <row r="360" spans="1:7">
      <c r="A360" s="3268" t="s">
        <v>2852</v>
      </c>
      <c r="B360" s="3257" t="s">
        <v>2878</v>
      </c>
      <c r="C360" s="3258">
        <v>0.15</v>
      </c>
      <c r="D360" s="3258">
        <v>0.15</v>
      </c>
      <c r="E360" s="3258">
        <v>0.15</v>
      </c>
      <c r="F360" s="3258">
        <v>0.14899999999999999</v>
      </c>
      <c r="G360" s="3259">
        <v>0.15</v>
      </c>
    </row>
    <row r="361" spans="1:7">
      <c r="A361" s="3268" t="s">
        <v>2852</v>
      </c>
      <c r="B361" s="3257" t="s">
        <v>153</v>
      </c>
      <c r="C361" s="3258">
        <v>0.15</v>
      </c>
      <c r="D361" s="3258">
        <v>0.15</v>
      </c>
      <c r="E361" s="3258">
        <v>0.15</v>
      </c>
      <c r="F361" s="3258">
        <v>0.115</v>
      </c>
      <c r="G361" s="3259">
        <v>0.15</v>
      </c>
    </row>
    <row r="362" spans="1:7">
      <c r="A362" s="3268" t="s">
        <v>2852</v>
      </c>
      <c r="B362" s="3257" t="s">
        <v>2885</v>
      </c>
      <c r="C362" s="3258">
        <v>0.15</v>
      </c>
      <c r="D362" s="3258">
        <v>0.15</v>
      </c>
      <c r="E362" s="3258">
        <v>0.15</v>
      </c>
      <c r="F362" s="3258">
        <v>0.106</v>
      </c>
      <c r="G362" s="3259">
        <v>0.15</v>
      </c>
    </row>
    <row r="363" spans="1:7">
      <c r="A363" s="3268" t="s">
        <v>2852</v>
      </c>
      <c r="B363" s="3257" t="s">
        <v>2890</v>
      </c>
      <c r="C363" s="3258">
        <v>0.15</v>
      </c>
      <c r="D363" s="3258">
        <v>0.15</v>
      </c>
      <c r="E363" s="3258">
        <v>0.15</v>
      </c>
      <c r="F363" s="3258">
        <v>0.14699999999999999</v>
      </c>
      <c r="G363" s="3259">
        <v>0.15</v>
      </c>
    </row>
    <row r="364" spans="1:7">
      <c r="A364" s="3268" t="s">
        <v>2852</v>
      </c>
      <c r="B364" s="3257" t="s">
        <v>2894</v>
      </c>
      <c r="C364" s="3258">
        <v>0.15</v>
      </c>
      <c r="D364" s="3258">
        <v>0.15</v>
      </c>
      <c r="E364" s="3258">
        <v>0.15</v>
      </c>
      <c r="F364" s="3258">
        <v>0.14799999999999999</v>
      </c>
      <c r="G364" s="3259">
        <v>0.15</v>
      </c>
    </row>
    <row r="365" spans="1:7">
      <c r="A365" s="3268" t="s">
        <v>2852</v>
      </c>
      <c r="B365" s="3257" t="s">
        <v>200</v>
      </c>
      <c r="C365" s="3258">
        <v>0.15</v>
      </c>
      <c r="D365" s="3258">
        <v>0.15</v>
      </c>
      <c r="E365" s="3258">
        <v>0.15</v>
      </c>
      <c r="F365" s="3258">
        <v>0.15</v>
      </c>
      <c r="G365" s="3259">
        <v>0.15</v>
      </c>
    </row>
    <row r="366" spans="1:7">
      <c r="A366" s="3268" t="s">
        <v>2852</v>
      </c>
      <c r="B366" s="3257" t="s">
        <v>2897</v>
      </c>
      <c r="C366" s="3258">
        <v>0.15</v>
      </c>
      <c r="D366" s="3258">
        <v>0.15</v>
      </c>
      <c r="E366" s="3258">
        <v>0.15</v>
      </c>
      <c r="F366" s="3258">
        <v>0.15</v>
      </c>
      <c r="G366" s="3259">
        <v>0.15</v>
      </c>
    </row>
    <row r="367" spans="1:7">
      <c r="A367" s="3268" t="s">
        <v>2852</v>
      </c>
      <c r="B367" s="3257" t="s">
        <v>2900</v>
      </c>
      <c r="C367" s="3258">
        <v>0.15</v>
      </c>
      <c r="D367" s="3258">
        <v>0.15</v>
      </c>
      <c r="E367" s="3258">
        <v>0.15</v>
      </c>
      <c r="F367" s="3258">
        <v>0.14699999999999999</v>
      </c>
      <c r="G367" s="3259">
        <v>0.15</v>
      </c>
    </row>
    <row r="368" spans="1:7">
      <c r="A368" s="3268" t="s">
        <v>2852</v>
      </c>
      <c r="B368" s="3257" t="s">
        <v>2905</v>
      </c>
      <c r="C368" s="3258">
        <v>0.15</v>
      </c>
      <c r="D368" s="3258">
        <v>0.15</v>
      </c>
      <c r="E368" s="3258">
        <v>0.15</v>
      </c>
      <c r="F368" s="3258">
        <v>0.13600000000000001</v>
      </c>
      <c r="G368" s="3259">
        <v>0.15</v>
      </c>
    </row>
    <row r="369" spans="1:7">
      <c r="A369" s="3268" t="s">
        <v>2852</v>
      </c>
      <c r="B369" s="3257" t="s">
        <v>214</v>
      </c>
      <c r="C369" s="3258">
        <v>0.15</v>
      </c>
      <c r="D369" s="3258">
        <v>0.15</v>
      </c>
      <c r="E369" s="3258">
        <v>0.15</v>
      </c>
      <c r="F369" s="3258">
        <v>0.14399999999999999</v>
      </c>
      <c r="G369" s="3259">
        <v>0.15</v>
      </c>
    </row>
    <row r="370" spans="1:7">
      <c r="A370" s="3268" t="s">
        <v>2852</v>
      </c>
      <c r="B370" s="3257" t="s">
        <v>221</v>
      </c>
      <c r="C370" s="3258">
        <v>0.15</v>
      </c>
      <c r="D370" s="3258">
        <v>0.15</v>
      </c>
      <c r="E370" s="3258">
        <v>0.15</v>
      </c>
      <c r="F370" s="3258">
        <v>0.14599999999999999</v>
      </c>
      <c r="G370" s="3259">
        <v>0.15</v>
      </c>
    </row>
    <row r="371" spans="1:7">
      <c r="A371" s="3268" t="s">
        <v>2852</v>
      </c>
      <c r="B371" s="3257" t="s">
        <v>229</v>
      </c>
      <c r="C371" s="3258">
        <v>0.15</v>
      </c>
      <c r="D371" s="3258">
        <v>0.15</v>
      </c>
      <c r="E371" s="3258">
        <v>0.15</v>
      </c>
      <c r="F371" s="3258">
        <v>0.12</v>
      </c>
      <c r="G371" s="3259">
        <v>0.15</v>
      </c>
    </row>
    <row r="372" spans="1:7">
      <c r="A372" s="3268" t="s">
        <v>2852</v>
      </c>
      <c r="B372" s="3257" t="s">
        <v>2913</v>
      </c>
      <c r="C372" s="3258">
        <v>0.15</v>
      </c>
      <c r="D372" s="3258">
        <v>0.15</v>
      </c>
      <c r="E372" s="3258">
        <v>0.15</v>
      </c>
      <c r="F372" s="3258">
        <v>0.14299999999999999</v>
      </c>
      <c r="G372" s="3259">
        <v>0.15</v>
      </c>
    </row>
    <row r="373" spans="1:7">
      <c r="A373" s="3268" t="s">
        <v>2852</v>
      </c>
      <c r="B373" s="3257" t="s">
        <v>258</v>
      </c>
      <c r="C373" s="3258">
        <v>0.15</v>
      </c>
      <c r="D373" s="3258">
        <v>0.15</v>
      </c>
      <c r="E373" s="3258">
        <v>0.15</v>
      </c>
      <c r="F373" s="3258">
        <v>0.14599999999999999</v>
      </c>
      <c r="G373" s="3259">
        <v>0.15</v>
      </c>
    </row>
    <row r="374" spans="1:7">
      <c r="A374" s="3268" t="s">
        <v>2852</v>
      </c>
      <c r="B374" s="3257" t="s">
        <v>266</v>
      </c>
      <c r="C374" s="3258">
        <v>0.15</v>
      </c>
      <c r="D374" s="3258">
        <v>0.15</v>
      </c>
      <c r="E374" s="3258">
        <v>0.15</v>
      </c>
      <c r="F374" s="3258">
        <v>0.14399999999999999</v>
      </c>
      <c r="G374" s="3259">
        <v>0.15</v>
      </c>
    </row>
    <row r="375" spans="1:7">
      <c r="A375" s="3268" t="s">
        <v>2852</v>
      </c>
      <c r="B375" s="3257" t="s">
        <v>2921</v>
      </c>
      <c r="C375" s="3258">
        <v>0.15</v>
      </c>
      <c r="D375" s="3258">
        <v>0.15</v>
      </c>
      <c r="E375" s="3258">
        <v>0.15</v>
      </c>
      <c r="F375" s="3258">
        <v>0.13</v>
      </c>
      <c r="G375" s="3259">
        <v>0.15</v>
      </c>
    </row>
    <row r="376" spans="1:7">
      <c r="A376" s="3268" t="s">
        <v>2852</v>
      </c>
      <c r="B376" s="3257" t="s">
        <v>277</v>
      </c>
      <c r="C376" s="3258">
        <v>0.15</v>
      </c>
      <c r="D376" s="3258">
        <v>0.15</v>
      </c>
      <c r="E376" s="3258">
        <v>0.15</v>
      </c>
      <c r="F376" s="3258">
        <v>0.14199999999999999</v>
      </c>
      <c r="G376" s="3259">
        <v>0.15</v>
      </c>
    </row>
    <row r="377" spans="1:7" ht="14.25" thickBot="1">
      <c r="A377" s="3271" t="s">
        <v>2852</v>
      </c>
      <c r="B377" s="3261" t="s">
        <v>2927</v>
      </c>
      <c r="C377" s="3262">
        <v>0.15</v>
      </c>
      <c r="D377" s="3262">
        <v>0.15</v>
      </c>
      <c r="E377" s="3262">
        <v>0.15</v>
      </c>
      <c r="F377" s="3262">
        <v>0.14000000000000001</v>
      </c>
      <c r="G377" s="3264">
        <v>0.15</v>
      </c>
    </row>
    <row r="378" spans="1:7">
      <c r="A378" s="3267" t="s">
        <v>2853</v>
      </c>
      <c r="B378" s="3253" t="s">
        <v>2867</v>
      </c>
      <c r="C378" s="3254">
        <v>0.15</v>
      </c>
      <c r="D378" s="3254">
        <v>0.15</v>
      </c>
      <c r="E378" s="3254">
        <v>0.15</v>
      </c>
      <c r="F378" s="3254">
        <v>0.107</v>
      </c>
      <c r="G378" s="3255">
        <v>0.15</v>
      </c>
    </row>
    <row r="379" spans="1:7">
      <c r="A379" s="3268" t="s">
        <v>2853</v>
      </c>
      <c r="B379" s="3257" t="s">
        <v>2873</v>
      </c>
      <c r="C379" s="3258">
        <v>0.15</v>
      </c>
      <c r="D379" s="3258">
        <v>0.15</v>
      </c>
      <c r="E379" s="3258">
        <v>0.15</v>
      </c>
      <c r="F379" s="3258">
        <v>0.115</v>
      </c>
      <c r="G379" s="3259">
        <v>0.14899999999999999</v>
      </c>
    </row>
    <row r="380" spans="1:7">
      <c r="A380" s="3268" t="s">
        <v>2853</v>
      </c>
      <c r="B380" s="3257" t="s">
        <v>2879</v>
      </c>
      <c r="C380" s="3258">
        <v>0.15</v>
      </c>
      <c r="D380" s="3258">
        <v>0.15</v>
      </c>
      <c r="E380" s="3258">
        <v>0.15</v>
      </c>
      <c r="F380" s="3258">
        <v>0.1</v>
      </c>
      <c r="G380" s="3259">
        <v>0.14799999999999999</v>
      </c>
    </row>
    <row r="381" spans="1:7">
      <c r="A381" s="3268" t="s">
        <v>2853</v>
      </c>
      <c r="B381" s="3257" t="s">
        <v>2882</v>
      </c>
      <c r="C381" s="3258">
        <v>0.15</v>
      </c>
      <c r="D381" s="3258">
        <v>0.15</v>
      </c>
      <c r="E381" s="3258">
        <v>0.15</v>
      </c>
      <c r="F381" s="3258">
        <v>0.126</v>
      </c>
      <c r="G381" s="3259">
        <v>0.15</v>
      </c>
    </row>
    <row r="382" spans="1:7">
      <c r="A382" s="3268" t="s">
        <v>2853</v>
      </c>
      <c r="B382" s="3257" t="s">
        <v>2886</v>
      </c>
      <c r="C382" s="3258">
        <v>0.15</v>
      </c>
      <c r="D382" s="3258">
        <v>0.15</v>
      </c>
      <c r="E382" s="3258">
        <v>0.15</v>
      </c>
      <c r="F382" s="3258">
        <v>0.15</v>
      </c>
      <c r="G382" s="3259">
        <v>0.15</v>
      </c>
    </row>
    <row r="383" spans="1:7">
      <c r="A383" s="3268" t="s">
        <v>2853</v>
      </c>
      <c r="B383" s="3257" t="s">
        <v>2891</v>
      </c>
      <c r="C383" s="3258">
        <v>0.15</v>
      </c>
      <c r="D383" s="3258">
        <v>0.15</v>
      </c>
      <c r="E383" s="3258">
        <v>0.15</v>
      </c>
      <c r="F383" s="3258">
        <v>0.14699999999999999</v>
      </c>
      <c r="G383" s="3259">
        <v>0.15</v>
      </c>
    </row>
    <row r="384" spans="1:7" ht="14.25" thickBot="1">
      <c r="A384" s="3278" t="s">
        <v>2853</v>
      </c>
      <c r="B384" s="3279" t="s">
        <v>2895</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46" t="s">
        <v>3234</v>
      </c>
      <c r="B1" s="3846"/>
      <c r="C1" s="3846"/>
      <c r="D1" s="3846"/>
      <c r="E1" s="3846"/>
      <c r="F1" s="3847"/>
    </row>
    <row r="2" spans="1:6">
      <c r="A2" s="3284" t="s">
        <v>3235</v>
      </c>
      <c r="B2" s="3285"/>
      <c r="C2" s="3285"/>
      <c r="D2" s="3285"/>
      <c r="E2" s="3285"/>
      <c r="F2" s="3285"/>
    </row>
    <row r="3" spans="1:6">
      <c r="A3" s="3284" t="s">
        <v>3236</v>
      </c>
      <c r="B3" s="3285"/>
      <c r="C3" s="3285"/>
      <c r="D3" s="3285"/>
      <c r="E3" s="3285"/>
      <c r="F3" s="3286" t="s">
        <v>3237</v>
      </c>
    </row>
    <row r="4" spans="1:6">
      <c r="A4" s="3287" t="s">
        <v>672</v>
      </c>
      <c r="B4" s="3287" t="s">
        <v>673</v>
      </c>
      <c r="C4" s="3287" t="s">
        <v>21</v>
      </c>
      <c r="D4" s="3287" t="s">
        <v>674</v>
      </c>
      <c r="E4" s="3287" t="s">
        <v>3</v>
      </c>
      <c r="F4" s="3287" t="s">
        <v>3238</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45363</v>
      </c>
      <c r="B1" s="3203" t="s">
        <v>3372</v>
      </c>
      <c r="C1" s="3204"/>
      <c r="D1" s="3204"/>
      <c r="E1" s="3204"/>
      <c r="F1" s="3204"/>
      <c r="G1" s="3204"/>
      <c r="H1" s="3204"/>
      <c r="I1" s="3204"/>
      <c r="J1" s="3158"/>
      <c r="K1" s="3204" t="s">
        <v>454</v>
      </c>
      <c r="L1" s="3204"/>
      <c r="M1" s="3204"/>
      <c r="N1" s="3204"/>
      <c r="O1" s="3204"/>
      <c r="P1" s="3204"/>
      <c r="Q1" s="3158"/>
      <c r="R1" s="3848" t="s">
        <v>456</v>
      </c>
      <c r="S1" s="3849"/>
      <c r="T1" s="3849"/>
      <c r="U1" s="3849"/>
      <c r="V1" s="3849"/>
      <c r="W1" s="3849"/>
      <c r="X1" s="3158"/>
      <c r="Y1" s="3848" t="s">
        <v>457</v>
      </c>
      <c r="Z1" s="3849"/>
      <c r="AA1" s="3849"/>
      <c r="AB1" s="3849"/>
      <c r="AC1" s="3849"/>
      <c r="AD1" s="3849"/>
    </row>
    <row r="2" spans="1:30" s="3136" customFormat="1" ht="14.25" thickBot="1">
      <c r="B2" s="3137"/>
      <c r="C2" s="3138"/>
      <c r="D2" s="3139" t="s">
        <v>2812</v>
      </c>
      <c r="E2" s="3140" t="s">
        <v>2813</v>
      </c>
      <c r="F2" s="3140" t="s">
        <v>2814</v>
      </c>
      <c r="G2" s="3140" t="s">
        <v>2815</v>
      </c>
      <c r="H2" s="3140" t="s">
        <v>2816</v>
      </c>
      <c r="I2" s="3140" t="s">
        <v>2633</v>
      </c>
      <c r="J2" s="3141"/>
      <c r="K2" s="3139" t="s">
        <v>2812</v>
      </c>
      <c r="L2" s="3140" t="s">
        <v>2813</v>
      </c>
      <c r="M2" s="3140" t="s">
        <v>2814</v>
      </c>
      <c r="N2" s="3140" t="s">
        <v>2815</v>
      </c>
      <c r="O2" s="3140" t="s">
        <v>2817</v>
      </c>
      <c r="P2" s="3140" t="s">
        <v>2633</v>
      </c>
      <c r="Q2" s="3141"/>
      <c r="R2" s="3139" t="s">
        <v>2812</v>
      </c>
      <c r="S2" s="3140" t="s">
        <v>2813</v>
      </c>
      <c r="T2" s="3140" t="s">
        <v>2814</v>
      </c>
      <c r="U2" s="3140" t="s">
        <v>2818</v>
      </c>
      <c r="V2" s="3140" t="s">
        <v>2819</v>
      </c>
      <c r="W2" s="3140" t="s">
        <v>2633</v>
      </c>
      <c r="X2" s="3141"/>
      <c r="Y2" s="3139" t="s">
        <v>2812</v>
      </c>
      <c r="Z2" s="3140" t="s">
        <v>2813</v>
      </c>
      <c r="AA2" s="3140" t="s">
        <v>2814</v>
      </c>
      <c r="AB2" s="3140" t="s">
        <v>2820</v>
      </c>
      <c r="AC2" s="3140" t="s">
        <v>2819</v>
      </c>
      <c r="AD2" s="3140" t="s">
        <v>2633</v>
      </c>
    </row>
    <row r="3" spans="1:30" s="3154" customFormat="1" ht="12.75">
      <c r="A3" s="3142" t="s">
        <v>2821</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3376</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3377</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3378</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3370</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3371</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3369</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3368</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3364</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3355</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2822</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2823</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2824</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2825</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2826</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3366</v>
      </c>
    </row>
    <row r="21" spans="1:30" s="3002" customFormat="1">
      <c r="I21" s="3201" t="s">
        <v>2827</v>
      </c>
    </row>
    <row r="22" spans="1:30" s="3002" customFormat="1"/>
    <row r="23" spans="1:30" s="3202" customFormat="1" ht="12.75">
      <c r="B23" s="3203" t="s">
        <v>3373</v>
      </c>
      <c r="C23" s="3204"/>
      <c r="D23" s="3204"/>
      <c r="E23" s="3204"/>
      <c r="F23" s="3204"/>
      <c r="G23" s="3204"/>
      <c r="H23" s="3204"/>
      <c r="I23" s="3204"/>
      <c r="J23" s="3158"/>
      <c r="K23" s="3204" t="s">
        <v>2828</v>
      </c>
      <c r="L23" s="3204"/>
      <c r="M23" s="3204"/>
      <c r="N23" s="3204"/>
      <c r="O23" s="3204"/>
      <c r="P23" s="3204"/>
      <c r="Q23" s="3158"/>
      <c r="R23" s="3848" t="s">
        <v>2829</v>
      </c>
      <c r="S23" s="3849"/>
      <c r="T23" s="3849"/>
      <c r="U23" s="3849"/>
      <c r="V23" s="3849"/>
      <c r="W23" s="3849"/>
      <c r="X23" s="3158"/>
      <c r="Y23" s="3848" t="s">
        <v>2830</v>
      </c>
      <c r="Z23" s="3849"/>
      <c r="AA23" s="3849"/>
      <c r="AB23" s="3849"/>
      <c r="AC23" s="3849"/>
      <c r="AD23" s="3849"/>
    </row>
    <row r="24" spans="1:30" s="3136" customFormat="1" ht="14.25" thickBot="1">
      <c r="B24" s="3137"/>
      <c r="C24" s="3138"/>
      <c r="D24" s="3139" t="s">
        <v>2831</v>
      </c>
      <c r="E24" s="3140" t="s">
        <v>2832</v>
      </c>
      <c r="F24" s="3140" t="s">
        <v>2833</v>
      </c>
      <c r="G24" s="3140" t="s">
        <v>2834</v>
      </c>
      <c r="H24" s="3140"/>
      <c r="I24" s="3140" t="s">
        <v>2835</v>
      </c>
      <c r="J24" s="3141"/>
      <c r="K24" s="3139" t="s">
        <v>2831</v>
      </c>
      <c r="L24" s="3140" t="s">
        <v>2832</v>
      </c>
      <c r="M24" s="3140" t="s">
        <v>2833</v>
      </c>
      <c r="N24" s="3140" t="s">
        <v>2834</v>
      </c>
      <c r="O24" s="3140"/>
      <c r="P24" s="3140" t="s">
        <v>2835</v>
      </c>
      <c r="Q24" s="3141"/>
      <c r="R24" s="3139" t="s">
        <v>2831</v>
      </c>
      <c r="S24" s="3140" t="s">
        <v>2832</v>
      </c>
      <c r="T24" s="3140" t="s">
        <v>2833</v>
      </c>
      <c r="U24" s="3140" t="s">
        <v>2834</v>
      </c>
      <c r="V24" s="3140"/>
      <c r="W24" s="3140" t="s">
        <v>2835</v>
      </c>
      <c r="X24" s="3141"/>
      <c r="Y24" s="3139" t="s">
        <v>2831</v>
      </c>
      <c r="Z24" s="3140" t="s">
        <v>2832</v>
      </c>
      <c r="AA24" s="3140" t="s">
        <v>2833</v>
      </c>
      <c r="AB24" s="3140" t="s">
        <v>2834</v>
      </c>
      <c r="AC24" s="3140"/>
      <c r="AD24" s="3140" t="s">
        <v>2835</v>
      </c>
    </row>
    <row r="25" spans="1:30" s="3154" customFormat="1" ht="12.75">
      <c r="A25" s="3142" t="s">
        <v>2836</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3376</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3377</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3378</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3374</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3375</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3369</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3368</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3365</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3355</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2837</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2838</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2839</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2840</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2826</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5" t="s">
        <v>452</v>
      </c>
      <c r="C1" s="3855"/>
      <c r="D1" s="3855"/>
      <c r="E1" s="3855"/>
      <c r="F1" s="3855"/>
      <c r="G1" s="3854" t="s">
        <v>453</v>
      </c>
      <c r="H1" s="3854"/>
      <c r="I1" s="3854"/>
      <c r="J1" s="3854"/>
      <c r="K1" s="3854"/>
      <c r="L1" s="3854"/>
      <c r="N1" s="3854" t="s">
        <v>454</v>
      </c>
      <c r="O1" s="3854"/>
      <c r="P1" s="3854"/>
      <c r="Q1" s="3854"/>
      <c r="S1" s="3854" t="s">
        <v>455</v>
      </c>
      <c r="T1" s="3854"/>
      <c r="U1" s="3854"/>
      <c r="V1" s="3854"/>
      <c r="X1" s="3853" t="s">
        <v>456</v>
      </c>
      <c r="Y1" s="3854"/>
      <c r="Z1" s="3854"/>
      <c r="AA1" s="3854"/>
      <c r="AB1" s="3854"/>
      <c r="AD1" s="3853" t="s">
        <v>457</v>
      </c>
      <c r="AE1" s="3854"/>
      <c r="AF1" s="3854"/>
      <c r="AG1" s="3854"/>
      <c r="AH1" s="3854"/>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1">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1"/>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1"/>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60"/>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56">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1"/>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1"/>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60"/>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56">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1"/>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1"/>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2"/>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50">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1"/>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1"/>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2"/>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50">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1"/>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1"/>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2"/>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57">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8"/>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8"/>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9"/>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50">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1"/>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1"/>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2"/>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50">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1">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1">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2">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50">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1">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1">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2">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50">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1">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1">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2">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50">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1">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1">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2">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50">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1">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1">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2">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50">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1">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1">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2">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50">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1">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1">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2">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50">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1">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1">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2">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50">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1">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1">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2">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50">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1">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1">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2">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45363</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2312</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3408</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96" t="s">
        <v>694</v>
      </c>
      <c r="C6" s="1072" t="e">
        <f ca="1">ROUND(F6*F8*F7*(1-F9)/10000,0)</f>
        <v>#N/A</v>
      </c>
      <c r="D6" s="154" t="s">
        <v>2108</v>
      </c>
      <c r="E6" s="301" t="s">
        <v>696</v>
      </c>
      <c r="F6" s="302" t="e">
        <f ca="1">INDIRECT("'数据-取费表'!u"&amp;$G$1)</f>
        <v>#N/A</v>
      </c>
      <c r="G6" s="1382"/>
      <c r="H6" s="1067" t="s">
        <v>398</v>
      </c>
      <c r="I6" s="3796" t="s">
        <v>694</v>
      </c>
      <c r="J6" s="300" t="e">
        <f ca="1">ROUND(M6*M8*M7*(1-M9)/10000,0)</f>
        <v>#N/A</v>
      </c>
      <c r="K6" s="154" t="s">
        <v>2107</v>
      </c>
      <c r="L6" s="301" t="s">
        <v>696</v>
      </c>
      <c r="M6" s="302" t="e">
        <f ca="1">INDIRECT("'数据-取费表'!z"&amp;$G$1)</f>
        <v>#N/A</v>
      </c>
    </row>
    <row r="7" spans="1:37" ht="18" customHeight="1">
      <c r="A7" s="1071"/>
      <c r="B7" s="3797"/>
      <c r="C7" s="1073"/>
      <c r="D7" s="306"/>
      <c r="E7" s="3459" t="s">
        <v>697</v>
      </c>
      <c r="F7" s="302" t="e">
        <f ca="1">IF(INDIRECT("'数据-取费表'!ah"&amp;$G$1)="",INDIRECT("'数据-取费表'!k"&amp;$G$1),INDIRECT("'数据-取费表'!ah"&amp;$G$1))</f>
        <v>#N/A</v>
      </c>
      <c r="G7" s="1382"/>
      <c r="H7" s="303"/>
      <c r="I7" s="3797"/>
      <c r="J7" s="305"/>
      <c r="K7" s="306"/>
      <c r="L7" s="301" t="s">
        <v>697</v>
      </c>
      <c r="M7" s="302" t="e">
        <f ca="1">F7</f>
        <v>#N/A</v>
      </c>
    </row>
    <row r="8" spans="1:37" ht="18" customHeight="1">
      <c r="A8" s="303"/>
      <c r="B8" s="3797"/>
      <c r="C8" s="305"/>
      <c r="D8" s="306"/>
      <c r="E8" s="301" t="s">
        <v>698</v>
      </c>
      <c r="F8" s="302" t="e">
        <f ca="1">INDIRECT("'数据-取费表'!ai"&amp;$G$1)</f>
        <v>#N/A</v>
      </c>
      <c r="G8" s="1382"/>
      <c r="H8" s="303"/>
      <c r="I8" s="3797"/>
      <c r="J8" s="305"/>
      <c r="K8" s="306"/>
      <c r="L8" s="301" t="s">
        <v>698</v>
      </c>
      <c r="M8" s="302" t="e">
        <f ca="1">INDIRECT("'数据-取费表'!ai"&amp;$G$1)</f>
        <v>#N/A</v>
      </c>
    </row>
    <row r="9" spans="1:37" ht="18" customHeight="1">
      <c r="A9" s="303"/>
      <c r="B9" s="3798"/>
      <c r="C9" s="305"/>
      <c r="D9" s="306"/>
      <c r="E9" s="301" t="s">
        <v>699</v>
      </c>
      <c r="F9" s="311" t="e">
        <f ca="1">INDIRECT("'数据-取费表'!w"&amp;$G$1)</f>
        <v>#N/A</v>
      </c>
      <c r="G9" s="1382"/>
      <c r="H9" s="303"/>
      <c r="I9" s="3798"/>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2115</v>
      </c>
      <c r="E10" s="312" t="s">
        <v>701</v>
      </c>
      <c r="F10" s="1114"/>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e">
        <f ca="1">IF(项目基本情况!B11="企业","",IF('数据-取费表'!B10="住宅",IF(M6*M7*M8/12/(1+'数据-取费表'!F30)&gt;100000,4%,2.5%),IF(M6*M7*M8/12/(1+'数据-取费表'!F30)&gt;100000,12%,7%)))</f>
        <v>#N/A</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1.4999999999999999E-2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e">
        <f ca="1">IF(项目基本情况!B11="企业","——",IF(M47="住宅",IF(F6*F7*F8/12/(1+'数据-取费表'!F30)&gt;100000,4%,2.5%),IF(F6*F7*F8/12/(1+'数据-取费表'!F30)&gt;100000,12%,7%)))</f>
        <v>#N/A</v>
      </c>
      <c r="G31" s="1382"/>
      <c r="H31" s="2802" t="s">
        <v>2309</v>
      </c>
      <c r="I31" s="1396"/>
      <c r="J31" s="1397"/>
      <c r="K31" s="2472"/>
      <c r="L31" s="2692"/>
      <c r="M31" s="2693"/>
    </row>
    <row r="32" spans="1:37" ht="18" customHeight="1">
      <c r="A32" s="980" t="s">
        <v>397</v>
      </c>
      <c r="B32" s="301" t="s">
        <v>723</v>
      </c>
      <c r="C32" s="21" t="str">
        <f>IF(项目基本情况!B11="自然人","——",ROUND(C6*F32/(1+'数据-取费表'!C42),2))</f>
        <v>——</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IF(项目基本情况!B11="自然人","——",IF(D33="按租金收入计税",ROUND(C6*F33/(1+'数据-取费表'!C42),2),IF(D33="按房产原值计税",ROUND(C29*F33*0.7,2),INDIRECT("'数据-取费表'!Aj"&amp;$G$1))))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IF(项目基本情况!B11="自然人","——",ROUND(F34*F35/10000,2))</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3406</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3407</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2107</v>
      </c>
      <c r="E49" s="1370" t="s">
        <v>780</v>
      </c>
      <c r="F49" s="1058"/>
      <c r="G49" s="1423"/>
      <c r="H49" s="721"/>
      <c r="I49" s="1419" t="s">
        <v>823</v>
      </c>
      <c r="J49" s="1424">
        <f>'数据-取费表'!N18</f>
        <v>2004</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30</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94" t="s">
        <v>837</v>
      </c>
      <c r="L53" s="3795"/>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e">
        <f ca="1">IF(项目基本情况!B11="企业","——",IF('数据-取费表'!B10="住宅",IF(F49*F50*F51/12/(1+'数据-取费表'!F30)&gt;100000,4%,2.5%),IF(F49*F50*F51/12/(1+'数据-取费表'!F30)&gt;100000,12%,7%)))</f>
        <v>#N/A</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str">
        <f>IF(项目基本情况!B11="自然人","——",ROUND(C48*F60/(1+'数据-取费表'!C42),2))</f>
        <v>——</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str">
        <f ca="1">IF(项目基本情况!B11="自然人","——",IF(D61="按租金收入计税",ROUND(C49*F61/(1+'数据-取费表'!C42),2),IF(D61="按房产原值计税",ROUND(C57*F61*0.7,2),INDIRECT("'数据-取费表'!Aj"&amp;$G$1))))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str">
        <f>IF(项目基本情况!B11="自然人","——",ROUND(F62*F63/10000,2))</f>
        <v>——</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25" sqref="C25"/>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3493</v>
      </c>
      <c r="E1" s="3419" t="s">
        <v>3423</v>
      </c>
      <c r="F1" s="1877" t="s">
        <v>3519</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7.7</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24" t="s">
        <v>1667</v>
      </c>
      <c r="D4" s="3725"/>
      <c r="E4" s="3726" t="s">
        <v>1668</v>
      </c>
      <c r="F4" s="3727"/>
      <c r="G4" s="3724" t="s">
        <v>1669</v>
      </c>
      <c r="H4" s="3725"/>
      <c r="I4" s="3724" t="s">
        <v>1670</v>
      </c>
      <c r="J4" s="3725"/>
      <c r="K4" s="558" t="s">
        <v>1671</v>
      </c>
      <c r="L4" s="2709"/>
      <c r="M4" s="2710"/>
      <c r="N4" s="2710"/>
      <c r="O4" s="2710"/>
      <c r="P4" s="3728" t="s">
        <v>1672</v>
      </c>
      <c r="Q4" s="3729"/>
      <c r="R4" s="3734" t="s">
        <v>1668</v>
      </c>
      <c r="S4" s="3735"/>
      <c r="T4" s="3734" t="s">
        <v>1669</v>
      </c>
      <c r="U4" s="3735"/>
      <c r="V4" s="3719" t="s">
        <v>1670</v>
      </c>
      <c r="W4" s="3719"/>
      <c r="X4" s="3503"/>
      <c r="Y4" s="3734" t="s">
        <v>1672</v>
      </c>
      <c r="Z4" s="3735"/>
      <c r="AA4" s="3721" t="s">
        <v>1668</v>
      </c>
      <c r="AB4" s="3719" t="s">
        <v>1669</v>
      </c>
      <c r="AC4" s="3721" t="s">
        <v>1670</v>
      </c>
    </row>
    <row r="5" spans="1:29" ht="15">
      <c r="A5" s="357"/>
      <c r="B5" s="358"/>
      <c r="C5" s="3742" t="s">
        <v>3528</v>
      </c>
      <c r="D5" s="3743"/>
      <c r="E5" s="3742" t="s">
        <v>3528</v>
      </c>
      <c r="F5" s="3743"/>
      <c r="G5" s="3742" t="s">
        <v>3529</v>
      </c>
      <c r="H5" s="3743"/>
      <c r="I5" s="3742" t="s">
        <v>3530</v>
      </c>
      <c r="J5" s="3743"/>
      <c r="K5" s="558"/>
      <c r="L5" s="2709"/>
      <c r="M5" s="2710"/>
      <c r="N5" s="2710"/>
      <c r="O5" s="2710"/>
      <c r="P5" s="3730"/>
      <c r="Q5" s="3731"/>
      <c r="R5" s="3736"/>
      <c r="S5" s="3737"/>
      <c r="T5" s="3736"/>
      <c r="U5" s="3737"/>
      <c r="V5" s="3719"/>
      <c r="W5" s="3719"/>
      <c r="X5" s="3503"/>
      <c r="Y5" s="3736"/>
      <c r="Z5" s="3737"/>
      <c r="AA5" s="3722"/>
      <c r="AB5" s="3719"/>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3503"/>
      <c r="Y6" s="3738"/>
      <c r="Z6" s="3739"/>
      <c r="AA6" s="3723"/>
      <c r="AB6" s="3719"/>
      <c r="AC6" s="3723"/>
    </row>
    <row r="7" spans="1:29" s="107" customFormat="1" ht="15.75" thickBot="1">
      <c r="A7" s="361" t="s">
        <v>1679</v>
      </c>
      <c r="B7" s="362"/>
      <c r="C7" s="363">
        <f>'数据-取费表'!B2</f>
        <v>45363</v>
      </c>
      <c r="D7" s="364">
        <v>100</v>
      </c>
      <c r="E7" s="365">
        <f>C7</f>
        <v>45363</v>
      </c>
      <c r="F7" s="366">
        <f>SUMIF(58:58,YEAR(E7)&amp;"-"&amp;MONTH(E7),59:59)</f>
        <v>100</v>
      </c>
      <c r="G7" s="365">
        <f>C7</f>
        <v>45363</v>
      </c>
      <c r="H7" s="364">
        <f>SUMIF(58:58,YEAR(G7)&amp;"-"&amp;MONTH(G7),59:59)</f>
        <v>100</v>
      </c>
      <c r="I7" s="365">
        <f>C7</f>
        <v>45363</v>
      </c>
      <c r="J7" s="364">
        <f>SUMIF(58:58,YEAR(I7)&amp;"-"&amp;MONTH(I7),59:59)</f>
        <v>100</v>
      </c>
      <c r="K7" s="559"/>
      <c r="L7" s="2711"/>
      <c r="M7" s="2712"/>
      <c r="N7" s="2712"/>
      <c r="O7" s="2712"/>
      <c r="P7" s="3744" t="s">
        <v>1680</v>
      </c>
      <c r="Q7" s="3746"/>
      <c r="R7" s="699" t="s">
        <v>14</v>
      </c>
      <c r="S7" s="700">
        <f t="shared" ref="S7:S15" si="0">F7</f>
        <v>100</v>
      </c>
      <c r="T7" s="699" t="s">
        <v>14</v>
      </c>
      <c r="U7" s="700">
        <f t="shared" ref="U7:U15" si="1">H7</f>
        <v>100</v>
      </c>
      <c r="V7" s="699" t="s">
        <v>14</v>
      </c>
      <c r="W7" s="700">
        <f t="shared" ref="W7:W15" si="2">J7</f>
        <v>100</v>
      </c>
      <c r="X7" s="701"/>
      <c r="Y7" s="3744" t="s">
        <v>1680</v>
      </c>
      <c r="Z7" s="3745"/>
      <c r="AA7" s="702">
        <f>D7/F7</f>
        <v>1</v>
      </c>
      <c r="AB7" s="702">
        <f>D7/H7</f>
        <v>1</v>
      </c>
      <c r="AC7" s="702">
        <f>D7/J7</f>
        <v>1</v>
      </c>
    </row>
    <row r="8" spans="1:29" s="107" customFormat="1" ht="15.75" thickBot="1">
      <c r="A8" s="361" t="s">
        <v>1681</v>
      </c>
      <c r="B8" s="362"/>
      <c r="C8" s="367" t="s">
        <v>3427</v>
      </c>
      <c r="D8" s="364">
        <v>100</v>
      </c>
      <c r="E8" s="367" t="s">
        <v>3428</v>
      </c>
      <c r="F8" s="366">
        <f>SUMIF(61:61,E8,62:62)-SUMIF(61:61,C8,62:62)+100</f>
        <v>105</v>
      </c>
      <c r="G8" s="367" t="s">
        <v>3428</v>
      </c>
      <c r="H8" s="364">
        <f>SUMIF(61:61,G8,62:62)-SUMIF(61:61,C8,62:62)+100</f>
        <v>105</v>
      </c>
      <c r="I8" s="367" t="s">
        <v>3427</v>
      </c>
      <c r="J8" s="364">
        <f>SUMIF(61:61,I8,62:62)-SUMIF(61:61,C8,62:62)+100</f>
        <v>100</v>
      </c>
      <c r="K8" s="559"/>
      <c r="L8" s="2711"/>
      <c r="M8" s="2712"/>
      <c r="N8" s="2712"/>
      <c r="O8" s="2712"/>
      <c r="P8" s="3744" t="s">
        <v>1683</v>
      </c>
      <c r="Q8" s="3745"/>
      <c r="R8" s="699" t="s">
        <v>14</v>
      </c>
      <c r="S8" s="700">
        <f t="shared" si="0"/>
        <v>105</v>
      </c>
      <c r="T8" s="699" t="s">
        <v>14</v>
      </c>
      <c r="U8" s="700">
        <f t="shared" si="1"/>
        <v>105</v>
      </c>
      <c r="V8" s="699" t="s">
        <v>14</v>
      </c>
      <c r="W8" s="700">
        <f t="shared" si="2"/>
        <v>100</v>
      </c>
      <c r="X8" s="701"/>
      <c r="Y8" s="3744" t="s">
        <v>1683</v>
      </c>
      <c r="Z8" s="3745"/>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3447</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20" t="s">
        <v>1686</v>
      </c>
      <c r="Q9" s="3498" t="str">
        <f t="shared" ref="Q9:Q15" si="6">B9</f>
        <v>用途</v>
      </c>
      <c r="R9" s="699" t="s">
        <v>14</v>
      </c>
      <c r="S9" s="700">
        <f t="shared" si="0"/>
        <v>100</v>
      </c>
      <c r="T9" s="699" t="s">
        <v>14</v>
      </c>
      <c r="U9" s="700">
        <f t="shared" si="1"/>
        <v>100</v>
      </c>
      <c r="V9" s="699" t="s">
        <v>14</v>
      </c>
      <c r="W9" s="700">
        <f t="shared" si="2"/>
        <v>100</v>
      </c>
      <c r="X9" s="701"/>
      <c r="Y9" s="3605" t="s">
        <v>1687</v>
      </c>
      <c r="Z9" s="3497" t="str">
        <f t="shared" ref="Z9:Z15" si="7">Q9</f>
        <v>用途</v>
      </c>
      <c r="AA9" s="702">
        <f t="shared" si="3"/>
        <v>1</v>
      </c>
      <c r="AB9" s="702">
        <f t="shared" si="4"/>
        <v>1</v>
      </c>
      <c r="AC9" s="702">
        <f t="shared" si="5"/>
        <v>1</v>
      </c>
    </row>
    <row r="10" spans="1:29" s="377" customFormat="1" ht="27.75" thickBot="1">
      <c r="A10" s="373"/>
      <c r="B10" s="374" t="s">
        <v>1688</v>
      </c>
      <c r="C10" s="3427" t="s">
        <v>3520</v>
      </c>
      <c r="D10" s="126">
        <v>100</v>
      </c>
      <c r="E10" s="3427" t="s">
        <v>3520</v>
      </c>
      <c r="F10" s="375">
        <f>SUMIF(65:65,E10,66:66)-SUMIF(65:65,C10,66:66)+100</f>
        <v>100</v>
      </c>
      <c r="G10" s="3427" t="s">
        <v>3520</v>
      </c>
      <c r="H10" s="126">
        <f>SUMIF(65:65,G10,66:66)-SUMIF(65:65,C10,66:66)+100</f>
        <v>100</v>
      </c>
      <c r="I10" s="3427" t="s">
        <v>3520</v>
      </c>
      <c r="J10" s="126">
        <f>SUMIF(65:65,I10,66:66)-SUMIF(65:65,C10,66:66)+100</f>
        <v>100</v>
      </c>
      <c r="K10" s="559"/>
      <c r="L10" s="2713"/>
      <c r="M10" s="2714"/>
      <c r="N10" s="2714"/>
      <c r="O10" s="2714"/>
      <c r="P10" s="3720"/>
      <c r="Q10" s="3498" t="str">
        <f t="shared" si="6"/>
        <v>土地使用年限（年）</v>
      </c>
      <c r="R10" s="699" t="s">
        <v>14</v>
      </c>
      <c r="S10" s="700">
        <f t="shared" si="0"/>
        <v>100</v>
      </c>
      <c r="T10" s="699" t="s">
        <v>14</v>
      </c>
      <c r="U10" s="700">
        <f t="shared" si="1"/>
        <v>100</v>
      </c>
      <c r="V10" s="699" t="s">
        <v>14</v>
      </c>
      <c r="W10" s="700">
        <f t="shared" si="2"/>
        <v>100</v>
      </c>
      <c r="X10" s="701"/>
      <c r="Y10" s="3605"/>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20"/>
      <c r="Q11" s="3498" t="str">
        <f t="shared" si="6"/>
        <v>容积率</v>
      </c>
      <c r="R11" s="699" t="s">
        <v>14</v>
      </c>
      <c r="S11" s="700">
        <f t="shared" si="0"/>
        <v>100</v>
      </c>
      <c r="T11" s="699" t="s">
        <v>14</v>
      </c>
      <c r="U11" s="700">
        <f t="shared" si="1"/>
        <v>100</v>
      </c>
      <c r="V11" s="699" t="s">
        <v>14</v>
      </c>
      <c r="W11" s="700">
        <f t="shared" si="2"/>
        <v>100</v>
      </c>
      <c r="X11" s="701"/>
      <c r="Y11" s="3605"/>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20"/>
      <c r="Q12" s="3498">
        <f t="shared" si="6"/>
        <v>111</v>
      </c>
      <c r="R12" s="699" t="s">
        <v>14</v>
      </c>
      <c r="S12" s="700">
        <f t="shared" si="0"/>
        <v>100</v>
      </c>
      <c r="T12" s="699" t="s">
        <v>14</v>
      </c>
      <c r="U12" s="700">
        <f t="shared" si="1"/>
        <v>100</v>
      </c>
      <c r="V12" s="699" t="s">
        <v>14</v>
      </c>
      <c r="W12" s="700">
        <f t="shared" si="2"/>
        <v>100</v>
      </c>
      <c r="X12" s="701"/>
      <c r="Y12" s="3605"/>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20"/>
      <c r="Q13" s="3498">
        <f t="shared" si="6"/>
        <v>111</v>
      </c>
      <c r="R13" s="699" t="s">
        <v>14</v>
      </c>
      <c r="S13" s="700">
        <f t="shared" si="0"/>
        <v>100</v>
      </c>
      <c r="T13" s="699" t="s">
        <v>14</v>
      </c>
      <c r="U13" s="700">
        <f t="shared" si="1"/>
        <v>100</v>
      </c>
      <c r="V13" s="699" t="s">
        <v>14</v>
      </c>
      <c r="W13" s="700">
        <f t="shared" si="2"/>
        <v>100</v>
      </c>
      <c r="X13" s="701"/>
      <c r="Y13" s="3605"/>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20"/>
      <c r="Q14" s="3498">
        <f t="shared" si="6"/>
        <v>111</v>
      </c>
      <c r="R14" s="699" t="s">
        <v>14</v>
      </c>
      <c r="S14" s="700">
        <f t="shared" si="0"/>
        <v>100</v>
      </c>
      <c r="T14" s="699" t="s">
        <v>14</v>
      </c>
      <c r="U14" s="700">
        <f t="shared" si="1"/>
        <v>100</v>
      </c>
      <c r="V14" s="699" t="s">
        <v>14</v>
      </c>
      <c r="W14" s="700">
        <f t="shared" si="2"/>
        <v>100</v>
      </c>
      <c r="X14" s="701"/>
      <c r="Y14" s="3605"/>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10" t="s">
        <v>1691</v>
      </c>
      <c r="Q15" s="3499" t="str">
        <f t="shared" si="6"/>
        <v>商业繁华度</v>
      </c>
      <c r="R15" s="703" t="s">
        <v>14</v>
      </c>
      <c r="S15" s="704">
        <f t="shared" si="0"/>
        <v>100</v>
      </c>
      <c r="T15" s="703" t="s">
        <v>14</v>
      </c>
      <c r="U15" s="704">
        <f t="shared" si="1"/>
        <v>103</v>
      </c>
      <c r="V15" s="703" t="s">
        <v>14</v>
      </c>
      <c r="W15" s="704">
        <f t="shared" si="2"/>
        <v>103</v>
      </c>
      <c r="X15" s="3503"/>
      <c r="Y15" s="3712" t="s">
        <v>1691</v>
      </c>
      <c r="Z15" s="3502" t="str">
        <f t="shared" si="7"/>
        <v>商业繁华度</v>
      </c>
      <c r="AA15" s="3500">
        <f t="shared" si="3"/>
        <v>1</v>
      </c>
      <c r="AB15" s="3500">
        <f t="shared" si="4"/>
        <v>0.970873786407767</v>
      </c>
      <c r="AC15" s="3500">
        <f t="shared" si="5"/>
        <v>0.970873786407767</v>
      </c>
    </row>
    <row r="16" spans="1:29" ht="15">
      <c r="A16" s="378"/>
      <c r="B16" s="396"/>
      <c r="C16" s="397" t="s">
        <v>3410</v>
      </c>
      <c r="D16" s="398"/>
      <c r="E16" s="397" t="s">
        <v>3410</v>
      </c>
      <c r="F16" s="399"/>
      <c r="G16" s="397" t="s">
        <v>3411</v>
      </c>
      <c r="H16" s="400"/>
      <c r="I16" s="397" t="s">
        <v>3411</v>
      </c>
      <c r="J16" s="398"/>
      <c r="K16" s="563"/>
      <c r="L16" s="2716"/>
      <c r="M16" s="2710"/>
      <c r="N16" s="2710"/>
      <c r="O16" s="2710"/>
      <c r="P16" s="3711"/>
      <c r="Q16" s="3499"/>
      <c r="R16" s="703"/>
      <c r="S16" s="704"/>
      <c r="T16" s="703"/>
      <c r="U16" s="704"/>
      <c r="V16" s="703"/>
      <c r="W16" s="704"/>
      <c r="X16" s="3503"/>
      <c r="Y16" s="3713"/>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11"/>
      <c r="Q17" s="3499" t="str">
        <f>B17</f>
        <v>交通便捷度</v>
      </c>
      <c r="R17" s="703" t="s">
        <v>14</v>
      </c>
      <c r="S17" s="704">
        <f>F17</f>
        <v>100</v>
      </c>
      <c r="T17" s="703" t="s">
        <v>14</v>
      </c>
      <c r="U17" s="704">
        <f>H17</f>
        <v>100</v>
      </c>
      <c r="V17" s="703" t="s">
        <v>14</v>
      </c>
      <c r="W17" s="704">
        <f>J17</f>
        <v>100</v>
      </c>
      <c r="X17" s="3503"/>
      <c r="Y17" s="3713"/>
      <c r="Z17" s="3502" t="str">
        <f>Q17</f>
        <v>交通便捷度</v>
      </c>
      <c r="AA17" s="3500">
        <f t="shared" si="3"/>
        <v>1</v>
      </c>
      <c r="AB17" s="3500">
        <f t="shared" si="4"/>
        <v>1</v>
      </c>
      <c r="AC17" s="3500">
        <f t="shared" si="5"/>
        <v>1</v>
      </c>
    </row>
    <row r="18" spans="1:29" ht="15">
      <c r="A18" s="378"/>
      <c r="B18" s="406"/>
      <c r="C18" s="397" t="s">
        <v>3411</v>
      </c>
      <c r="D18" s="400"/>
      <c r="E18" s="1901" t="s">
        <v>3411</v>
      </c>
      <c r="F18" s="403"/>
      <c r="G18" s="1900" t="s">
        <v>3411</v>
      </c>
      <c r="H18" s="398"/>
      <c r="I18" s="1901" t="s">
        <v>3411</v>
      </c>
      <c r="J18" s="398"/>
      <c r="K18" s="563"/>
      <c r="L18" s="2716"/>
      <c r="M18" s="2710"/>
      <c r="N18" s="2710"/>
      <c r="O18" s="2710"/>
      <c r="P18" s="3711"/>
      <c r="Q18" s="3499"/>
      <c r="R18" s="703"/>
      <c r="S18" s="704"/>
      <c r="T18" s="703"/>
      <c r="U18" s="704"/>
      <c r="V18" s="703"/>
      <c r="W18" s="704"/>
      <c r="X18" s="3503"/>
      <c r="Y18" s="3713"/>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11"/>
      <c r="Q19" s="3499" t="str">
        <f>B19</f>
        <v>公共配套设施</v>
      </c>
      <c r="R19" s="703" t="s">
        <v>14</v>
      </c>
      <c r="S19" s="704">
        <f>F19</f>
        <v>100</v>
      </c>
      <c r="T19" s="703" t="s">
        <v>14</v>
      </c>
      <c r="U19" s="704">
        <f>H19</f>
        <v>100</v>
      </c>
      <c r="V19" s="703" t="s">
        <v>14</v>
      </c>
      <c r="W19" s="704">
        <f>J19</f>
        <v>100</v>
      </c>
      <c r="X19" s="3503"/>
      <c r="Y19" s="3713"/>
      <c r="Z19" s="3502" t="str">
        <f>Q19</f>
        <v>公共配套设施</v>
      </c>
      <c r="AA19" s="3500">
        <f t="shared" si="3"/>
        <v>1</v>
      </c>
      <c r="AB19" s="3500">
        <f t="shared" si="4"/>
        <v>1</v>
      </c>
      <c r="AC19" s="3500">
        <f t="shared" si="5"/>
        <v>1</v>
      </c>
    </row>
    <row r="20" spans="1:29" ht="15">
      <c r="A20" s="378"/>
      <c r="B20" s="406"/>
      <c r="C20" s="397" t="s">
        <v>3410</v>
      </c>
      <c r="D20" s="398"/>
      <c r="E20" s="1896" t="s">
        <v>3410</v>
      </c>
      <c r="F20" s="399"/>
      <c r="G20" s="1895" t="s">
        <v>3410</v>
      </c>
      <c r="H20" s="398"/>
      <c r="I20" s="1896" t="s">
        <v>3410</v>
      </c>
      <c r="J20" s="398"/>
      <c r="K20" s="563"/>
      <c r="L20" s="2716"/>
      <c r="M20" s="2710"/>
      <c r="N20" s="2710"/>
      <c r="O20" s="2710"/>
      <c r="P20" s="3711"/>
      <c r="Q20" s="3499"/>
      <c r="R20" s="703"/>
      <c r="S20" s="704"/>
      <c r="T20" s="703"/>
      <c r="U20" s="704"/>
      <c r="V20" s="703"/>
      <c r="W20" s="704"/>
      <c r="X20" s="3503"/>
      <c r="Y20" s="3713"/>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11"/>
      <c r="Q21" s="3499" t="str">
        <f>B21</f>
        <v>基础设施水平</v>
      </c>
      <c r="R21" s="703" t="s">
        <v>14</v>
      </c>
      <c r="S21" s="704">
        <f>F21</f>
        <v>100</v>
      </c>
      <c r="T21" s="703" t="s">
        <v>14</v>
      </c>
      <c r="U21" s="704">
        <f>H21</f>
        <v>100</v>
      </c>
      <c r="V21" s="703" t="s">
        <v>14</v>
      </c>
      <c r="W21" s="704">
        <f>J21</f>
        <v>100</v>
      </c>
      <c r="X21" s="3503"/>
      <c r="Y21" s="3713"/>
      <c r="Z21" s="3502" t="str">
        <f>Q21</f>
        <v>基础设施水平</v>
      </c>
      <c r="AA21" s="3500">
        <f t="shared" ref="AA21" si="8">D21/F21</f>
        <v>1</v>
      </c>
      <c r="AB21" s="3500">
        <f t="shared" ref="AB21" si="9">D21/H21</f>
        <v>1</v>
      </c>
      <c r="AC21" s="3500">
        <f t="shared" ref="AC21" si="10">D21/J21</f>
        <v>1</v>
      </c>
    </row>
    <row r="22" spans="1:29" ht="15">
      <c r="A22" s="378"/>
      <c r="B22" s="1129"/>
      <c r="C22" s="1899" t="s">
        <v>3463</v>
      </c>
      <c r="D22" s="398"/>
      <c r="E22" s="1899" t="s">
        <v>3463</v>
      </c>
      <c r="F22" s="399"/>
      <c r="G22" s="1899" t="s">
        <v>3463</v>
      </c>
      <c r="H22" s="398"/>
      <c r="I22" s="1899" t="s">
        <v>3463</v>
      </c>
      <c r="J22" s="398"/>
      <c r="K22" s="1128"/>
      <c r="L22" s="2716"/>
      <c r="M22" s="2710"/>
      <c r="N22" s="2710"/>
      <c r="O22" s="2710"/>
      <c r="P22" s="3711"/>
      <c r="Q22" s="3499"/>
      <c r="R22" s="703"/>
      <c r="S22" s="704"/>
      <c r="T22" s="703"/>
      <c r="U22" s="704"/>
      <c r="V22" s="703"/>
      <c r="W22" s="704"/>
      <c r="X22" s="3503"/>
      <c r="Y22" s="3713"/>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11"/>
      <c r="Q23" s="3499" t="str">
        <f>B23</f>
        <v>自然及人文环境</v>
      </c>
      <c r="R23" s="703" t="s">
        <v>14</v>
      </c>
      <c r="S23" s="704">
        <f>F23</f>
        <v>100</v>
      </c>
      <c r="T23" s="703" t="s">
        <v>14</v>
      </c>
      <c r="U23" s="704">
        <f>H23</f>
        <v>100</v>
      </c>
      <c r="V23" s="703" t="s">
        <v>14</v>
      </c>
      <c r="W23" s="704">
        <f>J23</f>
        <v>100</v>
      </c>
      <c r="X23" s="3503"/>
      <c r="Y23" s="3713"/>
      <c r="Z23" s="3502" t="str">
        <f>Q23</f>
        <v>自然及人文环境</v>
      </c>
      <c r="AA23" s="3500">
        <f t="shared" si="3"/>
        <v>1</v>
      </c>
      <c r="AB23" s="3500">
        <f t="shared" si="4"/>
        <v>1</v>
      </c>
      <c r="AC23" s="3500">
        <f t="shared" si="5"/>
        <v>1</v>
      </c>
    </row>
    <row r="24" spans="1:29" ht="15">
      <c r="A24" s="378"/>
      <c r="B24" s="406"/>
      <c r="C24" s="397" t="s">
        <v>3411</v>
      </c>
      <c r="D24" s="398"/>
      <c r="E24" s="397" t="s">
        <v>3411</v>
      </c>
      <c r="F24" s="399"/>
      <c r="G24" s="397" t="s">
        <v>3411</v>
      </c>
      <c r="H24" s="398"/>
      <c r="I24" s="397" t="s">
        <v>3411</v>
      </c>
      <c r="J24" s="398"/>
      <c r="K24" s="563"/>
      <c r="L24" s="2716"/>
      <c r="M24" s="2710"/>
      <c r="N24" s="2710"/>
      <c r="O24" s="2710"/>
      <c r="P24" s="3711"/>
      <c r="Q24" s="3499"/>
      <c r="R24" s="703"/>
      <c r="S24" s="704"/>
      <c r="T24" s="703"/>
      <c r="U24" s="704"/>
      <c r="V24" s="703"/>
      <c r="W24" s="704"/>
      <c r="X24" s="3503"/>
      <c r="Y24" s="3713"/>
      <c r="Z24" s="3502"/>
      <c r="AA24" s="3500">
        <v>1</v>
      </c>
      <c r="AB24" s="3500">
        <v>1</v>
      </c>
      <c r="AC24" s="3500">
        <v>1</v>
      </c>
    </row>
    <row r="25" spans="1:29" ht="15">
      <c r="A25" s="378"/>
      <c r="B25" s="374" t="s">
        <v>1780</v>
      </c>
      <c r="C25" s="564" t="s">
        <v>3521</v>
      </c>
      <c r="D25" s="385">
        <v>100</v>
      </c>
      <c r="E25" s="564" t="s">
        <v>3521</v>
      </c>
      <c r="F25" s="411">
        <f>SUMIF(86:86,E25,87:87)-SUMIF(86:86,C25,87:87)+100</f>
        <v>100</v>
      </c>
      <c r="G25" s="564" t="s">
        <v>3521</v>
      </c>
      <c r="H25" s="385">
        <f>SUMIF(86:86,G25,87:87)-SUMIF(86:86,C25,87:87)+100</f>
        <v>100</v>
      </c>
      <c r="I25" s="564" t="s">
        <v>3521</v>
      </c>
      <c r="J25" s="385">
        <f>SUMIF(86:86,I25,87:87)-SUMIF(86:86,C25,87:87)+100</f>
        <v>100</v>
      </c>
      <c r="K25" s="560">
        <v>0</v>
      </c>
      <c r="L25" s="2716"/>
      <c r="M25" s="2710"/>
      <c r="N25" s="2710"/>
      <c r="O25" s="2710"/>
      <c r="P25" s="3711"/>
      <c r="Q25" s="3499" t="str">
        <f t="shared" ref="Q25:Q46" si="11">B25</f>
        <v>临街状况</v>
      </c>
      <c r="R25" s="703" t="s">
        <v>14</v>
      </c>
      <c r="S25" s="704">
        <f>F25</f>
        <v>100</v>
      </c>
      <c r="T25" s="703" t="s">
        <v>14</v>
      </c>
      <c r="U25" s="704">
        <f>H25</f>
        <v>100</v>
      </c>
      <c r="V25" s="703" t="s">
        <v>14</v>
      </c>
      <c r="W25" s="704">
        <f>J25</f>
        <v>100</v>
      </c>
      <c r="X25" s="3503"/>
      <c r="Y25" s="3713"/>
      <c r="Z25" s="3502" t="str">
        <f>Q25</f>
        <v>临街状况</v>
      </c>
      <c r="AA25" s="3500">
        <f t="shared" si="3"/>
        <v>1</v>
      </c>
      <c r="AB25" s="3500">
        <f t="shared" si="4"/>
        <v>1</v>
      </c>
      <c r="AC25" s="3500">
        <f t="shared" si="5"/>
        <v>1</v>
      </c>
    </row>
    <row r="26" spans="1:29" ht="15">
      <c r="A26" s="378"/>
      <c r="B26" s="1131" t="s">
        <v>1781</v>
      </c>
      <c r="C26" s="3480" t="s">
        <v>3518</v>
      </c>
      <c r="D26" s="385">
        <v>100</v>
      </c>
      <c r="E26" s="3480" t="s">
        <v>3518</v>
      </c>
      <c r="F26" s="411">
        <f>SUMIF(88:88,E26,89:89)-SUMIF(88:88,C26,89:89)+100</f>
        <v>100</v>
      </c>
      <c r="G26" s="3480" t="s">
        <v>3518</v>
      </c>
      <c r="H26" s="385">
        <f>SUMIF(88:88,G26,89:89)-SUMIF(88:88,C26,89:89)+100</f>
        <v>100</v>
      </c>
      <c r="I26" s="3480" t="s">
        <v>3518</v>
      </c>
      <c r="J26" s="385">
        <f>SUMIF(88:88,I26,89:89)-SUMIF(88:88,C26,89:89)+100</f>
        <v>100</v>
      </c>
      <c r="K26" s="561"/>
      <c r="L26" s="2716"/>
      <c r="M26" s="2710"/>
      <c r="N26" s="2710"/>
      <c r="O26" s="2710"/>
      <c r="P26" s="3711"/>
      <c r="Q26" s="3499" t="str">
        <f t="shared" si="11"/>
        <v>平面位置/可视性</v>
      </c>
      <c r="R26" s="703" t="s">
        <v>14</v>
      </c>
      <c r="S26" s="704">
        <f>F26</f>
        <v>100</v>
      </c>
      <c r="T26" s="703" t="s">
        <v>14</v>
      </c>
      <c r="U26" s="704">
        <f>H26</f>
        <v>100</v>
      </c>
      <c r="V26" s="703" t="s">
        <v>14</v>
      </c>
      <c r="W26" s="704">
        <f>J26</f>
        <v>100</v>
      </c>
      <c r="X26" s="3503"/>
      <c r="Y26" s="3713"/>
      <c r="Z26" s="3502" t="str">
        <f>Q26</f>
        <v>平面位置/可视性</v>
      </c>
      <c r="AA26" s="3500">
        <f t="shared" si="3"/>
        <v>1</v>
      </c>
      <c r="AB26" s="3500">
        <f t="shared" si="4"/>
        <v>1</v>
      </c>
      <c r="AC26" s="3500">
        <f t="shared" si="5"/>
        <v>1</v>
      </c>
    </row>
    <row r="27" spans="1:29" s="107" customFormat="1" ht="15">
      <c r="A27" s="381"/>
      <c r="B27" s="401" t="s">
        <v>1782</v>
      </c>
      <c r="C27" s="1954" t="s">
        <v>3410</v>
      </c>
      <c r="D27" s="412">
        <v>100</v>
      </c>
      <c r="E27" s="1954" t="s">
        <v>3410</v>
      </c>
      <c r="F27" s="414">
        <f>SUMIF(90:90,E27,91:91)-SUMIF(90:90,C27,91:91)+100</f>
        <v>100</v>
      </c>
      <c r="G27" s="1954" t="s">
        <v>3524</v>
      </c>
      <c r="H27" s="412">
        <f>SUMIF(90:90,G27,91:91)-SUMIF(90:90,C27,91:91)+100</f>
        <v>103</v>
      </c>
      <c r="I27" s="1954" t="s">
        <v>3524</v>
      </c>
      <c r="J27" s="412">
        <f>SUMIF(90:90,I27,91:91)-SUMIF(90:90,C27,91:91)+100</f>
        <v>103</v>
      </c>
      <c r="K27" s="560">
        <v>3</v>
      </c>
      <c r="L27" s="2711"/>
      <c r="M27" s="2712"/>
      <c r="N27" s="2712"/>
      <c r="O27" s="2712"/>
      <c r="P27" s="3711"/>
      <c r="Q27" s="3498" t="str">
        <f t="shared" si="11"/>
        <v>人流量</v>
      </c>
      <c r="R27" s="699" t="s">
        <v>14</v>
      </c>
      <c r="S27" s="700">
        <f>F27</f>
        <v>100</v>
      </c>
      <c r="T27" s="699" t="s">
        <v>14</v>
      </c>
      <c r="U27" s="700">
        <f>H27</f>
        <v>103</v>
      </c>
      <c r="V27" s="699" t="s">
        <v>14</v>
      </c>
      <c r="W27" s="700">
        <f>J27</f>
        <v>103</v>
      </c>
      <c r="X27" s="701"/>
      <c r="Y27" s="3713"/>
      <c r="Z27" s="3497" t="str">
        <f>Q27</f>
        <v>人流量</v>
      </c>
      <c r="AA27" s="3500">
        <f>D27/F27</f>
        <v>1</v>
      </c>
      <c r="AB27" s="3500">
        <f>D27/H27</f>
        <v>0.970873786407767</v>
      </c>
      <c r="AC27" s="3500">
        <f>D27/J27</f>
        <v>0.970873786407767</v>
      </c>
    </row>
    <row r="28" spans="1:29" ht="15.75" thickBot="1">
      <c r="A28" s="378"/>
      <c r="B28" s="374" t="s">
        <v>1783</v>
      </c>
      <c r="C28" s="564" t="s">
        <v>3494</v>
      </c>
      <c r="D28" s="385">
        <v>100</v>
      </c>
      <c r="E28" s="564" t="s">
        <v>3494</v>
      </c>
      <c r="F28" s="411">
        <f>SUMIF(92:92,E28,93:93)-SUMIF(92:92,C28,93:93)+100</f>
        <v>100</v>
      </c>
      <c r="G28" s="564" t="s">
        <v>3494</v>
      </c>
      <c r="H28" s="385">
        <f>SUMIF(92:92,G28,93:93)-SUMIF(92:92,C28,93:93)+100</f>
        <v>100</v>
      </c>
      <c r="I28" s="564" t="s">
        <v>3494</v>
      </c>
      <c r="J28" s="385">
        <f>SUMIF(92:92,I28,93:93)-SUMIF(92:92,C28,93:93)+100</f>
        <v>100</v>
      </c>
      <c r="K28" s="561"/>
      <c r="L28" s="2716"/>
      <c r="M28" s="2710"/>
      <c r="N28" s="2710"/>
      <c r="O28" s="2710"/>
      <c r="P28" s="3711"/>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13"/>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11"/>
      <c r="Q29" s="3499">
        <f t="shared" si="11"/>
        <v>0</v>
      </c>
      <c r="R29" s="703" t="s">
        <v>14</v>
      </c>
      <c r="S29" s="704">
        <f t="shared" si="12"/>
        <v>100</v>
      </c>
      <c r="T29" s="703" t="s">
        <v>14</v>
      </c>
      <c r="U29" s="704">
        <f t="shared" si="13"/>
        <v>100</v>
      </c>
      <c r="V29" s="703" t="s">
        <v>14</v>
      </c>
      <c r="W29" s="704">
        <f t="shared" si="14"/>
        <v>100</v>
      </c>
      <c r="X29" s="3503"/>
      <c r="Y29" s="3713"/>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11"/>
      <c r="Q30" s="3499">
        <f t="shared" si="11"/>
        <v>111</v>
      </c>
      <c r="R30" s="703" t="s">
        <v>14</v>
      </c>
      <c r="S30" s="704">
        <f t="shared" si="12"/>
        <v>100</v>
      </c>
      <c r="T30" s="703" t="s">
        <v>14</v>
      </c>
      <c r="U30" s="704">
        <f t="shared" si="13"/>
        <v>100</v>
      </c>
      <c r="V30" s="703" t="s">
        <v>14</v>
      </c>
      <c r="W30" s="704">
        <f t="shared" si="14"/>
        <v>100</v>
      </c>
      <c r="X30" s="3503"/>
      <c r="Y30" s="3713"/>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11"/>
      <c r="Q31" s="3499">
        <f t="shared" si="11"/>
        <v>111</v>
      </c>
      <c r="R31" s="703" t="s">
        <v>14</v>
      </c>
      <c r="S31" s="704">
        <f t="shared" si="12"/>
        <v>100</v>
      </c>
      <c r="T31" s="703" t="s">
        <v>14</v>
      </c>
      <c r="U31" s="704">
        <f t="shared" si="13"/>
        <v>100</v>
      </c>
      <c r="V31" s="703" t="s">
        <v>14</v>
      </c>
      <c r="W31" s="704">
        <f t="shared" si="14"/>
        <v>100</v>
      </c>
      <c r="X31" s="3503"/>
      <c r="Y31" s="3713"/>
      <c r="Z31" s="3502">
        <f t="shared" si="15"/>
        <v>111</v>
      </c>
      <c r="AA31" s="3500">
        <f t="shared" si="3"/>
        <v>1</v>
      </c>
      <c r="AB31" s="3500">
        <f t="shared" si="4"/>
        <v>1</v>
      </c>
      <c r="AC31" s="3500">
        <f t="shared" si="5"/>
        <v>1</v>
      </c>
    </row>
    <row r="32" spans="1:29" ht="15">
      <c r="A32" s="390" t="s">
        <v>1694</v>
      </c>
      <c r="B32" s="63" t="s">
        <v>1784</v>
      </c>
      <c r="C32" s="1908" t="s">
        <v>3501</v>
      </c>
      <c r="D32" s="417">
        <v>100</v>
      </c>
      <c r="E32" s="1908" t="s">
        <v>3501</v>
      </c>
      <c r="F32" s="411">
        <f>SUMIF(100:100,E32,101:101)-SUMIF(100:100,C32,101:101)+100</f>
        <v>100</v>
      </c>
      <c r="G32" s="1908" t="s">
        <v>3501</v>
      </c>
      <c r="H32" s="385">
        <f>SUMIF(100:100,G32,101:101)-SUMIF(100:100,C32,101:101)+100</f>
        <v>100</v>
      </c>
      <c r="I32" s="1908" t="s">
        <v>3501</v>
      </c>
      <c r="J32" s="417">
        <f>SUMIF(100:100,I32,101:101)-SUMIF(100:100,C32,101:101)+100</f>
        <v>100</v>
      </c>
      <c r="K32" s="560">
        <v>5</v>
      </c>
      <c r="L32" s="2716"/>
      <c r="M32" s="2710"/>
      <c r="N32" s="2710"/>
      <c r="O32" s="2710"/>
      <c r="P32" s="3714" t="s">
        <v>1696</v>
      </c>
      <c r="Q32" s="3499" t="str">
        <f t="shared" si="11"/>
        <v>商业类型</v>
      </c>
      <c r="R32" s="703" t="s">
        <v>14</v>
      </c>
      <c r="S32" s="704">
        <f t="shared" si="12"/>
        <v>100</v>
      </c>
      <c r="T32" s="703" t="s">
        <v>14</v>
      </c>
      <c r="U32" s="704">
        <f t="shared" si="13"/>
        <v>100</v>
      </c>
      <c r="V32" s="703" t="s">
        <v>14</v>
      </c>
      <c r="W32" s="704">
        <f t="shared" si="14"/>
        <v>100</v>
      </c>
      <c r="X32" s="3503"/>
      <c r="Y32" s="3717" t="s">
        <v>1696</v>
      </c>
      <c r="Z32" s="3502" t="str">
        <f t="shared" si="15"/>
        <v>商业类型</v>
      </c>
      <c r="AA32" s="3500">
        <f t="shared" si="3"/>
        <v>1</v>
      </c>
      <c r="AB32" s="3500">
        <f t="shared" si="4"/>
        <v>1</v>
      </c>
      <c r="AC32" s="3500">
        <f t="shared" si="5"/>
        <v>1</v>
      </c>
    </row>
    <row r="33" spans="1:29" s="421" customFormat="1" ht="15">
      <c r="A33" s="418"/>
      <c r="B33" s="374" t="s">
        <v>1697</v>
      </c>
      <c r="C33" s="419">
        <f>'数据-汇总表'!E3</f>
        <v>61.42</v>
      </c>
      <c r="D33" s="126">
        <v>100</v>
      </c>
      <c r="E33" s="380">
        <v>53.88</v>
      </c>
      <c r="F33" s="375">
        <f>LOOKUP(E33,103:103,104:104)-LOOKUP(C33,103:103,104:104)+100</f>
        <v>100</v>
      </c>
      <c r="G33" s="379">
        <v>244.69</v>
      </c>
      <c r="H33" s="126">
        <f>LOOKUP(G33,103:103,104:104)-LOOKUP(C33,103:103,104:104)+100</f>
        <v>98</v>
      </c>
      <c r="I33" s="379">
        <v>857</v>
      </c>
      <c r="J33" s="126">
        <f>LOOKUP(I33,103:103,104:104)-LOOKUP(C33,103:103,104:104)+100</f>
        <v>92</v>
      </c>
      <c r="K33" s="561"/>
      <c r="L33" s="2715"/>
      <c r="M33" s="2717"/>
      <c r="N33" s="2717"/>
      <c r="O33" s="2717"/>
      <c r="P33" s="3715"/>
      <c r="Q33" s="705" t="str">
        <f t="shared" si="11"/>
        <v>项目建筑规模</v>
      </c>
      <c r="R33" s="706" t="s">
        <v>14</v>
      </c>
      <c r="S33" s="707">
        <f t="shared" si="12"/>
        <v>100</v>
      </c>
      <c r="T33" s="706" t="s">
        <v>14</v>
      </c>
      <c r="U33" s="707">
        <f t="shared" si="13"/>
        <v>98</v>
      </c>
      <c r="V33" s="706" t="s">
        <v>14</v>
      </c>
      <c r="W33" s="707">
        <f t="shared" si="14"/>
        <v>92</v>
      </c>
      <c r="X33" s="708"/>
      <c r="Y33" s="3717"/>
      <c r="Z33" s="709" t="str">
        <f t="shared" si="15"/>
        <v>项目建筑规模</v>
      </c>
      <c r="AA33" s="3500">
        <f t="shared" si="3"/>
        <v>1</v>
      </c>
      <c r="AB33" s="3500">
        <f t="shared" si="4"/>
        <v>1.0204081632653061</v>
      </c>
      <c r="AC33" s="3500">
        <f t="shared" si="5"/>
        <v>1.0869565217391304</v>
      </c>
    </row>
    <row r="34" spans="1:29" ht="15">
      <c r="A34" s="422"/>
      <c r="B34" s="374" t="s">
        <v>1698</v>
      </c>
      <c r="C34" s="1910" t="s">
        <v>3435</v>
      </c>
      <c r="D34" s="385">
        <v>100</v>
      </c>
      <c r="E34" s="1910" t="s">
        <v>3435</v>
      </c>
      <c r="F34" s="411">
        <f>SUMIF(105:105,E34,106:106)-SUMIF(105:105,C34,106:106)+100</f>
        <v>100</v>
      </c>
      <c r="G34" s="1910" t="s">
        <v>3435</v>
      </c>
      <c r="H34" s="385">
        <f>SUMIF(105:105,G34,106:106)-SUMIF(105:105,C34,106:106)+100</f>
        <v>100</v>
      </c>
      <c r="I34" s="1910" t="s">
        <v>3435</v>
      </c>
      <c r="J34" s="385">
        <f>SUMIF(105:105,I34,106:106)-SUMIF(105:105,C34,106:106)+100</f>
        <v>100</v>
      </c>
      <c r="K34" s="560">
        <v>1</v>
      </c>
      <c r="L34" s="2716"/>
      <c r="M34" s="2710"/>
      <c r="N34" s="2710"/>
      <c r="O34" s="2710"/>
      <c r="P34" s="3715"/>
      <c r="Q34" s="3499" t="str">
        <f t="shared" si="11"/>
        <v>建筑结构</v>
      </c>
      <c r="R34" s="703" t="s">
        <v>14</v>
      </c>
      <c r="S34" s="704">
        <f t="shared" si="12"/>
        <v>100</v>
      </c>
      <c r="T34" s="703" t="s">
        <v>14</v>
      </c>
      <c r="U34" s="704">
        <f t="shared" si="13"/>
        <v>100</v>
      </c>
      <c r="V34" s="703" t="s">
        <v>14</v>
      </c>
      <c r="W34" s="704">
        <f t="shared" si="14"/>
        <v>100</v>
      </c>
      <c r="X34" s="3503"/>
      <c r="Y34" s="3717"/>
      <c r="Z34" s="3502" t="str">
        <f t="shared" si="15"/>
        <v>建筑结构</v>
      </c>
      <c r="AA34" s="3500">
        <f t="shared" si="3"/>
        <v>1</v>
      </c>
      <c r="AB34" s="3500">
        <f t="shared" si="4"/>
        <v>1</v>
      </c>
      <c r="AC34" s="3500">
        <f t="shared" si="5"/>
        <v>1</v>
      </c>
    </row>
    <row r="35" spans="1:29" ht="15">
      <c r="A35" s="422"/>
      <c r="B35" s="374" t="s">
        <v>1785</v>
      </c>
      <c r="C35" s="1904" t="s">
        <v>3454</v>
      </c>
      <c r="D35" s="385">
        <v>100</v>
      </c>
      <c r="E35" s="1904" t="s">
        <v>3454</v>
      </c>
      <c r="F35" s="411">
        <f>SUMIF(107:107,E35,108:108)-SUMIF(107:107,C35,108:108)+100</f>
        <v>100</v>
      </c>
      <c r="G35" s="1904" t="s">
        <v>3454</v>
      </c>
      <c r="H35" s="385">
        <f>SUMIF(107:107,G35,108:108)-SUMIF(107:107,C35,108:108)+100</f>
        <v>100</v>
      </c>
      <c r="I35" s="1904" t="s">
        <v>3454</v>
      </c>
      <c r="J35" s="385">
        <f>SUMIF(107:107,I35,108:108)-SUMIF(107:107,C35,108:108)+100</f>
        <v>100</v>
      </c>
      <c r="K35" s="560">
        <v>2</v>
      </c>
      <c r="L35" s="2716"/>
      <c r="M35" s="2710"/>
      <c r="N35" s="2710"/>
      <c r="O35" s="2710"/>
      <c r="P35" s="3715"/>
      <c r="Q35" s="3499" t="str">
        <f t="shared" si="11"/>
        <v>公共部分装修</v>
      </c>
      <c r="R35" s="703" t="s">
        <v>14</v>
      </c>
      <c r="S35" s="704">
        <f t="shared" si="12"/>
        <v>100</v>
      </c>
      <c r="T35" s="703" t="s">
        <v>14</v>
      </c>
      <c r="U35" s="704">
        <f t="shared" si="13"/>
        <v>100</v>
      </c>
      <c r="V35" s="703" t="s">
        <v>14</v>
      </c>
      <c r="W35" s="704">
        <f t="shared" si="14"/>
        <v>100</v>
      </c>
      <c r="X35" s="3503"/>
      <c r="Y35" s="3717"/>
      <c r="Z35" s="3502" t="str">
        <f t="shared" si="15"/>
        <v>公共部分装修</v>
      </c>
      <c r="AA35" s="3500">
        <f t="shared" si="3"/>
        <v>1</v>
      </c>
      <c r="AB35" s="3500">
        <f t="shared" si="4"/>
        <v>1</v>
      </c>
      <c r="AC35" s="3500">
        <f t="shared" si="5"/>
        <v>1</v>
      </c>
    </row>
    <row r="36" spans="1:29" ht="15">
      <c r="A36" s="422"/>
      <c r="B36" s="374" t="s">
        <v>1786</v>
      </c>
      <c r="C36" s="424">
        <f>'数据-取费表'!N6</f>
        <v>0.79</v>
      </c>
      <c r="D36" s="385">
        <v>100</v>
      </c>
      <c r="E36" s="424">
        <f>C36</f>
        <v>0.79</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15"/>
      <c r="Q36" s="3499" t="str">
        <f t="shared" si="11"/>
        <v>成新度</v>
      </c>
      <c r="R36" s="703" t="s">
        <v>14</v>
      </c>
      <c r="S36" s="704">
        <f t="shared" si="12"/>
        <v>100</v>
      </c>
      <c r="T36" s="703" t="s">
        <v>14</v>
      </c>
      <c r="U36" s="704">
        <f t="shared" si="13"/>
        <v>102</v>
      </c>
      <c r="V36" s="703" t="s">
        <v>14</v>
      </c>
      <c r="W36" s="704">
        <f t="shared" si="14"/>
        <v>102</v>
      </c>
      <c r="X36" s="3503"/>
      <c r="Y36" s="3717"/>
      <c r="Z36" s="3502" t="str">
        <f t="shared" si="15"/>
        <v>成新度</v>
      </c>
      <c r="AA36" s="3500">
        <f t="shared" si="3"/>
        <v>1</v>
      </c>
      <c r="AB36" s="3500">
        <f t="shared" si="4"/>
        <v>0.98039215686274506</v>
      </c>
      <c r="AC36" s="3500">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5"/>
      <c r="Q37" s="3498" t="str">
        <f t="shared" si="11"/>
        <v>市政基础设施</v>
      </c>
      <c r="R37" s="699" t="s">
        <v>14</v>
      </c>
      <c r="S37" s="700">
        <f t="shared" si="12"/>
        <v>100</v>
      </c>
      <c r="T37" s="699" t="s">
        <v>14</v>
      </c>
      <c r="U37" s="700">
        <f t="shared" si="13"/>
        <v>100</v>
      </c>
      <c r="V37" s="699" t="s">
        <v>14</v>
      </c>
      <c r="W37" s="700">
        <f t="shared" si="14"/>
        <v>100</v>
      </c>
      <c r="X37" s="701"/>
      <c r="Y37" s="3717"/>
      <c r="Z37" s="3497" t="str">
        <f t="shared" si="15"/>
        <v>市政基础设施</v>
      </c>
      <c r="AA37" s="702">
        <f t="shared" si="3"/>
        <v>1</v>
      </c>
      <c r="AB37" s="702">
        <f t="shared" si="4"/>
        <v>1</v>
      </c>
      <c r="AC37" s="702">
        <f t="shared" si="5"/>
        <v>1</v>
      </c>
    </row>
    <row r="38" spans="1:29" ht="15">
      <c r="A38" s="422"/>
      <c r="B38" s="374" t="s">
        <v>1788</v>
      </c>
      <c r="C38" s="1904" t="s">
        <v>3515</v>
      </c>
      <c r="D38" s="385">
        <v>100</v>
      </c>
      <c r="E38" s="1904" t="s">
        <v>3515</v>
      </c>
      <c r="F38" s="411">
        <f>SUMIF(114:114,E38,115:115)-SUMIF(114:114,C38,115:115)+100</f>
        <v>100</v>
      </c>
      <c r="G38" s="1904" t="s">
        <v>3515</v>
      </c>
      <c r="H38" s="385">
        <f>SUMIF(114:114,G38,115:115)-SUMIF(114:114,C38,115:115)+100</f>
        <v>100</v>
      </c>
      <c r="I38" s="1904" t="s">
        <v>3515</v>
      </c>
      <c r="J38" s="385">
        <f>SUMIF(114:114,I38,115:115)-SUMIF(114:114,C38,115:115)+100</f>
        <v>100</v>
      </c>
      <c r="K38" s="560">
        <v>2</v>
      </c>
      <c r="L38" s="2716"/>
      <c r="M38" s="2710"/>
      <c r="N38" s="2710"/>
      <c r="O38" s="2710"/>
      <c r="P38" s="3715" t="s">
        <v>1696</v>
      </c>
      <c r="Q38" s="3499" t="str">
        <f t="shared" si="11"/>
        <v>业态</v>
      </c>
      <c r="R38" s="703" t="s">
        <v>14</v>
      </c>
      <c r="S38" s="704">
        <f t="shared" si="12"/>
        <v>100</v>
      </c>
      <c r="T38" s="703" t="s">
        <v>14</v>
      </c>
      <c r="U38" s="704">
        <f t="shared" si="13"/>
        <v>100</v>
      </c>
      <c r="V38" s="703" t="s">
        <v>14</v>
      </c>
      <c r="W38" s="704">
        <f t="shared" si="14"/>
        <v>100</v>
      </c>
      <c r="X38" s="3503"/>
      <c r="Y38" s="3717"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5"/>
      <c r="Q39" s="3499" t="str">
        <f t="shared" si="11"/>
        <v>层高</v>
      </c>
      <c r="R39" s="703" t="s">
        <v>14</v>
      </c>
      <c r="S39" s="704">
        <f t="shared" si="12"/>
        <v>100</v>
      </c>
      <c r="T39" s="703" t="s">
        <v>14</v>
      </c>
      <c r="U39" s="704">
        <f t="shared" si="13"/>
        <v>100</v>
      </c>
      <c r="V39" s="703" t="s">
        <v>14</v>
      </c>
      <c r="W39" s="704">
        <f t="shared" si="14"/>
        <v>100</v>
      </c>
      <c r="X39" s="3503"/>
      <c r="Y39" s="3717"/>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5"/>
      <c r="Q40" s="3499" t="str">
        <f t="shared" si="11"/>
        <v>单套建筑面积</v>
      </c>
      <c r="R40" s="703" t="s">
        <v>14</v>
      </c>
      <c r="S40" s="704">
        <f t="shared" si="12"/>
        <v>100</v>
      </c>
      <c r="T40" s="703" t="s">
        <v>14</v>
      </c>
      <c r="U40" s="704">
        <f t="shared" si="13"/>
        <v>100</v>
      </c>
      <c r="V40" s="703" t="s">
        <v>14</v>
      </c>
      <c r="W40" s="704">
        <f t="shared" si="14"/>
        <v>100</v>
      </c>
      <c r="X40" s="3503"/>
      <c r="Y40" s="3717"/>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5"/>
      <c r="Q41" s="705" t="str">
        <f t="shared" si="11"/>
        <v>进深比</v>
      </c>
      <c r="R41" s="706" t="s">
        <v>14</v>
      </c>
      <c r="S41" s="707">
        <f t="shared" si="12"/>
        <v>100</v>
      </c>
      <c r="T41" s="706" t="s">
        <v>14</v>
      </c>
      <c r="U41" s="707">
        <f t="shared" si="13"/>
        <v>100</v>
      </c>
      <c r="V41" s="706" t="s">
        <v>14</v>
      </c>
      <c r="W41" s="707">
        <f t="shared" si="14"/>
        <v>100</v>
      </c>
      <c r="X41" s="708"/>
      <c r="Y41" s="3717"/>
      <c r="Z41" s="709" t="str">
        <f t="shared" si="15"/>
        <v>进深比</v>
      </c>
      <c r="AA41" s="3500">
        <f t="shared" si="3"/>
        <v>1</v>
      </c>
      <c r="AB41" s="3500">
        <f t="shared" si="4"/>
        <v>1</v>
      </c>
      <c r="AC41" s="3500">
        <f t="shared" si="5"/>
        <v>1</v>
      </c>
    </row>
    <row r="42" spans="1:29" ht="15">
      <c r="A42" s="422"/>
      <c r="B42" s="374" t="s">
        <v>1792</v>
      </c>
      <c r="C42" s="1904" t="s">
        <v>3522</v>
      </c>
      <c r="D42" s="385">
        <v>100</v>
      </c>
      <c r="E42" s="1904" t="s">
        <v>3456</v>
      </c>
      <c r="F42" s="411">
        <f>SUMIF(122:122,E42,123:123)-SUMIF(122:122,C42,123:123)+100</f>
        <v>102</v>
      </c>
      <c r="G42" s="1904" t="s">
        <v>3456</v>
      </c>
      <c r="H42" s="385">
        <f>SUMIF(122:122,G42,123:123)-SUMIF(122:122,C42,123:123)+100</f>
        <v>102</v>
      </c>
      <c r="I42" s="1904" t="s">
        <v>3456</v>
      </c>
      <c r="J42" s="385">
        <f>SUMIF(122:122,I42,123:123)-SUMIF(122:122,C42,123:123)+100</f>
        <v>102</v>
      </c>
      <c r="K42" s="560">
        <v>1</v>
      </c>
      <c r="L42" s="2716"/>
      <c r="M42" s="2710"/>
      <c r="N42" s="2710"/>
      <c r="O42" s="2710"/>
      <c r="P42" s="3715"/>
      <c r="Q42" s="3499" t="str">
        <f t="shared" si="11"/>
        <v>内部装修</v>
      </c>
      <c r="R42" s="703" t="s">
        <v>14</v>
      </c>
      <c r="S42" s="704">
        <f t="shared" si="12"/>
        <v>102</v>
      </c>
      <c r="T42" s="703" t="s">
        <v>14</v>
      </c>
      <c r="U42" s="704">
        <f t="shared" si="13"/>
        <v>102</v>
      </c>
      <c r="V42" s="703" t="s">
        <v>14</v>
      </c>
      <c r="W42" s="704">
        <f t="shared" si="14"/>
        <v>102</v>
      </c>
      <c r="X42" s="3503"/>
      <c r="Y42" s="3717"/>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3411</v>
      </c>
      <c r="D43" s="385">
        <v>100</v>
      </c>
      <c r="E43" s="1904" t="s">
        <v>3411</v>
      </c>
      <c r="F43" s="411">
        <f>SUMIF(124:124,E43,125:125)-SUMIF(124:124,C43,125:125)+100</f>
        <v>100</v>
      </c>
      <c r="G43" s="1904" t="s">
        <v>3411</v>
      </c>
      <c r="H43" s="385">
        <f>SUMIF(124:124,G43,125:125)-SUMIF(124:124,C43,125:125)+100</f>
        <v>100</v>
      </c>
      <c r="I43" s="1904" t="s">
        <v>3411</v>
      </c>
      <c r="J43" s="385">
        <f>SUMIF(124:124,I43,125:125)-SUMIF(124:124,C43,125:125)+100</f>
        <v>100</v>
      </c>
      <c r="K43" s="560">
        <v>1</v>
      </c>
      <c r="L43" s="2716"/>
      <c r="M43" s="2710"/>
      <c r="N43" s="2710"/>
      <c r="O43" s="2710"/>
      <c r="P43" s="3715"/>
      <c r="Q43" s="3499" t="str">
        <f t="shared" si="11"/>
        <v>内部装修维护情况</v>
      </c>
      <c r="R43" s="703" t="s">
        <v>14</v>
      </c>
      <c r="S43" s="704">
        <f t="shared" si="12"/>
        <v>100</v>
      </c>
      <c r="T43" s="703" t="s">
        <v>14</v>
      </c>
      <c r="U43" s="704">
        <f t="shared" si="13"/>
        <v>100</v>
      </c>
      <c r="V43" s="703" t="s">
        <v>14</v>
      </c>
      <c r="W43" s="704">
        <f t="shared" si="14"/>
        <v>100</v>
      </c>
      <c r="X43" s="3503"/>
      <c r="Y43" s="3717"/>
      <c r="Z43" s="3502" t="str">
        <f t="shared" si="15"/>
        <v>内部装修维护情况</v>
      </c>
      <c r="AA43" s="3500">
        <f t="shared" si="3"/>
        <v>1</v>
      </c>
      <c r="AB43" s="3500">
        <f t="shared" si="4"/>
        <v>1</v>
      </c>
      <c r="AC43" s="3500">
        <f t="shared" si="5"/>
        <v>1</v>
      </c>
    </row>
    <row r="44" spans="1:29" s="107" customFormat="1" ht="15">
      <c r="A44" s="423"/>
      <c r="B44" s="3471" t="s">
        <v>3526</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5"/>
      <c r="Q44" s="3498" t="str">
        <f t="shared" si="11"/>
        <v>使用率</v>
      </c>
      <c r="R44" s="699" t="s">
        <v>14</v>
      </c>
      <c r="S44" s="700">
        <f t="shared" si="12"/>
        <v>100</v>
      </c>
      <c r="T44" s="699" t="s">
        <v>14</v>
      </c>
      <c r="U44" s="700">
        <f t="shared" si="13"/>
        <v>100</v>
      </c>
      <c r="V44" s="699" t="s">
        <v>14</v>
      </c>
      <c r="W44" s="700">
        <f t="shared" si="14"/>
        <v>100</v>
      </c>
      <c r="X44" s="701"/>
      <c r="Y44" s="3717"/>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5"/>
      <c r="Q45" s="3499">
        <f t="shared" si="11"/>
        <v>0</v>
      </c>
      <c r="R45" s="703" t="s">
        <v>14</v>
      </c>
      <c r="S45" s="704">
        <f t="shared" si="12"/>
        <v>100</v>
      </c>
      <c r="T45" s="703" t="s">
        <v>14</v>
      </c>
      <c r="U45" s="704">
        <f t="shared" si="13"/>
        <v>100</v>
      </c>
      <c r="V45" s="703" t="s">
        <v>14</v>
      </c>
      <c r="W45" s="704">
        <f t="shared" si="14"/>
        <v>100</v>
      </c>
      <c r="X45" s="3503"/>
      <c r="Y45" s="3717"/>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6"/>
      <c r="Q46" s="3499">
        <f t="shared" si="11"/>
        <v>0</v>
      </c>
      <c r="R46" s="703" t="s">
        <v>14</v>
      </c>
      <c r="S46" s="704">
        <f t="shared" si="12"/>
        <v>100</v>
      </c>
      <c r="T46" s="703" t="s">
        <v>14</v>
      </c>
      <c r="U46" s="704">
        <f t="shared" si="13"/>
        <v>100</v>
      </c>
      <c r="V46" s="703" t="s">
        <v>14</v>
      </c>
      <c r="W46" s="704">
        <f t="shared" si="14"/>
        <v>100</v>
      </c>
      <c r="X46" s="3503"/>
      <c r="Y46" s="3718"/>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05" t="str">
        <f>A47</f>
        <v>成交单价（元/平方米）</v>
      </c>
      <c r="Q47" s="3705"/>
      <c r="R47" s="3719">
        <f>E47</f>
        <v>8.39</v>
      </c>
      <c r="S47" s="3719"/>
      <c r="T47" s="3719">
        <f>G47</f>
        <v>8.4</v>
      </c>
      <c r="U47" s="3719"/>
      <c r="V47" s="3719">
        <f>I47</f>
        <v>8</v>
      </c>
      <c r="W47" s="3719"/>
      <c r="X47" s="688"/>
      <c r="Y47" s="710"/>
      <c r="Z47" s="688"/>
      <c r="AA47" s="688"/>
      <c r="AB47" s="688"/>
      <c r="AC47" s="688"/>
    </row>
    <row r="48" spans="1:29" ht="15.75" thickBot="1">
      <c r="A48" s="436" t="s">
        <v>1709</v>
      </c>
      <c r="B48" s="437"/>
      <c r="C48" s="1158">
        <f>R49</f>
        <v>7.7</v>
      </c>
      <c r="D48" s="2315" t="s">
        <v>2137</v>
      </c>
      <c r="E48" s="1159">
        <f>R48</f>
        <v>7.8</v>
      </c>
      <c r="F48" s="2316"/>
      <c r="G48" s="1158">
        <f>T48</f>
        <v>7.4</v>
      </c>
      <c r="H48" s="2316"/>
      <c r="I48" s="1159">
        <f>V48</f>
        <v>7.9</v>
      </c>
      <c r="J48" s="2316"/>
      <c r="K48" s="2318">
        <f>F48+H48+J48</f>
        <v>0</v>
      </c>
      <c r="L48" s="2718"/>
      <c r="M48" s="2719"/>
      <c r="N48" s="2710"/>
      <c r="O48" s="2719"/>
      <c r="P48" s="3705" t="str">
        <f>A48</f>
        <v>比较价值（元/平方米）</v>
      </c>
      <c r="Q48" s="3705"/>
      <c r="R48" s="3706">
        <f>IF(F1="售价",ROUND(PRODUCT(R47,AA7:AA46),0),ROUND(PRODUCT(R47,AA7:AA46),1))</f>
        <v>7.8</v>
      </c>
      <c r="S48" s="3706"/>
      <c r="T48" s="3706">
        <f>IF(F1="售价",ROUND(PRODUCT(T47,AB7:AB46),0),ROUND(PRODUCT(T47,AB7:AB46),1))</f>
        <v>7.4</v>
      </c>
      <c r="U48" s="3706"/>
      <c r="V48" s="3706">
        <f>IF(F1="售价",ROUND(PRODUCT(V47,AC7:AC46),0),ROUND(PRODUCT(V47,AC7:AC46),1))</f>
        <v>7.9</v>
      </c>
      <c r="W48" s="3706"/>
      <c r="X48" s="688"/>
      <c r="Y48" s="688"/>
      <c r="Z48" s="688"/>
      <c r="AA48" s="688"/>
      <c r="AB48" s="688"/>
      <c r="AC48" s="688"/>
    </row>
    <row r="49" spans="1:29" ht="15.75" thickBot="1">
      <c r="A49" s="440" t="s">
        <v>1710</v>
      </c>
      <c r="B49" s="441"/>
      <c r="C49" s="1161">
        <f>R49</f>
        <v>7.7</v>
      </c>
      <c r="D49" s="1161"/>
      <c r="E49" s="1161"/>
      <c r="F49" s="1161"/>
      <c r="G49" s="1161"/>
      <c r="H49" s="1161"/>
      <c r="I49" s="1161"/>
      <c r="J49" s="1161"/>
      <c r="K49" s="713"/>
      <c r="L49" s="2718"/>
      <c r="M49" s="2719"/>
      <c r="N49" s="2710"/>
      <c r="O49" s="2719"/>
      <c r="P49" s="3707" t="str">
        <f>A49</f>
        <v>估价对象XX用房的比较价值（楼面单价，元/平方米）</v>
      </c>
      <c r="Q49" s="3708"/>
      <c r="R49" s="3709">
        <f>IF(F1="售价",ROUND(IF(D48="简单平均",AVERAGE(R48:V48),R48*F48+T48*H48+V48*J48),0),ROUND(IF(D48="简单平均",AVERAGE(R48:V48),R48*F48+T48*H48+V48*J48),1))</f>
        <v>7.7</v>
      </c>
      <c r="S49" s="3709"/>
      <c r="T49" s="3709"/>
      <c r="U49" s="3709"/>
      <c r="V49" s="3709"/>
      <c r="W49" s="3709"/>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7.5641025641025816E-2</v>
      </c>
      <c r="F52" s="448" t="str">
        <f>IF(OR(E52&gt;=0.3,E52&lt;=-0.3),"超过30%","")</f>
        <v/>
      </c>
      <c r="G52" s="447">
        <f>IF(G47&lt;G48,G48/G47-1,G47/G48-1)</f>
        <v>0.13513513513513509</v>
      </c>
      <c r="H52" s="448" t="str">
        <f>IF(OR(G52&gt;=0.3,G52&lt;=-0.3),"超过30%","")</f>
        <v/>
      </c>
      <c r="I52" s="447">
        <f>IF(I47&lt;I48,I48/I47-1,I47/I48-1)</f>
        <v>1.2658227848101111E-2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5.4054054054053946E-2</v>
      </c>
      <c r="F53" s="448" t="str">
        <f>IF(OR(E53&gt;=0.2,E53&lt;=-0.2),"超过20%","")</f>
        <v/>
      </c>
      <c r="G53" s="447">
        <f>IF(G48&lt;I48,I48/G48-1,G48/I48-1)</f>
        <v>6.7567567567567544E-2</v>
      </c>
      <c r="H53" s="448" t="str">
        <f>IF(OR(G53&gt;=0.2,G53&lt;=-0.2),"超过20%","")</f>
        <v/>
      </c>
      <c r="I53" s="447">
        <f>IF(I48&lt;E48,E48/I48-1,I48/E48-1)</f>
        <v>1.2820512820512997E-2</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2024-3</v>
      </c>
      <c r="D58" s="1183">
        <f>EDATE(C58,-1)</f>
        <v>45323</v>
      </c>
      <c r="E58" s="1183">
        <f t="shared" ref="E58:N58" si="16">EDATE(D58,-1)</f>
        <v>45292</v>
      </c>
      <c r="F58" s="1183">
        <f t="shared" si="16"/>
        <v>45261</v>
      </c>
      <c r="G58" s="1183">
        <f t="shared" si="16"/>
        <v>45231</v>
      </c>
      <c r="H58" s="1183">
        <f t="shared" si="16"/>
        <v>45200</v>
      </c>
      <c r="I58" s="1183">
        <f t="shared" si="16"/>
        <v>45170</v>
      </c>
      <c r="J58" s="1183">
        <f t="shared" si="16"/>
        <v>45139</v>
      </c>
      <c r="K58" s="1183">
        <f t="shared" si="16"/>
        <v>45108</v>
      </c>
      <c r="L58" s="1183">
        <f t="shared" si="16"/>
        <v>45078</v>
      </c>
      <c r="M58" s="1183">
        <f t="shared" si="16"/>
        <v>45047</v>
      </c>
      <c r="N58" s="1183">
        <f t="shared" si="16"/>
        <v>45017</v>
      </c>
      <c r="O58" s="1183">
        <f>EDATE(N58,-1)</f>
        <v>44986</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3429</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3430</v>
      </c>
      <c r="D65" s="531" t="s">
        <v>3431</v>
      </c>
      <c r="E65" s="531" t="s">
        <v>3432</v>
      </c>
      <c r="F65" s="531" t="s">
        <v>3433</v>
      </c>
      <c r="G65" s="531" t="s">
        <v>3434</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3437</v>
      </c>
      <c r="D86" s="3475" t="s">
        <v>3438</v>
      </c>
      <c r="E86" s="3475" t="s">
        <v>3439</v>
      </c>
      <c r="F86" s="3475" t="s">
        <v>3440</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3499</v>
      </c>
      <c r="D88" s="3475" t="s">
        <v>3498</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3503</v>
      </c>
      <c r="D90" s="3475" t="s">
        <v>3504</v>
      </c>
      <c r="E90" s="3475" t="s">
        <v>3505</v>
      </c>
      <c r="F90" s="3475" t="s">
        <v>3506</v>
      </c>
      <c r="G90" s="3475" t="s">
        <v>3507</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3424</v>
      </c>
      <c r="D92" s="502" t="s">
        <v>3425</v>
      </c>
      <c r="E92" s="502" t="s">
        <v>3426</v>
      </c>
      <c r="F92" s="3475" t="s">
        <v>3495</v>
      </c>
      <c r="G92" s="3475" t="s">
        <v>3496</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3500</v>
      </c>
      <c r="D100" s="3477" t="s">
        <v>3502</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3436</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3508</v>
      </c>
      <c r="D107" s="3475" t="s">
        <v>3509</v>
      </c>
      <c r="E107" s="3475" t="s">
        <v>3510</v>
      </c>
      <c r="F107" s="3478" t="s">
        <v>3511</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3512</v>
      </c>
      <c r="D112" s="3475" t="s">
        <v>3513</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3514</v>
      </c>
      <c r="D114" s="3475" t="s">
        <v>3516</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3508</v>
      </c>
      <c r="D122" s="3475" t="s">
        <v>3509</v>
      </c>
      <c r="E122" s="3475" t="s">
        <v>3510</v>
      </c>
      <c r="F122" s="3478" t="s">
        <v>3511</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24" priority="20" stopIfTrue="1" operator="containsText" text="超过">
      <formula>NOT(ISERROR(SEARCH("超过",F52)))</formula>
    </cfRule>
  </conditionalFormatting>
  <conditionalFormatting sqref="H54">
    <cfRule type="containsText" dxfId="23" priority="19" stopIfTrue="1" operator="containsText" text="超过">
      <formula>NOT(ISERROR(SEARCH("超过",H54)))</formula>
    </cfRule>
  </conditionalFormatting>
  <conditionalFormatting sqref="F54">
    <cfRule type="containsText" dxfId="22" priority="18" stopIfTrue="1" operator="containsText" text="超过">
      <formula>NOT(ISERROR(SEARCH("超过",F54)))</formula>
    </cfRule>
  </conditionalFormatting>
  <conditionalFormatting sqref="F53 H53">
    <cfRule type="containsText" dxfId="21" priority="17" stopIfTrue="1" operator="containsText" text="超过">
      <formula>NOT(ISERROR(SEARCH("超过",F53)))</formula>
    </cfRule>
  </conditionalFormatting>
  <conditionalFormatting sqref="E52">
    <cfRule type="expression" dxfId="20" priority="16" stopIfTrue="1">
      <formula>$F$52="超过30%"</formula>
    </cfRule>
  </conditionalFormatting>
  <conditionalFormatting sqref="E53">
    <cfRule type="expression" dxfId="19" priority="15" stopIfTrue="1">
      <formula>$F$53="超过20%"</formula>
    </cfRule>
  </conditionalFormatting>
  <conditionalFormatting sqref="E54">
    <cfRule type="expression" dxfId="18" priority="14" stopIfTrue="1">
      <formula>$F$54="超过30%"</formula>
    </cfRule>
  </conditionalFormatting>
  <conditionalFormatting sqref="G54">
    <cfRule type="expression" dxfId="17" priority="13" stopIfTrue="1">
      <formula>$H$54="超过30%"</formula>
    </cfRule>
  </conditionalFormatting>
  <conditionalFormatting sqref="G52">
    <cfRule type="expression" dxfId="16" priority="12" stopIfTrue="1">
      <formula>$H$52="超过30%"</formula>
    </cfRule>
  </conditionalFormatting>
  <conditionalFormatting sqref="G53">
    <cfRule type="expression" dxfId="15" priority="11" stopIfTrue="1">
      <formula>$H$53="超过20%"</formula>
    </cfRule>
  </conditionalFormatting>
  <conditionalFormatting sqref="J52">
    <cfRule type="containsText" dxfId="14" priority="10" stopIfTrue="1" operator="containsText" text="超过">
      <formula>NOT(ISERROR(SEARCH("超过",J52)))</formula>
    </cfRule>
  </conditionalFormatting>
  <conditionalFormatting sqref="J54">
    <cfRule type="containsText" dxfId="13" priority="9" stopIfTrue="1" operator="containsText" text="超过">
      <formula>NOT(ISERROR(SEARCH("超过",J54)))</formula>
    </cfRule>
  </conditionalFormatting>
  <conditionalFormatting sqref="J53">
    <cfRule type="containsText" dxfId="12" priority="8" stopIfTrue="1" operator="containsText" text="超过">
      <formula>NOT(ISERROR(SEARCH("超过",J53)))</formula>
    </cfRule>
  </conditionalFormatting>
  <conditionalFormatting sqref="I52">
    <cfRule type="expression" dxfId="11" priority="7" stopIfTrue="1">
      <formula>$J$52="超过30%"</formula>
    </cfRule>
  </conditionalFormatting>
  <conditionalFormatting sqref="I53">
    <cfRule type="expression" dxfId="10" priority="6" stopIfTrue="1">
      <formula>$J$53="超过20%"</formula>
    </cfRule>
  </conditionalFormatting>
  <conditionalFormatting sqref="I54">
    <cfRule type="expression" dxfId="9" priority="5" stopIfTrue="1">
      <formula>$J$54="超过30%"</formula>
    </cfRule>
  </conditionalFormatting>
  <conditionalFormatting sqref="F48">
    <cfRule type="expression" dxfId="8" priority="4">
      <formula>$D$48="简单平均"</formula>
    </cfRule>
  </conditionalFormatting>
  <conditionalFormatting sqref="H48">
    <cfRule type="expression" dxfId="7" priority="3">
      <formula>$D$48="简单平均"</formula>
    </cfRule>
  </conditionalFormatting>
  <conditionalFormatting sqref="J48">
    <cfRule type="expression" dxfId="6" priority="2">
      <formula>$D$48="简单平均"</formula>
    </cfRule>
  </conditionalFormatting>
  <conditionalFormatting sqref="F7:F46 H7:H46 J7:J46">
    <cfRule type="cellIs" dxfId="5"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16.96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74.3583</v>
      </c>
      <c r="C2" s="1385" t="s">
        <v>879</v>
      </c>
      <c r="D2" s="1469">
        <f ca="1">C40+J29+L46</f>
        <v>743583</v>
      </c>
      <c r="E2" s="1386" t="s">
        <v>880</v>
      </c>
      <c r="F2" s="1387"/>
      <c r="G2" s="2700"/>
      <c r="H2" s="2689"/>
      <c r="I2" s="2689"/>
      <c r="J2" s="2689"/>
      <c r="K2" s="2690"/>
      <c r="L2" s="2689"/>
      <c r="M2" s="2689"/>
    </row>
    <row r="3" spans="1:37" ht="18" customHeight="1" thickBot="1">
      <c r="A3" s="1388" t="s">
        <v>881</v>
      </c>
      <c r="B3" s="1389">
        <f ca="1">IF(ISERROR(D2/F43),0,ROUND(D2/F43,0))</f>
        <v>12107</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60605</v>
      </c>
      <c r="D5" s="1362" t="s">
        <v>889</v>
      </c>
      <c r="E5" s="1069"/>
      <c r="F5" s="1070"/>
      <c r="G5" s="1382"/>
      <c r="H5" s="298">
        <v>1</v>
      </c>
      <c r="I5" s="299" t="s">
        <v>888</v>
      </c>
      <c r="J5" s="1068">
        <f ca="1">J6+J10+J12</f>
        <v>0</v>
      </c>
      <c r="K5" s="1362" t="s">
        <v>889</v>
      </c>
      <c r="L5" s="1069"/>
      <c r="M5" s="1070"/>
    </row>
    <row r="6" spans="1:37" ht="18" customHeight="1">
      <c r="A6" s="1067" t="s">
        <v>398</v>
      </c>
      <c r="B6" s="3796" t="s">
        <v>694</v>
      </c>
      <c r="C6" s="1072">
        <f ca="1">ROUND(F6*F8*F7*(1-F9),0)</f>
        <v>60529</v>
      </c>
      <c r="D6" s="154" t="s">
        <v>2105</v>
      </c>
      <c r="E6" s="301" t="s">
        <v>696</v>
      </c>
      <c r="F6" s="302">
        <f ca="1">INDIRECT("'数据-取费表'!u"&amp;$G$1)</f>
        <v>3</v>
      </c>
      <c r="G6" s="1382"/>
      <c r="H6" s="1067" t="s">
        <v>398</v>
      </c>
      <c r="I6" s="3796" t="s">
        <v>694</v>
      </c>
      <c r="J6" s="300">
        <f ca="1">ROUND(M6*M8*M7*(1-M9),0)</f>
        <v>0</v>
      </c>
      <c r="K6" s="1374" t="s">
        <v>2106</v>
      </c>
      <c r="L6" s="301" t="s">
        <v>696</v>
      </c>
      <c r="M6" s="302">
        <f ca="1">INDIRECT("'数据-取费表'!z"&amp;$G$1)</f>
        <v>0</v>
      </c>
    </row>
    <row r="7" spans="1:37" ht="18" customHeight="1">
      <c r="A7" s="1071"/>
      <c r="B7" s="3797"/>
      <c r="C7" s="1073"/>
      <c r="D7" s="306"/>
      <c r="E7" s="1074" t="s">
        <v>697</v>
      </c>
      <c r="F7" s="302">
        <f ca="1">IF(INDIRECT("'数据-取费表'!ah"&amp;$G$1)="",INDIRECT("'数据-取费表'!k"&amp;$G$1),INDIRECT("'数据-取费表'!ah"&amp;$G$1))</f>
        <v>61.42</v>
      </c>
      <c r="G7" s="1382"/>
      <c r="H7" s="303"/>
      <c r="I7" s="3797"/>
      <c r="J7" s="305"/>
      <c r="K7" s="306"/>
      <c r="L7" s="301" t="s">
        <v>697</v>
      </c>
      <c r="M7" s="302">
        <f ca="1">F7</f>
        <v>61.42</v>
      </c>
    </row>
    <row r="8" spans="1:37" ht="18" customHeight="1">
      <c r="A8" s="303"/>
      <c r="B8" s="3797"/>
      <c r="C8" s="305"/>
      <c r="D8" s="306"/>
      <c r="E8" s="301" t="s">
        <v>698</v>
      </c>
      <c r="F8" s="302">
        <f ca="1">INDIRECT("'数据-取费表'!ai"&amp;$G$1)</f>
        <v>365</v>
      </c>
      <c r="G8" s="1382"/>
      <c r="H8" s="303"/>
      <c r="I8" s="3797"/>
      <c r="J8" s="305"/>
      <c r="K8" s="306"/>
      <c r="L8" s="301" t="s">
        <v>698</v>
      </c>
      <c r="M8" s="302">
        <f ca="1">INDIRECT("'数据-取费表'!ai"&amp;$G$1)</f>
        <v>365</v>
      </c>
    </row>
    <row r="9" spans="1:37" ht="18" customHeight="1">
      <c r="A9" s="303"/>
      <c r="B9" s="3798"/>
      <c r="C9" s="305"/>
      <c r="D9" s="306"/>
      <c r="E9" s="301" t="s">
        <v>699</v>
      </c>
      <c r="F9" s="311">
        <f ca="1">INDIRECT("'数据-取费表'!w"&amp;$G$1)</f>
        <v>0.1</v>
      </c>
      <c r="G9" s="1382"/>
      <c r="H9" s="303"/>
      <c r="I9" s="3798"/>
      <c r="J9" s="305"/>
      <c r="K9" s="306"/>
      <c r="L9" s="312" t="s">
        <v>699</v>
      </c>
      <c r="M9" s="313">
        <f ca="1">INDIRECT("'数据-取费表'!ab"&amp;$G$1)</f>
        <v>0</v>
      </c>
    </row>
    <row r="10" spans="1:37" ht="18" customHeight="1">
      <c r="A10" s="1067" t="s">
        <v>402</v>
      </c>
      <c r="B10" s="1363" t="s">
        <v>700</v>
      </c>
      <c r="C10" s="315">
        <f ca="1">ROUND(IF(F10="押一",C6/12*F11,IF(F10="押二",C6/12*2*F11,IF(F10="押三",C6/12*3*F11,C11*F11))),0)</f>
        <v>76</v>
      </c>
      <c r="D10" s="1364" t="s">
        <v>2115</v>
      </c>
      <c r="E10" s="312" t="s">
        <v>701</v>
      </c>
      <c r="F10" s="1114" t="s">
        <v>3417</v>
      </c>
      <c r="G10" s="1382"/>
      <c r="H10" s="1067" t="s">
        <v>402</v>
      </c>
      <c r="I10" s="1363" t="s">
        <v>700</v>
      </c>
      <c r="J10" s="300">
        <f ca="1">ROUND(IF(M10="押一",J6/12*M11,IF(M10="押二",J6/12*2*M11,IF(M10="押三",J6/12*3*M11,J11*M11))),0)</f>
        <v>0</v>
      </c>
      <c r="K10" s="1375" t="s">
        <v>2117</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331289</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294816</v>
      </c>
      <c r="D14" s="1343" t="s">
        <v>708</v>
      </c>
      <c r="E14" s="1340"/>
      <c r="F14" s="318"/>
      <c r="G14" s="1382"/>
      <c r="H14" s="980" t="s">
        <v>398</v>
      </c>
      <c r="I14" s="301" t="s">
        <v>709</v>
      </c>
      <c r="J14" s="21">
        <f ca="1">C29</f>
        <v>419353</v>
      </c>
      <c r="K14" s="12"/>
      <c r="L14" s="805"/>
      <c r="M14" s="806"/>
    </row>
    <row r="15" spans="1:37" s="1395" customFormat="1" ht="18" customHeight="1" thickBot="1">
      <c r="A15" s="980" t="s">
        <v>399</v>
      </c>
      <c r="B15" s="301" t="s">
        <v>710</v>
      </c>
      <c r="C15" s="21">
        <f ca="1">ROUND(C14*F15,0)</f>
        <v>8844</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2097</v>
      </c>
      <c r="K16" s="1085" t="s">
        <v>715</v>
      </c>
      <c r="L16" s="1086"/>
      <c r="M16" s="1070"/>
    </row>
    <row r="17" spans="1:37" s="1395" customFormat="1" ht="18" customHeight="1">
      <c r="A17" s="980" t="s">
        <v>681</v>
      </c>
      <c r="B17" s="301" t="s">
        <v>716</v>
      </c>
      <c r="C17" s="21">
        <f ca="1">ROUND(F17*(F43+INDIRECT("'数据-取费表'!S"&amp;$G$1)),0)</f>
        <v>12284</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4422</v>
      </c>
      <c r="D18" s="301" t="s">
        <v>711</v>
      </c>
      <c r="E18" s="301" t="s">
        <v>712</v>
      </c>
      <c r="F18" s="321">
        <f>'数据-取费表'!B36</f>
        <v>1.4999999999999999E-2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320366</v>
      </c>
      <c r="D19" s="130" t="s">
        <v>726</v>
      </c>
      <c r="E19" s="1358"/>
      <c r="F19" s="23"/>
      <c r="G19" s="1382"/>
      <c r="H19" s="980" t="s">
        <v>399</v>
      </c>
      <c r="I19" s="301" t="s">
        <v>727</v>
      </c>
      <c r="J19" s="21">
        <f ca="1">IF(K19="按租金收入计税",ROUND(J6*M19/(1+'数据-取费表'!C42),0),ROUND(C29*M19*0.7,0))</f>
        <v>0</v>
      </c>
      <c r="K19" s="1368" t="s">
        <v>3336</v>
      </c>
      <c r="L19" s="301" t="s">
        <v>712</v>
      </c>
      <c r="M19" s="321">
        <f>IF(K19="按租金收入计税",'数据-取费表'!B51,'数据-取费表'!B50)</f>
        <v>0.12</v>
      </c>
    </row>
    <row r="20" spans="1:37" s="1395" customFormat="1" ht="18" customHeight="1">
      <c r="A20" s="980" t="s">
        <v>402</v>
      </c>
      <c r="B20" s="301" t="s">
        <v>728</v>
      </c>
      <c r="C20" s="21">
        <f ca="1">ROUND(C19*F20,0)</f>
        <v>6407</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2097</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11274</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-2097</v>
      </c>
      <c r="K25" s="1093" t="s">
        <v>753</v>
      </c>
      <c r="L25" s="1094"/>
      <c r="M25" s="1095"/>
    </row>
    <row r="26" spans="1:37" ht="18" customHeight="1">
      <c r="A26" s="980" t="s">
        <v>397</v>
      </c>
      <c r="B26" s="301" t="s">
        <v>754</v>
      </c>
      <c r="C26" s="21">
        <f ca="1">ROUND((C19+C20)*F26,0)</f>
        <v>49016</v>
      </c>
      <c r="D26" s="322" t="s">
        <v>755</v>
      </c>
      <c r="E26" s="312" t="s">
        <v>756</v>
      </c>
      <c r="F26" s="311">
        <f ca="1">INDIRECT("'数据-取费表'!q"&amp;$G$1)</f>
        <v>0.15</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419353</v>
      </c>
      <c r="D29" s="1090"/>
      <c r="E29" s="1088"/>
      <c r="F29" s="1091"/>
      <c r="G29" s="1394"/>
      <c r="H29" s="333" t="s">
        <v>396</v>
      </c>
      <c r="I29" s="334" t="s">
        <v>768</v>
      </c>
      <c r="J29" s="335">
        <f ca="1">ROUND(J26/(1+F40)^F41,0)</f>
        <v>0</v>
      </c>
      <c r="K29" s="336" t="s">
        <v>769</v>
      </c>
      <c r="L29" s="337"/>
      <c r="M29" s="338">
        <f ca="1">INDIRECT("'数据-取费表'!k"&amp;$G$1)</f>
        <v>61.42</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6766</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4035</v>
      </c>
      <c r="D31" s="1343" t="s">
        <v>720</v>
      </c>
      <c r="E31" s="1342" t="s">
        <v>770</v>
      </c>
      <c r="F31" s="2313">
        <f ca="1">IF(项目基本情况!B11="企业","——",IF(M47="住宅",IF(F6*F7*F8/12/(1+'数据-取费表'!F30)&gt;100000,4%,2.5%),IF(F6*F7*F8/12/(1+'数据-取费表'!F30)&gt;100000,12%,7%)))</f>
        <v>7.0000000000000007E-2</v>
      </c>
      <c r="G31" s="1382"/>
      <c r="H31" s="2802" t="s">
        <v>2309</v>
      </c>
      <c r="I31" s="1396"/>
      <c r="J31" s="1397"/>
      <c r="K31" s="2472"/>
      <c r="L31" s="2692"/>
      <c r="M31" s="2693"/>
    </row>
    <row r="32" spans="1:37" ht="18" customHeight="1">
      <c r="A32" s="980" t="s">
        <v>397</v>
      </c>
      <c r="B32" s="301" t="s">
        <v>723</v>
      </c>
      <c r="C32" s="21" t="str">
        <f>IF(项目基本情况!B11="自然人","——",ROUND(C6*F32/(1+'数据-取费表'!C42),0))</f>
        <v>——</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IF(项目基本情况!B11="自然人","——",IF(D33="按租金收入计税",ROUND(C6*F33/(1+'数据-取费表'!C42),0),IF(D33="按房产原值计税",ROUND(C29*F33*0.7,0),INDIRECT("'数据-取费表'!Aj"&amp;$G$1))))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IF(项目基本情况!B11="自然人","——",ROUND(F34*F35,0))</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2097</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331</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303</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53839</v>
      </c>
      <c r="D39" s="1093" t="s">
        <v>773</v>
      </c>
      <c r="E39" s="1094"/>
      <c r="F39" s="1095"/>
      <c r="G39" s="1382"/>
      <c r="H39" s="2694"/>
      <c r="I39" s="1396"/>
      <c r="J39" s="1397"/>
      <c r="K39" s="2698"/>
      <c r="L39" s="2694"/>
      <c r="M39" s="2694"/>
    </row>
    <row r="40" spans="1:18" ht="18" customHeight="1">
      <c r="A40" s="298" t="s">
        <v>395</v>
      </c>
      <c r="B40" s="299" t="s">
        <v>774</v>
      </c>
      <c r="C40" s="300">
        <f ca="1">ROUND(C39*(1-((1+F42)/(1+F40))^F41)/(F40-F42),0)</f>
        <v>694385</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16.96</v>
      </c>
      <c r="G41" s="1382"/>
      <c r="H41" s="1189">
        <f ca="1">C39/C5</f>
        <v>0.88835904628330997</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11306</v>
      </c>
      <c r="D43" s="336" t="s">
        <v>777</v>
      </c>
      <c r="E43" s="337" t="s">
        <v>778</v>
      </c>
      <c r="F43" s="338">
        <f ca="1">INDIRECT("'数据-取费表'!k"&amp;$G$1)</f>
        <v>61.42</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3352</v>
      </c>
      <c r="B45" s="1398"/>
      <c r="C45" s="1470">
        <f ca="1">ROUND((C68-C40)/10000,4)</f>
        <v>-72.072599999999994</v>
      </c>
      <c r="D45" s="3425" t="s">
        <v>3353</v>
      </c>
      <c r="E45" s="1398"/>
      <c r="F45" s="1398"/>
      <c r="O45" s="1401" t="s">
        <v>808</v>
      </c>
      <c r="P45" s="1459"/>
      <c r="Q45" s="1459"/>
      <c r="R45" s="1459"/>
    </row>
    <row r="46" spans="1:18" s="1382" customFormat="1" ht="13.5" thickBot="1">
      <c r="A46" s="1402" t="s">
        <v>809</v>
      </c>
      <c r="C46" s="1403">
        <f ca="1">ROUND(C45,0)</f>
        <v>-72</v>
      </c>
      <c r="D46" s="1404" t="str">
        <f>C2</f>
        <v>万元</v>
      </c>
      <c r="I46" s="1405" t="s">
        <v>810</v>
      </c>
      <c r="J46" s="1406"/>
      <c r="K46" s="1407"/>
      <c r="L46" s="1408">
        <f ca="1">IF(M47="住宅",0,IF(L48&gt;J51,L60,J60))</f>
        <v>49198</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3435</v>
      </c>
      <c r="K47" s="1414" t="s">
        <v>816</v>
      </c>
      <c r="L47" s="1415">
        <f ca="1">INDIRECT("'数据-取费表'!d"&amp;$G$1)</f>
        <v>40</v>
      </c>
      <c r="M47" s="1378" t="str">
        <f>IF(ISNUMBER(FIND("住宅",C1)),"住宅","非住宅")</f>
        <v>非住宅</v>
      </c>
      <c r="O47" s="1416" t="s">
        <v>403</v>
      </c>
      <c r="P47" s="1417" t="s">
        <v>817</v>
      </c>
      <c r="Q47" s="1418">
        <f ca="1">C40+J29</f>
        <v>694385</v>
      </c>
      <c r="R47" s="1418" t="s">
        <v>818</v>
      </c>
    </row>
    <row r="48" spans="1:18" s="1382" customFormat="1" ht="28.5" thickBot="1">
      <c r="A48" s="1108" t="s">
        <v>438</v>
      </c>
      <c r="B48" s="299" t="s">
        <v>692</v>
      </c>
      <c r="C48" s="1357">
        <f ca="1">C49+C53+C55</f>
        <v>0</v>
      </c>
      <c r="D48" s="1110"/>
      <c r="E48" s="1111"/>
      <c r="F48" s="960"/>
      <c r="G48" s="720"/>
      <c r="H48" s="721"/>
      <c r="I48" s="1419" t="s">
        <v>819</v>
      </c>
      <c r="J48" s="1420" t="s">
        <v>3407</v>
      </c>
      <c r="K48" s="1421" t="s">
        <v>820</v>
      </c>
      <c r="L48" s="1422">
        <f ca="1">INDIRECT("'数据-取费表'!f"&amp;$G$1)</f>
        <v>16.96</v>
      </c>
      <c r="O48" s="1416" t="s">
        <v>404</v>
      </c>
      <c r="P48" s="1417" t="s">
        <v>821</v>
      </c>
      <c r="Q48" s="1418">
        <f ca="1">J60</f>
        <v>49198</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2004</v>
      </c>
      <c r="K49" s="1421" t="s">
        <v>824</v>
      </c>
      <c r="L49" s="1425"/>
      <c r="O49" s="1426" t="s">
        <v>405</v>
      </c>
      <c r="P49" s="1417" t="s">
        <v>825</v>
      </c>
      <c r="Q49" s="1418">
        <f ca="1">C29</f>
        <v>419353</v>
      </c>
      <c r="R49" s="1418" t="s">
        <v>818</v>
      </c>
    </row>
    <row r="50" spans="1:18" s="1382" customFormat="1" ht="13.5" thickBot="1">
      <c r="A50" s="974"/>
      <c r="B50" s="977"/>
      <c r="C50" s="978"/>
      <c r="D50" s="951"/>
      <c r="E50" s="1054" t="s">
        <v>697</v>
      </c>
      <c r="F50" s="1055">
        <f ca="1">F7</f>
        <v>61.42</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40</v>
      </c>
      <c r="K51" s="1432" t="s">
        <v>830</v>
      </c>
      <c r="L51" s="1433">
        <f ca="1">ROUND(-PV(INDIRECT("'数据-取费表'!h"&amp;$G$1),J51,(C39-C13*C76),0),0)</f>
        <v>525905</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16.96</v>
      </c>
      <c r="R52" s="1418" t="s">
        <v>835</v>
      </c>
    </row>
    <row r="53" spans="1:18" s="1382" customFormat="1" ht="30.75" customHeight="1" thickBot="1">
      <c r="A53" s="1109" t="s">
        <v>440</v>
      </c>
      <c r="B53" s="322" t="s">
        <v>700</v>
      </c>
      <c r="C53" s="315">
        <f ca="1">ROUND(IF(F53="押一",C49/12*F11,IF(F53="押二",C49/12*2*F11,IF(F53="押三",C49/12*3*F11,C54*F11))),0)</f>
        <v>0</v>
      </c>
      <c r="D53" s="1364" t="s">
        <v>2118</v>
      </c>
      <c r="E53" s="312" t="s">
        <v>701</v>
      </c>
      <c r="F53" s="1114"/>
      <c r="I53" s="1437" t="s">
        <v>836</v>
      </c>
      <c r="J53" s="2166">
        <f ca="1">IF(M47="住宅",IF(D1="——",MAX(J51,L48),MAX(J51,L48-'数据-取费表'!B24)),IF(D1="——",MIN(J51,L48),MIN(J51,L48-'数据-取费表'!B24)))</f>
        <v>16.96</v>
      </c>
      <c r="K53" s="3794" t="s">
        <v>837</v>
      </c>
      <c r="L53" s="3795"/>
      <c r="O53" s="1416" t="s">
        <v>409</v>
      </c>
      <c r="P53" s="1417" t="s">
        <v>838</v>
      </c>
      <c r="Q53" s="1418">
        <f ca="1">Q47+Q48</f>
        <v>743583</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0.38400000000000001</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331289</v>
      </c>
      <c r="D56" s="1445"/>
      <c r="E56" s="1446"/>
      <c r="F56" s="1438"/>
      <c r="I56" s="1447" t="s">
        <v>842</v>
      </c>
      <c r="J56" s="1448" t="s">
        <v>3383</v>
      </c>
      <c r="K56" s="1419" t="s">
        <v>843</v>
      </c>
      <c r="L56" s="1422" t="str">
        <f ca="1">IF(L48&lt;J51,"——",L48-J51)</f>
        <v>——</v>
      </c>
      <c r="O56" s="1416" t="s">
        <v>403</v>
      </c>
      <c r="P56" s="1417" t="s">
        <v>817</v>
      </c>
      <c r="Q56" s="1418">
        <f ca="1">C40+J29</f>
        <v>694385</v>
      </c>
      <c r="R56" s="1418" t="s">
        <v>818</v>
      </c>
    </row>
    <row r="57" spans="1:18" s="1382" customFormat="1" ht="24.75" thickBot="1">
      <c r="A57" s="1449"/>
      <c r="B57" s="948" t="s">
        <v>767</v>
      </c>
      <c r="C57" s="237">
        <f ca="1">C29</f>
        <v>419353</v>
      </c>
      <c r="D57" s="1450"/>
      <c r="E57" s="1451"/>
      <c r="F57" s="1452"/>
      <c r="I57" s="1453" t="s">
        <v>844</v>
      </c>
      <c r="J57" s="1454">
        <f ca="1">IF(OR(M47="住宅",J51&lt;L48,J56="是"),"——",J51-L48)</f>
        <v>23.04</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2428</v>
      </c>
      <c r="D58" s="958" t="s">
        <v>715</v>
      </c>
      <c r="E58" s="959"/>
      <c r="F58" s="960"/>
      <c r="I58" s="1453" t="s">
        <v>848</v>
      </c>
      <c r="J58" s="1455">
        <f ca="1">IF(J55&lt;0.4,0.4,J55)</f>
        <v>0.4</v>
      </c>
      <c r="K58" s="1432" t="s">
        <v>895</v>
      </c>
      <c r="L58" s="1422">
        <f ca="1">ROUND(POWER(1+L52,L47-L48)*(POWER(1+L52,L48)-1)/(POWER(1+L52,L47)-1),4)</f>
        <v>0.67610000000000003</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167741</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1</v>
      </c>
      <c r="M59" s="1379">
        <f ca="1">ROUND(POWER(1+L52,L47-(J51+'数据-取费表'!B24))*(POWER(1+L52,(J51+'数据-取费表'!B24))-1)/(POWER(1+L52,L47)-1),4)</f>
        <v>1</v>
      </c>
      <c r="N59" s="1379">
        <f ca="1">ROUND(POWER(1+L52,L47-(J51+'数据-取费表'!B20))*(POWER(1+L52,(J51+'数据-取费表'!B20))-1)/(POWER(1+L52,L47)-1),4)</f>
        <v>1.0135000000000001</v>
      </c>
      <c r="O59" s="1426" t="s">
        <v>406</v>
      </c>
      <c r="P59" s="1417" t="s">
        <v>852</v>
      </c>
      <c r="Q59" s="1429">
        <f>L52</f>
        <v>5.5E-2</v>
      </c>
      <c r="R59" s="1418"/>
    </row>
    <row r="60" spans="1:18" s="1382" customFormat="1" ht="16.5" thickBot="1">
      <c r="A60" s="980" t="s">
        <v>397</v>
      </c>
      <c r="B60" s="948" t="s">
        <v>723</v>
      </c>
      <c r="C60" s="21" t="str">
        <f>IF(项目基本情况!B11="自然人","——",ROUND(C48*F60/(1+'数据-取费表'!C42),0))</f>
        <v>——</v>
      </c>
      <c r="D60" s="962" t="s">
        <v>724</v>
      </c>
      <c r="E60" s="948" t="s">
        <v>712</v>
      </c>
      <c r="F60" s="330">
        <f t="shared" ref="F60:F66" si="0">F32</f>
        <v>5.6000000000000001E-2</v>
      </c>
      <c r="I60" s="1456" t="s">
        <v>853</v>
      </c>
      <c r="J60" s="1457">
        <f ca="1">IF(OR(M47="住宅",J51&lt;L48,J56="是"),"0",ROUND(J59/(1+J52)^J53,0))</f>
        <v>49198</v>
      </c>
      <c r="K60" s="1458" t="s">
        <v>854</v>
      </c>
      <c r="L60" s="1457">
        <f ca="1">IF(OR(M47="住宅",L48&lt;J51),0,ROUND(L57*(L58/L59-1),0))</f>
        <v>0</v>
      </c>
      <c r="O60" s="1426" t="s">
        <v>407</v>
      </c>
      <c r="P60" s="1417" t="s">
        <v>855</v>
      </c>
      <c r="Q60" s="1418">
        <f ca="1">L58</f>
        <v>0.67610000000000003</v>
      </c>
      <c r="R60" s="1418" t="s">
        <v>856</v>
      </c>
    </row>
    <row r="61" spans="1:18" s="1382" customFormat="1" ht="13.5" thickBot="1">
      <c r="A61" s="980" t="s">
        <v>781</v>
      </c>
      <c r="B61" s="948" t="s">
        <v>782</v>
      </c>
      <c r="C61" s="21" t="str">
        <f ca="1">IF(项目基本情况!B11="自然人","——",IF(D61="按租金收入计税",ROUND(C49*F61/(1+'数据-取费表'!C42),0),IF(D61="按房产原值计税",ROUND(C57*F61*0.7,0),INDIRECT("'数据-取费表'!Aj"&amp;$G$1))))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f ca="1">L59</f>
        <v>1</v>
      </c>
      <c r="R61" s="1418" t="s">
        <v>857</v>
      </c>
    </row>
    <row r="62" spans="1:18" s="1382" customFormat="1" ht="13.5" thickBot="1">
      <c r="A62" s="980" t="s">
        <v>784</v>
      </c>
      <c r="B62" s="947" t="s">
        <v>785</v>
      </c>
      <c r="C62" s="22" t="str">
        <f>IF(项目基本情况!B11="自然人","——",ROUND(F62*F63,0))</f>
        <v>——</v>
      </c>
      <c r="D62" s="963" t="s">
        <v>786</v>
      </c>
      <c r="E62" s="948" t="s">
        <v>787</v>
      </c>
      <c r="F62" s="324">
        <f t="shared" si="0"/>
        <v>1.5</v>
      </c>
      <c r="I62" s="1460" t="s">
        <v>858</v>
      </c>
      <c r="J62" s="1461" t="s">
        <v>859</v>
      </c>
      <c r="K62" s="1461" t="s">
        <v>860</v>
      </c>
      <c r="L62" s="1461" t="s">
        <v>861</v>
      </c>
      <c r="M62" s="1462" t="s">
        <v>862</v>
      </c>
      <c r="O62" s="1416" t="s">
        <v>409</v>
      </c>
      <c r="P62" s="1417" t="s">
        <v>863</v>
      </c>
      <c r="Q62" s="1418">
        <f ca="1">Q56+Q57</f>
        <v>694385</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2097</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331</v>
      </c>
      <c r="D65" s="962" t="s">
        <v>743</v>
      </c>
      <c r="E65" s="948" t="s">
        <v>744</v>
      </c>
      <c r="F65" s="329">
        <f t="shared" ca="1" si="0"/>
        <v>1E-3</v>
      </c>
      <c r="I65" s="1460" t="s">
        <v>867</v>
      </c>
      <c r="J65" s="1461">
        <v>40</v>
      </c>
      <c r="K65" s="1461">
        <v>30</v>
      </c>
      <c r="L65" s="1461">
        <v>50</v>
      </c>
      <c r="M65" s="1463">
        <v>0.02</v>
      </c>
      <c r="O65" s="1416" t="s">
        <v>403</v>
      </c>
      <c r="P65" s="1417" t="s">
        <v>868</v>
      </c>
      <c r="Q65" s="1418">
        <f ca="1">C40+J29</f>
        <v>694385</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-2428</v>
      </c>
      <c r="D67" s="961" t="s">
        <v>753</v>
      </c>
      <c r="E67" s="966"/>
      <c r="F67" s="967"/>
      <c r="O67" s="1426" t="s">
        <v>405</v>
      </c>
      <c r="P67" s="1417" t="s">
        <v>850</v>
      </c>
      <c r="Q67" s="1464">
        <f ca="1">L51</f>
        <v>525905</v>
      </c>
      <c r="R67" s="1418" t="s">
        <v>870</v>
      </c>
    </row>
    <row r="68" spans="1:18" s="1382" customFormat="1" ht="16.5" thickBot="1">
      <c r="A68" s="945" t="s">
        <v>395</v>
      </c>
      <c r="B68" s="946" t="s">
        <v>774</v>
      </c>
      <c r="C68" s="300">
        <f ca="1">ROUND(C67*(1-((1+F70)/(1+F68))^F69)/(F68-F70),0)</f>
        <v>-26341</v>
      </c>
      <c r="D68" s="963" t="s">
        <v>758</v>
      </c>
      <c r="E68" s="948" t="s">
        <v>759</v>
      </c>
      <c r="F68" s="311">
        <f ca="1">F40</f>
        <v>5.5E-2</v>
      </c>
      <c r="O68" s="1426" t="s">
        <v>406</v>
      </c>
      <c r="P68" s="1465" t="s">
        <v>871</v>
      </c>
      <c r="Q68" s="1418">
        <f ca="1">ROUND(Q69-Q70*Q71,0)</f>
        <v>30649</v>
      </c>
      <c r="R68" s="1418" t="s">
        <v>414</v>
      </c>
    </row>
    <row r="69" spans="1:18" s="1382" customFormat="1" ht="13.5" thickBot="1">
      <c r="A69" s="949"/>
      <c r="B69" s="950"/>
      <c r="C69" s="305"/>
      <c r="D69" s="968" t="s">
        <v>762</v>
      </c>
      <c r="E69" s="948" t="s">
        <v>763</v>
      </c>
      <c r="F69" s="332">
        <f ca="1">F41</f>
        <v>16.96</v>
      </c>
      <c r="O69" s="1426" t="s">
        <v>411</v>
      </c>
      <c r="P69" s="1465" t="s">
        <v>872</v>
      </c>
      <c r="Q69" s="1418">
        <f ca="1">C39</f>
        <v>53839</v>
      </c>
      <c r="R69" s="1418" t="s">
        <v>818</v>
      </c>
    </row>
    <row r="70" spans="1:18" s="1382" customFormat="1" ht="13.5" thickBot="1">
      <c r="A70" s="952"/>
      <c r="B70" s="953"/>
      <c r="C70" s="309"/>
      <c r="D70" s="964"/>
      <c r="E70" s="948" t="s">
        <v>766</v>
      </c>
      <c r="F70" s="1052"/>
      <c r="O70" s="1426" t="s">
        <v>412</v>
      </c>
      <c r="P70" s="1465" t="s">
        <v>873</v>
      </c>
      <c r="Q70" s="1418">
        <f ca="1">C13</f>
        <v>331289</v>
      </c>
      <c r="R70" s="1418" t="s">
        <v>818</v>
      </c>
    </row>
    <row r="71" spans="1:18" s="1382" customFormat="1" ht="13.5" thickBot="1">
      <c r="A71" s="969" t="s">
        <v>396</v>
      </c>
      <c r="B71" s="970" t="s">
        <v>776</v>
      </c>
      <c r="C71" s="335">
        <f ca="1">ROUND(C68/F71,0)</f>
        <v>-429</v>
      </c>
      <c r="D71" s="971" t="s">
        <v>777</v>
      </c>
      <c r="E71" s="972" t="s">
        <v>778</v>
      </c>
      <c r="F71" s="338">
        <f ca="1">F43</f>
        <v>61.42</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0.67610000000000003</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1</v>
      </c>
      <c r="R74" s="1418" t="s">
        <v>857</v>
      </c>
    </row>
    <row r="75" spans="1:18" ht="13.5" thickBot="1">
      <c r="A75" s="1382"/>
      <c r="B75" s="339" t="s">
        <v>795</v>
      </c>
      <c r="C75" s="340">
        <f ca="1">ROUND(C13*C76,0)</f>
        <v>23190</v>
      </c>
      <c r="D75" s="1382"/>
      <c r="E75" s="1382"/>
      <c r="F75" s="1382"/>
      <c r="K75" s="1400"/>
      <c r="L75" s="1382"/>
      <c r="O75" s="1416" t="s">
        <v>409</v>
      </c>
      <c r="P75" s="1417" t="s">
        <v>838</v>
      </c>
      <c r="Q75" s="1418">
        <f ca="1">Q65+Q66</f>
        <v>694385</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0.56899999999999995</v>
      </c>
    </row>
    <row r="80" spans="1:18">
      <c r="B80" s="339" t="s">
        <v>800</v>
      </c>
      <c r="C80" s="273">
        <f ca="1">ROUND(C75/C39,3)</f>
        <v>0.43099999999999999</v>
      </c>
    </row>
    <row r="81" spans="2:3">
      <c r="B81" s="269" t="s">
        <v>801</v>
      </c>
      <c r="C81" s="237"/>
    </row>
    <row r="82" spans="2:3">
      <c r="B82" s="272" t="s">
        <v>802</v>
      </c>
      <c r="C82" s="274">
        <f ca="1">1-C83</f>
        <v>0.52300000000000002</v>
      </c>
    </row>
    <row r="83" spans="2:3">
      <c r="B83" s="272" t="s">
        <v>803</v>
      </c>
      <c r="C83" s="273">
        <f ca="1">ROUND(C13/C40,3)</f>
        <v>0.47699999999999998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K31:O73"/>
  <sheetViews>
    <sheetView workbookViewId="0">
      <selection activeCell="P40" sqref="P40"/>
    </sheetView>
  </sheetViews>
  <sheetFormatPr defaultRowHeight="13.5"/>
  <sheetData>
    <row r="31" spans="11:11">
      <c r="K31" s="3496"/>
    </row>
    <row r="35" spans="15:15">
      <c r="O35" s="3495" t="s">
        <v>3517</v>
      </c>
    </row>
    <row r="51" spans="11:11">
      <c r="K51" s="3495"/>
    </row>
    <row r="73" spans="12:12">
      <c r="L73" s="3495"/>
    </row>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典型户型修正</vt:lpstr>
      <vt:lpstr>成本法 (元)</vt:lpstr>
      <vt:lpstr>基准地价修正</vt:lpstr>
      <vt:lpstr>比较法-办公</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收益法 (元)</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2024-03-13T03:27:24Z</dcterms:modified>
</cp:coreProperties>
</file>