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36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酒店净值2)" sheetId="85" r:id="rId19"/>
    <sheet name="土地比较法-住宅、综合" sheetId="39" r:id="rId20"/>
    <sheet name="土地案例" sheetId="86" r:id="rId21"/>
    <sheet name="Sheet2" sheetId="83" state="hidden" r:id="rId22"/>
    <sheet name="成本法" sheetId="68" r:id="rId23"/>
    <sheet name="成本法 (元)" sheetId="69" state="hidden" r:id="rId24"/>
    <sheet name="假设开发法" sheetId="12" state="hidden" r:id="rId25"/>
    <sheet name="收益法（汇总）" sheetId="70" state="hidden" r:id="rId26"/>
    <sheet name="收益法-酒店" sheetId="15" r:id="rId27"/>
    <sheet name="收益法 (元)" sheetId="67" state="hidden" r:id="rId28"/>
    <sheet name="收益法-配套" sheetId="78" state="hidden" r:id="rId29"/>
    <sheet name="收益法-公寓" sheetId="79" state="hidden" r:id="rId30"/>
    <sheet name="酒店收入计算 (测算)" sheetId="81" state="hidden"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配套楼收入计算" sheetId="80" state="hidden" r:id="rId51"/>
    <sheet name="Sheet1" sheetId="82"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9">'收益法-公寓'!$A$1:$AK$69</definedName>
    <definedName name="_xlnm.Print_Area" localSheetId="26">'收益法-酒店'!$A$1:$AK$69</definedName>
    <definedName name="_xlnm.Print_Area" localSheetId="28">'收益法-配套'!$A$1:$AK$69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6" i="85" l="1"/>
  <c r="C66" i="9"/>
  <c r="F27" i="68"/>
  <c r="C28" i="68"/>
  <c r="C27" i="68"/>
  <c r="C29" i="68"/>
  <c r="D27" i="68"/>
  <c r="C31" i="68"/>
  <c r="F34" i="68"/>
  <c r="C34" i="68"/>
  <c r="C35" i="68"/>
  <c r="C36" i="68"/>
  <c r="D9" i="68"/>
  <c r="D10" i="68"/>
  <c r="D19" i="68"/>
  <c r="D37" i="68"/>
  <c r="C37" i="68"/>
  <c r="C38" i="68"/>
  <c r="C33" i="68"/>
  <c r="C39" i="68"/>
  <c r="C42" i="68"/>
  <c r="C43" i="68"/>
  <c r="C41" i="68"/>
  <c r="C46" i="68"/>
  <c r="C45"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C23" i="15"/>
  <c r="F26" i="15"/>
  <c r="C26"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F35" i="9"/>
  <c r="F34" i="9"/>
  <c r="C19" i="85"/>
  <c r="D19" i="85"/>
  <c r="G19" i="85"/>
  <c r="F35" i="85"/>
  <c r="F34" i="85"/>
  <c r="C32" i="85"/>
  <c r="H118" i="85"/>
  <c r="C11" i="39"/>
  <c r="N6" i="1"/>
  <c r="D37" i="74"/>
  <c r="F11" i="39"/>
  <c r="AA11" i="39"/>
  <c r="R47" i="39"/>
  <c r="H11" i="39"/>
  <c r="AB11" i="39"/>
  <c r="T47"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N14" i="1"/>
  <c r="N16" i="1"/>
  <c r="F50" i="68"/>
  <c r="Y6" i="1"/>
  <c r="C32" i="9"/>
  <c r="B3" i="68"/>
  <c r="C57" i="68"/>
  <c r="C35" i="9"/>
  <c r="D35" i="9"/>
  <c r="C34" i="9"/>
  <c r="D118" i="9"/>
  <c r="D28" i="74"/>
  <c r="D29" i="74"/>
  <c r="D32" i="74"/>
  <c r="F118" i="9"/>
  <c r="F28" i="74"/>
  <c r="F29" i="74"/>
  <c r="F32" i="74"/>
  <c r="H32" i="74"/>
  <c r="D36" i="74"/>
  <c r="H118" i="9"/>
  <c r="I118" i="9"/>
  <c r="D45" i="9"/>
  <c r="M48" i="9"/>
  <c r="M49" i="9"/>
  <c r="C64" i="9"/>
  <c r="C63" i="9"/>
  <c r="C67" i="9"/>
  <c r="C68" i="9"/>
  <c r="D54" i="9"/>
  <c r="D48" i="9"/>
  <c r="M52" i="9"/>
  <c r="D55" i="9"/>
  <c r="M53" i="9"/>
  <c r="C72" i="9"/>
  <c r="C78" i="9"/>
  <c r="C77" i="9"/>
  <c r="C74" i="9"/>
  <c r="C73" i="9"/>
  <c r="C79" i="9"/>
  <c r="C80" i="9"/>
  <c r="C81" i="9"/>
  <c r="D58" i="9"/>
  <c r="D56" i="9"/>
  <c r="M54" i="9"/>
  <c r="N57" i="9"/>
  <c r="N59" i="9"/>
  <c r="D45" i="85"/>
  <c r="M48" i="85"/>
  <c r="M49" i="85"/>
  <c r="C64" i="85"/>
  <c r="C63" i="85"/>
  <c r="C67" i="85"/>
  <c r="C68" i="85"/>
  <c r="D54" i="85"/>
  <c r="D48" i="85"/>
  <c r="M52" i="85"/>
  <c r="D55" i="85"/>
  <c r="M53" i="85"/>
  <c r="C72" i="85"/>
  <c r="C78" i="85"/>
  <c r="C77" i="85"/>
  <c r="C74" i="85"/>
  <c r="C73" i="85"/>
  <c r="C79" i="85"/>
  <c r="C80" i="85"/>
  <c r="C81" i="85"/>
  <c r="D58" i="85"/>
  <c r="D56" i="85"/>
  <c r="M54" i="85"/>
  <c r="N57" i="85"/>
  <c r="N59" i="85"/>
  <c r="I14" i="74"/>
  <c r="I15" i="74"/>
  <c r="G15" i="74"/>
  <c r="H15" i="74"/>
  <c r="D15" i="74"/>
  <c r="C15" i="74"/>
  <c r="B15" i="74"/>
  <c r="D5" i="73"/>
  <c r="G1" i="73"/>
  <c r="J71" i="39"/>
  <c r="K71" i="39"/>
  <c r="L71" i="39"/>
  <c r="M71" i="39"/>
  <c r="N71" i="39"/>
  <c r="O71" i="39"/>
  <c r="P71" i="39"/>
  <c r="Q71" i="39"/>
  <c r="R71" i="39"/>
  <c r="S71" i="39"/>
  <c r="E71" i="39"/>
  <c r="F71" i="39"/>
  <c r="G71" i="39"/>
  <c r="H71" i="39"/>
  <c r="D71" i="39"/>
  <c r="I71" i="39"/>
  <c r="I46" i="39"/>
  <c r="I38" i="39"/>
  <c r="I7" i="39"/>
  <c r="I5" i="39"/>
  <c r="G46" i="39"/>
  <c r="E46" i="39"/>
  <c r="G38" i="39"/>
  <c r="E38" i="39"/>
  <c r="G7" i="39"/>
  <c r="E7" i="39"/>
  <c r="G5" i="39"/>
  <c r="E5" i="39"/>
  <c r="C1" i="73"/>
  <c r="J1" i="73"/>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24" i="68"/>
  <c r="C26" i="68"/>
  <c r="D22" i="68"/>
  <c r="C42" i="1"/>
  <c r="C30" i="68"/>
  <c r="C44" i="68"/>
  <c r="D41" i="68"/>
  <c r="C48" i="68"/>
  <c r="L1" i="73"/>
  <c r="F24" i="15"/>
  <c r="C24" i="15"/>
  <c r="C28" i="15"/>
  <c r="E15" i="4"/>
  <c r="F6" i="1"/>
  <c r="J51" i="15"/>
  <c r="B29" i="74"/>
  <c r="B28" i="74"/>
  <c r="AJ6" i="1"/>
  <c r="C75" i="85"/>
  <c r="C75" i="9"/>
  <c r="M135" i="85"/>
  <c r="L135" i="85"/>
  <c r="S134" i="85"/>
  <c r="R134" i="85"/>
  <c r="Q134" i="85"/>
  <c r="P134" i="85"/>
  <c r="O134" i="85"/>
  <c r="N134" i="85"/>
  <c r="M134" i="85"/>
  <c r="L134" i="85"/>
  <c r="M133" i="85"/>
  <c r="L133" i="85"/>
  <c r="M132" i="85"/>
  <c r="L132" i="85"/>
  <c r="A122" i="85"/>
  <c r="A120" i="85"/>
  <c r="A118" i="85"/>
  <c r="E111" i="85"/>
  <c r="A126" i="85"/>
  <c r="E109" i="85"/>
  <c r="A124" i="85"/>
  <c r="H108" i="85"/>
  <c r="H107" i="85"/>
  <c r="D122" i="85"/>
  <c r="D123" i="85"/>
  <c r="E107" i="85"/>
  <c r="H106" i="85"/>
  <c r="H105" i="85"/>
  <c r="H103" i="85"/>
  <c r="D120" i="85"/>
  <c r="H104" i="85"/>
  <c r="D101" i="85"/>
  <c r="C101" i="85"/>
  <c r="D93" i="85"/>
  <c r="C91" i="85"/>
  <c r="E90" i="85"/>
  <c r="D89" i="85"/>
  <c r="C89" i="85"/>
  <c r="C87" i="85"/>
  <c r="D78" i="85"/>
  <c r="H77" i="85"/>
  <c r="D77" i="85"/>
  <c r="C76" i="85"/>
  <c r="D68" i="85"/>
  <c r="F59" i="85"/>
  <c r="E59" i="85"/>
  <c r="D59" i="85"/>
  <c r="M55" i="85"/>
  <c r="K6" i="4"/>
  <c r="N56" i="85"/>
  <c r="M56" i="85"/>
  <c r="K56" i="85"/>
  <c r="J56" i="85"/>
  <c r="F56" i="85"/>
  <c r="O55" i="85"/>
  <c r="N55" i="85"/>
  <c r="K55" i="85"/>
  <c r="J55" i="85"/>
  <c r="J57" i="85"/>
  <c r="J59" i="85"/>
  <c r="J61" i="85"/>
  <c r="I55" i="85"/>
  <c r="F55" i="85"/>
  <c r="O53" i="85"/>
  <c r="O54" i="85"/>
  <c r="N54" i="85"/>
  <c r="F54" i="85"/>
  <c r="N53" i="85"/>
  <c r="F53" i="85"/>
  <c r="F52" i="85"/>
  <c r="K49" i="85"/>
  <c r="F48" i="85"/>
  <c r="O52" i="85"/>
  <c r="E48" i="85"/>
  <c r="N52" i="85"/>
  <c r="M47" i="85"/>
  <c r="F33" i="85"/>
  <c r="D27" i="85"/>
  <c r="C25" i="85"/>
  <c r="C24" i="85"/>
  <c r="M19" i="85"/>
  <c r="C118" i="85"/>
  <c r="L19" i="85"/>
  <c r="M18" i="85"/>
  <c r="B118" i="85"/>
  <c r="L18" i="85"/>
  <c r="C17" i="85"/>
  <c r="D17" i="85"/>
  <c r="C18" i="85"/>
  <c r="D18" i="85"/>
  <c r="L4" i="85"/>
  <c r="K4" i="85"/>
  <c r="A2" i="85"/>
  <c r="H1" i="85"/>
  <c r="C94" i="85"/>
  <c r="C92" i="85"/>
  <c r="D121" i="85"/>
  <c r="K120" i="85"/>
  <c r="F20" i="68"/>
  <c r="F20" i="15"/>
  <c r="C17" i="9"/>
  <c r="D17" i="9"/>
  <c r="C18" i="9"/>
  <c r="D18" i="9"/>
  <c r="O15" i="3"/>
  <c r="BE15" i="3"/>
  <c r="D91" i="39"/>
  <c r="E91" i="39"/>
  <c r="H17" i="39"/>
  <c r="AB17" i="39"/>
  <c r="F17" i="39"/>
  <c r="AA17" i="39"/>
  <c r="D99" i="39"/>
  <c r="I13" i="3"/>
  <c r="I5" i="3"/>
  <c r="F19" i="6"/>
  <c r="M5" i="3"/>
  <c r="K5" i="3"/>
  <c r="A7" i="1"/>
  <c r="K7" i="1"/>
  <c r="M7" i="1"/>
  <c r="A8" i="1"/>
  <c r="K8" i="1"/>
  <c r="M8" i="1"/>
  <c r="A9" i="1"/>
  <c r="K9" i="1"/>
  <c r="M9" i="1"/>
  <c r="A10" i="1"/>
  <c r="K10" i="1"/>
  <c r="M10"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c r="BM15" i="3"/>
  <c r="BM16" i="3"/>
  <c r="BM17" i="3"/>
  <c r="BM18" i="3"/>
  <c r="BL18" i="3"/>
  <c r="BM19" i="3"/>
  <c r="BM20" i="3"/>
  <c r="BM21" i="3"/>
  <c r="BM22" i="3"/>
  <c r="BM23" i="3"/>
  <c r="BM24" i="3"/>
  <c r="BM25" i="3"/>
  <c r="BM26" i="3"/>
  <c r="BL26" i="3"/>
  <c r="BM27" i="3"/>
  <c r="BM28" i="3"/>
  <c r="BM29" i="3"/>
  <c r="BM30" i="3"/>
  <c r="BL30" i="3"/>
  <c r="BM31" i="3"/>
  <c r="BM32" i="3"/>
  <c r="BM33" i="3"/>
  <c r="BM34" i="3"/>
  <c r="BL34" i="3"/>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c r="BN17" i="3"/>
  <c r="BN18" i="3"/>
  <c r="BN19" i="3"/>
  <c r="BN20" i="3"/>
  <c r="BL20" i="3"/>
  <c r="BN21" i="3"/>
  <c r="BN22" i="3"/>
  <c r="BN23" i="3"/>
  <c r="BN24" i="3"/>
  <c r="BL24" i="3"/>
  <c r="BN25" i="3"/>
  <c r="BN26" i="3"/>
  <c r="BN27" i="3"/>
  <c r="BN28" i="3"/>
  <c r="BL28" i="3"/>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c r="AC15" i="3"/>
  <c r="H16" i="3"/>
  <c r="AC16" i="3"/>
  <c r="G16" i="3"/>
  <c r="H17" i="3"/>
  <c r="G17" i="3"/>
  <c r="AC17" i="3"/>
  <c r="H18" i="3"/>
  <c r="AC18" i="3"/>
  <c r="G18" i="3"/>
  <c r="H19" i="3"/>
  <c r="G19" i="3"/>
  <c r="L132" i="9"/>
  <c r="AC19" i="3"/>
  <c r="AC20" i="3"/>
  <c r="H20" i="3"/>
  <c r="G20" i="3"/>
  <c r="L133" i="9"/>
  <c r="H21" i="3"/>
  <c r="AC21" i="3"/>
  <c r="G21" i="3"/>
  <c r="H22" i="3"/>
  <c r="AC22" i="3"/>
  <c r="H23" i="3"/>
  <c r="AC23" i="3"/>
  <c r="G23" i="3"/>
  <c r="H24" i="3"/>
  <c r="AC24" i="3"/>
  <c r="G24" i="3"/>
  <c r="H25" i="3"/>
  <c r="AC25" i="3"/>
  <c r="H26" i="3"/>
  <c r="AC26" i="3"/>
  <c r="G26" i="3"/>
  <c r="H27" i="3"/>
  <c r="G27" i="3"/>
  <c r="AC27" i="3"/>
  <c r="H28" i="3"/>
  <c r="AC28" i="3"/>
  <c r="H29" i="3"/>
  <c r="AC29" i="3"/>
  <c r="G29" i="3"/>
  <c r="H30" i="3"/>
  <c r="AC30" i="3"/>
  <c r="AC31" i="3"/>
  <c r="AC32" i="3"/>
  <c r="AC33" i="3"/>
  <c r="AC34" i="3"/>
  <c r="AC35" i="3"/>
  <c r="AC36" i="3"/>
  <c r="AC37" i="3"/>
  <c r="N19" i="6"/>
  <c r="D7" i="1"/>
  <c r="F7" i="1"/>
  <c r="G7" i="1"/>
  <c r="D8" i="1"/>
  <c r="F8" i="1"/>
  <c r="G8" i="1"/>
  <c r="D9" i="1"/>
  <c r="F9" i="1"/>
  <c r="D10" i="1"/>
  <c r="F10" i="1"/>
  <c r="G10" i="1"/>
  <c r="BB13" i="3"/>
  <c r="BB14" i="3"/>
  <c r="BB15" i="3"/>
  <c r="BB16" i="3"/>
  <c r="BB17" i="3"/>
  <c r="BB18" i="3"/>
  <c r="BB19" i="3"/>
  <c r="BB20" i="3"/>
  <c r="BB21" i="3"/>
  <c r="BB22" i="3"/>
  <c r="BB23" i="3"/>
  <c r="BB24" i="3"/>
  <c r="BB25" i="3"/>
  <c r="BA25" i="3"/>
  <c r="AZ25" i="3"/>
  <c r="BB26" i="3"/>
  <c r="BB27" i="3"/>
  <c r="BB28" i="3"/>
  <c r="BB29" i="3"/>
  <c r="BA29" i="3"/>
  <c r="AZ29" i="3"/>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c r="E70" i="82"/>
  <c r="E71" i="82"/>
  <c r="E72" i="82"/>
  <c r="R134" i="9"/>
  <c r="P134" i="9"/>
  <c r="N134" i="9"/>
  <c r="L134" i="9"/>
  <c r="O134" i="9"/>
  <c r="Q134" i="9"/>
  <c r="S134" i="9"/>
  <c r="M135" i="9"/>
  <c r="C7" i="40"/>
  <c r="C63" i="40"/>
  <c r="B22" i="1"/>
  <c r="E1" i="73"/>
  <c r="K1" i="7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F8" i="39"/>
  <c r="AA8" i="39"/>
  <c r="F9" i="39"/>
  <c r="AA9" i="39"/>
  <c r="D81" i="39"/>
  <c r="E81" i="39"/>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c r="BI479" i="3"/>
  <c r="BI480" i="3"/>
  <c r="BI481" i="3"/>
  <c r="BI482" i="3"/>
  <c r="BI483" i="3"/>
  <c r="BI484" i="3"/>
  <c r="BI485" i="3"/>
  <c r="BI486" i="3"/>
  <c r="BI487" i="3"/>
  <c r="BI488" i="3"/>
  <c r="BI489" i="3"/>
  <c r="BI490" i="3"/>
  <c r="BI491" i="3"/>
  <c r="BI492" i="3"/>
  <c r="BI493" i="3"/>
  <c r="BI494" i="3"/>
  <c r="BA494" i="3"/>
  <c r="BI495" i="3"/>
  <c r="BI496" i="3"/>
  <c r="BI497" i="3"/>
  <c r="BI498" i="3"/>
  <c r="BI499" i="3"/>
  <c r="BI500" i="3"/>
  <c r="BI501" i="3"/>
  <c r="BI502" i="3"/>
  <c r="BI503" i="3"/>
  <c r="BI504" i="3"/>
  <c r="BI505" i="3"/>
  <c r="BI506" i="3"/>
  <c r="BI507" i="3"/>
  <c r="BI508" i="3"/>
  <c r="BI509" i="3"/>
  <c r="BI510" i="3"/>
  <c r="BA510" i="3"/>
  <c r="BI511" i="3"/>
  <c r="BI512" i="3"/>
  <c r="BI513" i="3"/>
  <c r="BI514" i="3"/>
  <c r="BI515" i="3"/>
  <c r="BI516" i="3"/>
  <c r="BI517" i="3"/>
  <c r="BI518" i="3"/>
  <c r="BI519" i="3"/>
  <c r="BI520" i="3"/>
  <c r="BI521" i="3"/>
  <c r="BI522" i="3"/>
  <c r="BI523" i="3"/>
  <c r="BI524" i="3"/>
  <c r="BI525" i="3"/>
  <c r="BI526" i="3"/>
  <c r="BA526" i="3"/>
  <c r="BI527" i="3"/>
  <c r="BI528" i="3"/>
  <c r="BI529" i="3"/>
  <c r="BI530" i="3"/>
  <c r="BI531" i="3"/>
  <c r="BI532" i="3"/>
  <c r="BI533" i="3"/>
  <c r="BI534" i="3"/>
  <c r="BI535" i="3"/>
  <c r="BI536" i="3"/>
  <c r="BI537" i="3"/>
  <c r="BI538" i="3"/>
  <c r="BI539" i="3"/>
  <c r="BI540" i="3"/>
  <c r="BI541" i="3"/>
  <c r="BI542" i="3"/>
  <c r="BA542" i="3"/>
  <c r="BI543" i="3"/>
  <c r="BI544" i="3"/>
  <c r="BI545" i="3"/>
  <c r="BI546" i="3"/>
  <c r="BI547" i="3"/>
  <c r="BI548" i="3"/>
  <c r="BI549" i="3"/>
  <c r="BI550" i="3"/>
  <c r="BI551" i="3"/>
  <c r="BI552" i="3"/>
  <c r="BI553" i="3"/>
  <c r="BI554" i="3"/>
  <c r="BI555" i="3"/>
  <c r="BI556" i="3"/>
  <c r="BI557" i="3"/>
  <c r="BI558" i="3"/>
  <c r="BA558" i="3"/>
  <c r="BI559" i="3"/>
  <c r="BI560" i="3"/>
  <c r="BI561" i="3"/>
  <c r="BI562" i="3"/>
  <c r="BI563" i="3"/>
  <c r="BI564" i="3"/>
  <c r="BI565" i="3"/>
  <c r="BI566" i="3"/>
  <c r="BI567" i="3"/>
  <c r="BI568" i="3"/>
  <c r="BI569" i="3"/>
  <c r="BI570" i="3"/>
  <c r="BI571" i="3"/>
  <c r="BI572" i="3"/>
  <c r="BI573" i="3"/>
  <c r="BI574" i="3"/>
  <c r="BA574" i="3"/>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c r="BJ270" i="3"/>
  <c r="BJ271" i="3"/>
  <c r="BJ272" i="3"/>
  <c r="BJ273" i="3"/>
  <c r="BJ274" i="3"/>
  <c r="BJ275" i="3"/>
  <c r="BJ276" i="3"/>
  <c r="BJ277" i="3"/>
  <c r="BJ278" i="3"/>
  <c r="BJ279" i="3"/>
  <c r="BJ280" i="3"/>
  <c r="BJ281" i="3"/>
  <c r="BA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c r="BJ334" i="3"/>
  <c r="BJ335" i="3"/>
  <c r="BJ336" i="3"/>
  <c r="BJ337" i="3"/>
  <c r="BJ338" i="3"/>
  <c r="BJ339" i="3"/>
  <c r="BJ340" i="3"/>
  <c r="BJ341" i="3"/>
  <c r="BJ342" i="3"/>
  <c r="BJ343" i="3"/>
  <c r="BJ344" i="3"/>
  <c r="BJ345" i="3"/>
  <c r="BA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c r="BJ398" i="3"/>
  <c r="BJ399" i="3"/>
  <c r="BJ400" i="3"/>
  <c r="BJ401" i="3"/>
  <c r="BJ402" i="3"/>
  <c r="BJ403" i="3"/>
  <c r="BJ404" i="3"/>
  <c r="BJ405" i="3"/>
  <c r="BJ406" i="3"/>
  <c r="BJ407" i="3"/>
  <c r="BJ408" i="3"/>
  <c r="BJ409" i="3"/>
  <c r="BA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c r="BK205" i="3"/>
  <c r="BK206" i="3"/>
  <c r="BK207" i="3"/>
  <c r="BK208" i="3"/>
  <c r="BK209" i="3"/>
  <c r="BK210" i="3"/>
  <c r="BK211" i="3"/>
  <c r="BK212" i="3"/>
  <c r="BA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c r="BR203" i="3"/>
  <c r="BT203" i="3"/>
  <c r="BN204" i="3"/>
  <c r="BP204" i="3"/>
  <c r="BR204" i="3"/>
  <c r="BT204" i="3"/>
  <c r="BN205" i="3"/>
  <c r="BP205" i="3"/>
  <c r="BR205" i="3"/>
  <c r="BT205" i="3"/>
  <c r="BN206" i="3"/>
  <c r="BP206" i="3"/>
  <c r="BR206" i="3"/>
  <c r="BT206" i="3"/>
  <c r="BN207" i="3"/>
  <c r="BP207" i="3"/>
  <c r="BR207" i="3"/>
  <c r="BL207" i="3"/>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c r="BR235" i="3"/>
  <c r="BT235" i="3"/>
  <c r="BN236" i="3"/>
  <c r="BP236" i="3"/>
  <c r="BR236" i="3"/>
  <c r="BT236" i="3"/>
  <c r="BN237" i="3"/>
  <c r="BP237" i="3"/>
  <c r="BR237" i="3"/>
  <c r="BT237" i="3"/>
  <c r="BN238" i="3"/>
  <c r="BP238" i="3"/>
  <c r="BR238" i="3"/>
  <c r="BT238" i="3"/>
  <c r="BN239" i="3"/>
  <c r="BP239" i="3"/>
  <c r="BR239" i="3"/>
  <c r="BL239" i="3"/>
  <c r="BT239" i="3"/>
  <c r="BN240" i="3"/>
  <c r="BP240" i="3"/>
  <c r="BR240" i="3"/>
  <c r="BT240" i="3"/>
  <c r="BA241" i="3"/>
  <c r="BN241" i="3"/>
  <c r="BP241" i="3"/>
  <c r="BR241" i="3"/>
  <c r="BT241" i="3"/>
  <c r="BL241" i="3"/>
  <c r="AZ241" i="3"/>
  <c r="BN242" i="3"/>
  <c r="BP242" i="3"/>
  <c r="BR242" i="3"/>
  <c r="BT242" i="3"/>
  <c r="BN243" i="3"/>
  <c r="BP243" i="3"/>
  <c r="BL243" i="3"/>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c r="BR249" i="3"/>
  <c r="BT249" i="3"/>
  <c r="BN250" i="3"/>
  <c r="BP250" i="3"/>
  <c r="BR250" i="3"/>
  <c r="BT250" i="3"/>
  <c r="BN251" i="3"/>
  <c r="BP251" i="3"/>
  <c r="BL251" i="3"/>
  <c r="BR251" i="3"/>
  <c r="BT251" i="3"/>
  <c r="BN252" i="3"/>
  <c r="BP252" i="3"/>
  <c r="BR252" i="3"/>
  <c r="BT252" i="3"/>
  <c r="BN253" i="3"/>
  <c r="BP253" i="3"/>
  <c r="BR253" i="3"/>
  <c r="BT253" i="3"/>
  <c r="BN254" i="3"/>
  <c r="BP254" i="3"/>
  <c r="BR254" i="3"/>
  <c r="BT254" i="3"/>
  <c r="BA255" i="3"/>
  <c r="BN255" i="3"/>
  <c r="BP255" i="3"/>
  <c r="BR255" i="3"/>
  <c r="BT255" i="3"/>
  <c r="BL255" i="3"/>
  <c r="AZ255" i="3"/>
  <c r="BN256" i="3"/>
  <c r="BP256" i="3"/>
  <c r="BR256" i="3"/>
  <c r="BT256" i="3"/>
  <c r="BN257" i="3"/>
  <c r="BP257" i="3"/>
  <c r="BL257" i="3"/>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c r="BT263" i="3"/>
  <c r="BN264" i="3"/>
  <c r="BP264" i="3"/>
  <c r="BL264" i="3"/>
  <c r="BR264" i="3"/>
  <c r="BT264" i="3"/>
  <c r="BN265" i="3"/>
  <c r="BP265" i="3"/>
  <c r="BL265" i="3"/>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c r="BR299" i="3"/>
  <c r="BT299" i="3"/>
  <c r="BN300" i="3"/>
  <c r="BP300" i="3"/>
  <c r="BR300" i="3"/>
  <c r="BT300" i="3"/>
  <c r="BN301" i="3"/>
  <c r="BP301" i="3"/>
  <c r="BR301" i="3"/>
  <c r="BT301" i="3"/>
  <c r="BN302" i="3"/>
  <c r="BP302" i="3"/>
  <c r="BR302" i="3"/>
  <c r="BT302" i="3"/>
  <c r="BN303" i="3"/>
  <c r="BP303" i="3"/>
  <c r="BR303" i="3"/>
  <c r="BL303" i="3"/>
  <c r="BT303" i="3"/>
  <c r="BN304" i="3"/>
  <c r="BP304" i="3"/>
  <c r="BR304" i="3"/>
  <c r="BT304" i="3"/>
  <c r="BA305" i="3"/>
  <c r="BN305" i="3"/>
  <c r="BP305" i="3"/>
  <c r="BR305" i="3"/>
  <c r="BT305" i="3"/>
  <c r="BL305" i="3"/>
  <c r="AZ305" i="3"/>
  <c r="BN306" i="3"/>
  <c r="BP306" i="3"/>
  <c r="BL306" i="3"/>
  <c r="BR306" i="3"/>
  <c r="BT306" i="3"/>
  <c r="BN307" i="3"/>
  <c r="BP307" i="3"/>
  <c r="BL307" i="3"/>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c r="BR313" i="3"/>
  <c r="BT313" i="3"/>
  <c r="BN314" i="3"/>
  <c r="BP314" i="3"/>
  <c r="BR314" i="3"/>
  <c r="BT314" i="3"/>
  <c r="BN315" i="3"/>
  <c r="BP315" i="3"/>
  <c r="BL315" i="3"/>
  <c r="BR315" i="3"/>
  <c r="BT315" i="3"/>
  <c r="BN316" i="3"/>
  <c r="BP316" i="3"/>
  <c r="BR316" i="3"/>
  <c r="BT316" i="3"/>
  <c r="BN317" i="3"/>
  <c r="BP317" i="3"/>
  <c r="BR317" i="3"/>
  <c r="BT317" i="3"/>
  <c r="BN318" i="3"/>
  <c r="BP318" i="3"/>
  <c r="BR318" i="3"/>
  <c r="BT318" i="3"/>
  <c r="BA319" i="3"/>
  <c r="BN319" i="3"/>
  <c r="BP319" i="3"/>
  <c r="BR319" i="3"/>
  <c r="BT319" i="3"/>
  <c r="BL319" i="3"/>
  <c r="AZ319" i="3"/>
  <c r="BN320" i="3"/>
  <c r="BP320" i="3"/>
  <c r="BR320" i="3"/>
  <c r="BT320" i="3"/>
  <c r="BN321" i="3"/>
  <c r="BP321" i="3"/>
  <c r="BL321" i="3"/>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c r="BT327" i="3"/>
  <c r="BN328" i="3"/>
  <c r="BP328" i="3"/>
  <c r="BL328" i="3"/>
  <c r="BR328" i="3"/>
  <c r="BT328" i="3"/>
  <c r="BN329" i="3"/>
  <c r="BP329" i="3"/>
  <c r="BL329" i="3"/>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c r="BR363" i="3"/>
  <c r="BT363" i="3"/>
  <c r="BN364" i="3"/>
  <c r="BP364" i="3"/>
  <c r="BR364" i="3"/>
  <c r="BT364" i="3"/>
  <c r="BN365" i="3"/>
  <c r="BP365" i="3"/>
  <c r="BR365" i="3"/>
  <c r="BT365" i="3"/>
  <c r="BN366" i="3"/>
  <c r="BP366" i="3"/>
  <c r="BR366" i="3"/>
  <c r="BT366" i="3"/>
  <c r="BN367" i="3"/>
  <c r="BP367" i="3"/>
  <c r="BR367" i="3"/>
  <c r="BL367" i="3"/>
  <c r="BT367" i="3"/>
  <c r="BN368" i="3"/>
  <c r="BP368" i="3"/>
  <c r="BR368" i="3"/>
  <c r="BT368" i="3"/>
  <c r="BA369" i="3"/>
  <c r="BN369" i="3"/>
  <c r="BP369" i="3"/>
  <c r="BR369" i="3"/>
  <c r="BT369" i="3"/>
  <c r="BL369" i="3"/>
  <c r="AZ369" i="3"/>
  <c r="BN370" i="3"/>
  <c r="BP370" i="3"/>
  <c r="BL370" i="3"/>
  <c r="BR370" i="3"/>
  <c r="BT370" i="3"/>
  <c r="BN371" i="3"/>
  <c r="BP371" i="3"/>
  <c r="BL371" i="3"/>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c r="BR377" i="3"/>
  <c r="BT377" i="3"/>
  <c r="BN378" i="3"/>
  <c r="BP378" i="3"/>
  <c r="BR378" i="3"/>
  <c r="BT378" i="3"/>
  <c r="BN379" i="3"/>
  <c r="BP379" i="3"/>
  <c r="BL379" i="3"/>
  <c r="BR379" i="3"/>
  <c r="BT379" i="3"/>
  <c r="BN380" i="3"/>
  <c r="BP380" i="3"/>
  <c r="BR380" i="3"/>
  <c r="BT380" i="3"/>
  <c r="BN381" i="3"/>
  <c r="BP381" i="3"/>
  <c r="BR381" i="3"/>
  <c r="BT381" i="3"/>
  <c r="BN382" i="3"/>
  <c r="BP382" i="3"/>
  <c r="BR382" i="3"/>
  <c r="BT382" i="3"/>
  <c r="BA383" i="3"/>
  <c r="BN383" i="3"/>
  <c r="BP383" i="3"/>
  <c r="BR383" i="3"/>
  <c r="BT383" i="3"/>
  <c r="BL383" i="3"/>
  <c r="AZ383" i="3"/>
  <c r="BN384" i="3"/>
  <c r="BP384" i="3"/>
  <c r="BR384" i="3"/>
  <c r="BT384" i="3"/>
  <c r="BN385" i="3"/>
  <c r="BP385" i="3"/>
  <c r="BL385" i="3"/>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c r="BT391" i="3"/>
  <c r="BN392" i="3"/>
  <c r="BP392" i="3"/>
  <c r="BL392" i="3"/>
  <c r="BR392" i="3"/>
  <c r="BT392" i="3"/>
  <c r="BN393" i="3"/>
  <c r="BP393" i="3"/>
  <c r="BL393" i="3"/>
  <c r="BR393" i="3"/>
  <c r="BT393" i="3"/>
  <c r="BN394" i="3"/>
  <c r="BP394" i="3"/>
  <c r="BR394" i="3"/>
  <c r="BT394" i="3"/>
  <c r="BN395" i="3"/>
  <c r="BP395" i="3"/>
  <c r="BR395" i="3"/>
  <c r="BL395" i="3"/>
  <c r="BT395" i="3"/>
  <c r="BN396" i="3"/>
  <c r="BP396" i="3"/>
  <c r="BR396" i="3"/>
  <c r="BT396" i="3"/>
  <c r="BN397" i="3"/>
  <c r="BP397" i="3"/>
  <c r="BR397" i="3"/>
  <c r="BT397" i="3"/>
  <c r="BN398" i="3"/>
  <c r="BP398" i="3"/>
  <c r="BR398" i="3"/>
  <c r="BT398" i="3"/>
  <c r="BN399" i="3"/>
  <c r="BP399" i="3"/>
  <c r="BR399" i="3"/>
  <c r="BL399" i="3"/>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c r="BT427" i="3"/>
  <c r="BN428" i="3"/>
  <c r="BP428" i="3"/>
  <c r="BR428" i="3"/>
  <c r="BT428" i="3"/>
  <c r="BN429" i="3"/>
  <c r="BP429" i="3"/>
  <c r="BR429" i="3"/>
  <c r="BT429" i="3"/>
  <c r="BN430" i="3"/>
  <c r="BP430" i="3"/>
  <c r="BR430" i="3"/>
  <c r="BT430" i="3"/>
  <c r="BN431" i="3"/>
  <c r="BP431" i="3"/>
  <c r="BR431" i="3"/>
  <c r="BL431" i="3"/>
  <c r="BT431" i="3"/>
  <c r="BN432" i="3"/>
  <c r="BP432" i="3"/>
  <c r="BR432" i="3"/>
  <c r="BT432" i="3"/>
  <c r="BA433" i="3"/>
  <c r="BN433" i="3"/>
  <c r="BP433" i="3"/>
  <c r="BR433" i="3"/>
  <c r="BT433" i="3"/>
  <c r="BL433" i="3"/>
  <c r="AZ433" i="3"/>
  <c r="BN434" i="3"/>
  <c r="BP434" i="3"/>
  <c r="BL434" i="3"/>
  <c r="BR434" i="3"/>
  <c r="BT434" i="3"/>
  <c r="BN435" i="3"/>
  <c r="BP435" i="3"/>
  <c r="BL435" i="3"/>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c r="BN442" i="3"/>
  <c r="BP442" i="3"/>
  <c r="BR442" i="3"/>
  <c r="BT442" i="3"/>
  <c r="BN443" i="3"/>
  <c r="BP443" i="3"/>
  <c r="BL443" i="3"/>
  <c r="BR443" i="3"/>
  <c r="BT443" i="3"/>
  <c r="BN444" i="3"/>
  <c r="BP444" i="3"/>
  <c r="BR444" i="3"/>
  <c r="BT444" i="3"/>
  <c r="BN445" i="3"/>
  <c r="BP445" i="3"/>
  <c r="BR445" i="3"/>
  <c r="BT445" i="3"/>
  <c r="BN446" i="3"/>
  <c r="BP446" i="3"/>
  <c r="BR446" i="3"/>
  <c r="BT446" i="3"/>
  <c r="BA447" i="3"/>
  <c r="BN447" i="3"/>
  <c r="BP447" i="3"/>
  <c r="BR447" i="3"/>
  <c r="BT447" i="3"/>
  <c r="BL447" i="3"/>
  <c r="AZ447" i="3"/>
  <c r="BN448" i="3"/>
  <c r="BP448" i="3"/>
  <c r="BR448" i="3"/>
  <c r="BT448" i="3"/>
  <c r="BN449" i="3"/>
  <c r="BP449" i="3"/>
  <c r="BL449" i="3"/>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c r="BT455" i="3"/>
  <c r="BN456" i="3"/>
  <c r="BP456" i="3"/>
  <c r="BL456" i="3"/>
  <c r="BR456" i="3"/>
  <c r="BT456" i="3"/>
  <c r="BN457" i="3"/>
  <c r="BP457" i="3"/>
  <c r="BL457" i="3"/>
  <c r="BR457" i="3"/>
  <c r="BT457" i="3"/>
  <c r="BN458" i="3"/>
  <c r="BP458" i="3"/>
  <c r="BR458" i="3"/>
  <c r="BT458" i="3"/>
  <c r="BN459" i="3"/>
  <c r="BP459" i="3"/>
  <c r="BR459" i="3"/>
  <c r="BL459" i="3"/>
  <c r="BT459" i="3"/>
  <c r="BN460" i="3"/>
  <c r="BP460" i="3"/>
  <c r="BR460" i="3"/>
  <c r="BT460" i="3"/>
  <c r="BN461" i="3"/>
  <c r="BP461" i="3"/>
  <c r="BR461" i="3"/>
  <c r="BT461" i="3"/>
  <c r="BN462" i="3"/>
  <c r="BP462" i="3"/>
  <c r="BR462" i="3"/>
  <c r="BT462" i="3"/>
  <c r="BN463" i="3"/>
  <c r="BP463" i="3"/>
  <c r="BR463" i="3"/>
  <c r="BL463" i="3"/>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c r="BR469" i="3"/>
  <c r="BT469" i="3"/>
  <c r="BN470" i="3"/>
  <c r="BP470" i="3"/>
  <c r="BR470" i="3"/>
  <c r="BT470" i="3"/>
  <c r="BN471" i="3"/>
  <c r="BP471" i="3"/>
  <c r="BR471" i="3"/>
  <c r="BT471" i="3"/>
  <c r="BN472" i="3"/>
  <c r="BP472" i="3"/>
  <c r="BR472" i="3"/>
  <c r="BT472" i="3"/>
  <c r="BA473" i="3"/>
  <c r="BN473" i="3"/>
  <c r="BP473" i="3"/>
  <c r="BR473" i="3"/>
  <c r="BT473" i="3"/>
  <c r="BL473" i="3"/>
  <c r="AZ473" i="3"/>
  <c r="BN474" i="3"/>
  <c r="BP474" i="3"/>
  <c r="BL474" i="3"/>
  <c r="BR474" i="3"/>
  <c r="BT474" i="3"/>
  <c r="BN475" i="3"/>
  <c r="BP475" i="3"/>
  <c r="BL475" i="3"/>
  <c r="BR475" i="3"/>
  <c r="BT475" i="3"/>
  <c r="BN476" i="3"/>
  <c r="BP476" i="3"/>
  <c r="BR476" i="3"/>
  <c r="BT476" i="3"/>
  <c r="BN477" i="3"/>
  <c r="BP477" i="3"/>
  <c r="BR477" i="3"/>
  <c r="BT477" i="3"/>
  <c r="BN478" i="3"/>
  <c r="BP478" i="3"/>
  <c r="BR478" i="3"/>
  <c r="BT478" i="3"/>
  <c r="BN479" i="3"/>
  <c r="BP479" i="3"/>
  <c r="BR479" i="3"/>
  <c r="BL479" i="3"/>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c r="BR485" i="3"/>
  <c r="BT485" i="3"/>
  <c r="BN486" i="3"/>
  <c r="BP486" i="3"/>
  <c r="BR486" i="3"/>
  <c r="BT486" i="3"/>
  <c r="BN487" i="3"/>
  <c r="BP487" i="3"/>
  <c r="BR487" i="3"/>
  <c r="BT487" i="3"/>
  <c r="BN488" i="3"/>
  <c r="BP488" i="3"/>
  <c r="BR488" i="3"/>
  <c r="BT488" i="3"/>
  <c r="BA489" i="3"/>
  <c r="BN489" i="3"/>
  <c r="BP489" i="3"/>
  <c r="BR489" i="3"/>
  <c r="BT489" i="3"/>
  <c r="BL489" i="3"/>
  <c r="AZ489" i="3"/>
  <c r="BN490" i="3"/>
  <c r="BP490" i="3"/>
  <c r="BL490" i="3"/>
  <c r="BR490" i="3"/>
  <c r="BT490" i="3"/>
  <c r="BN491" i="3"/>
  <c r="BP491" i="3"/>
  <c r="BL491" i="3"/>
  <c r="BR491" i="3"/>
  <c r="BT491" i="3"/>
  <c r="BN492" i="3"/>
  <c r="BP492" i="3"/>
  <c r="BR492" i="3"/>
  <c r="BT492" i="3"/>
  <c r="BN493" i="3"/>
  <c r="BP493" i="3"/>
  <c r="BR493" i="3"/>
  <c r="BT493" i="3"/>
  <c r="BN494" i="3"/>
  <c r="BP494" i="3"/>
  <c r="BR494" i="3"/>
  <c r="BT494" i="3"/>
  <c r="BN495" i="3"/>
  <c r="BP495" i="3"/>
  <c r="BR495" i="3"/>
  <c r="BL495" i="3"/>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c r="BR501" i="3"/>
  <c r="BT501" i="3"/>
  <c r="BN502" i="3"/>
  <c r="BP502" i="3"/>
  <c r="BR502" i="3"/>
  <c r="BT502" i="3"/>
  <c r="BN503" i="3"/>
  <c r="BP503" i="3"/>
  <c r="BR503" i="3"/>
  <c r="BT503" i="3"/>
  <c r="BN504" i="3"/>
  <c r="BP504" i="3"/>
  <c r="BR504" i="3"/>
  <c r="BT504" i="3"/>
  <c r="BA505" i="3"/>
  <c r="BN505" i="3"/>
  <c r="BP505" i="3"/>
  <c r="BR505" i="3"/>
  <c r="BT505" i="3"/>
  <c r="BL505" i="3"/>
  <c r="AZ505" i="3"/>
  <c r="BN506" i="3"/>
  <c r="BP506" i="3"/>
  <c r="BR506" i="3"/>
  <c r="BT506" i="3"/>
  <c r="BN507" i="3"/>
  <c r="BP507" i="3"/>
  <c r="BL507" i="3"/>
  <c r="BR507" i="3"/>
  <c r="BT507" i="3"/>
  <c r="BN508" i="3"/>
  <c r="BP508" i="3"/>
  <c r="BR508" i="3"/>
  <c r="BT508" i="3"/>
  <c r="BN509" i="3"/>
  <c r="BP509" i="3"/>
  <c r="BR509" i="3"/>
  <c r="BT509" i="3"/>
  <c r="BN510" i="3"/>
  <c r="BP510" i="3"/>
  <c r="BR510" i="3"/>
  <c r="BT510" i="3"/>
  <c r="BN511" i="3"/>
  <c r="BP511" i="3"/>
  <c r="BR511" i="3"/>
  <c r="BL511" i="3"/>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c r="BR517" i="3"/>
  <c r="BT517" i="3"/>
  <c r="BN518" i="3"/>
  <c r="BP518" i="3"/>
  <c r="BR518" i="3"/>
  <c r="BT518" i="3"/>
  <c r="BN519" i="3"/>
  <c r="BP519" i="3"/>
  <c r="BR519" i="3"/>
  <c r="BT519" i="3"/>
  <c r="BN520" i="3"/>
  <c r="BP520" i="3"/>
  <c r="BR520" i="3"/>
  <c r="BT520" i="3"/>
  <c r="BA521" i="3"/>
  <c r="BN521" i="3"/>
  <c r="BP521" i="3"/>
  <c r="BR521" i="3"/>
  <c r="BT521" i="3"/>
  <c r="BL521" i="3"/>
  <c r="AZ521" i="3"/>
  <c r="BN522" i="3"/>
  <c r="BP522" i="3"/>
  <c r="BR522" i="3"/>
  <c r="BT522" i="3"/>
  <c r="BN523" i="3"/>
  <c r="BP523" i="3"/>
  <c r="BL523" i="3"/>
  <c r="BR523" i="3"/>
  <c r="BT523" i="3"/>
  <c r="BN524" i="3"/>
  <c r="BP524" i="3"/>
  <c r="BR524" i="3"/>
  <c r="BT524" i="3"/>
  <c r="BN525" i="3"/>
  <c r="BP525" i="3"/>
  <c r="BR525" i="3"/>
  <c r="BT525" i="3"/>
  <c r="BN526" i="3"/>
  <c r="BP526" i="3"/>
  <c r="BR526" i="3"/>
  <c r="BT526" i="3"/>
  <c r="BN527" i="3"/>
  <c r="BP527" i="3"/>
  <c r="BR527" i="3"/>
  <c r="BL527" i="3"/>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c r="BR533" i="3"/>
  <c r="BT533" i="3"/>
  <c r="BN534" i="3"/>
  <c r="BP534" i="3"/>
  <c r="BR534" i="3"/>
  <c r="BT534" i="3"/>
  <c r="BN535" i="3"/>
  <c r="BP535" i="3"/>
  <c r="BR535" i="3"/>
  <c r="BT535" i="3"/>
  <c r="BN536" i="3"/>
  <c r="BP536" i="3"/>
  <c r="BR536" i="3"/>
  <c r="BT536" i="3"/>
  <c r="BA537" i="3"/>
  <c r="BN537" i="3"/>
  <c r="BP537" i="3"/>
  <c r="BR537" i="3"/>
  <c r="BT537" i="3"/>
  <c r="BL537" i="3"/>
  <c r="AZ537" i="3"/>
  <c r="BN538" i="3"/>
  <c r="BP538" i="3"/>
  <c r="BR538" i="3"/>
  <c r="BT538" i="3"/>
  <c r="BN539" i="3"/>
  <c r="BP539" i="3"/>
  <c r="BL539" i="3"/>
  <c r="BR539" i="3"/>
  <c r="BT539" i="3"/>
  <c r="BN540" i="3"/>
  <c r="BP540" i="3"/>
  <c r="BR540" i="3"/>
  <c r="BT540" i="3"/>
  <c r="BN541" i="3"/>
  <c r="BP541" i="3"/>
  <c r="BR541" i="3"/>
  <c r="BT541" i="3"/>
  <c r="BN542" i="3"/>
  <c r="BP542" i="3"/>
  <c r="BR542" i="3"/>
  <c r="BT542" i="3"/>
  <c r="BN543" i="3"/>
  <c r="BP543" i="3"/>
  <c r="BR543" i="3"/>
  <c r="BL543" i="3"/>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c r="BR549" i="3"/>
  <c r="BT549" i="3"/>
  <c r="BN550" i="3"/>
  <c r="BP550" i="3"/>
  <c r="BR550" i="3"/>
  <c r="BT550" i="3"/>
  <c r="BN551" i="3"/>
  <c r="BP551" i="3"/>
  <c r="BR551" i="3"/>
  <c r="BT551" i="3"/>
  <c r="BN552" i="3"/>
  <c r="BP552" i="3"/>
  <c r="BR552" i="3"/>
  <c r="BT552" i="3"/>
  <c r="BA553" i="3"/>
  <c r="BN553" i="3"/>
  <c r="BP553" i="3"/>
  <c r="BR553" i="3"/>
  <c r="BT553" i="3"/>
  <c r="BL553" i="3"/>
  <c r="AZ553" i="3"/>
  <c r="BN554" i="3"/>
  <c r="BP554" i="3"/>
  <c r="BR554" i="3"/>
  <c r="BT554" i="3"/>
  <c r="BN555" i="3"/>
  <c r="BP555" i="3"/>
  <c r="BL555" i="3"/>
  <c r="BR555" i="3"/>
  <c r="BT555" i="3"/>
  <c r="BN556" i="3"/>
  <c r="BP556" i="3"/>
  <c r="BR556" i="3"/>
  <c r="BT556" i="3"/>
  <c r="BN557" i="3"/>
  <c r="BP557" i="3"/>
  <c r="BR557" i="3"/>
  <c r="BT557" i="3"/>
  <c r="BN558" i="3"/>
  <c r="BP558" i="3"/>
  <c r="BR558" i="3"/>
  <c r="BT558" i="3"/>
  <c r="BN559" i="3"/>
  <c r="BP559" i="3"/>
  <c r="BR559" i="3"/>
  <c r="BL559" i="3"/>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c r="BR565" i="3"/>
  <c r="BT565" i="3"/>
  <c r="BN566" i="3"/>
  <c r="BP566" i="3"/>
  <c r="BR566" i="3"/>
  <c r="BT566" i="3"/>
  <c r="BN567" i="3"/>
  <c r="BP567" i="3"/>
  <c r="BR567" i="3"/>
  <c r="BT567" i="3"/>
  <c r="BN568" i="3"/>
  <c r="BP568" i="3"/>
  <c r="BR568" i="3"/>
  <c r="BT568" i="3"/>
  <c r="BA569" i="3"/>
  <c r="BN569" i="3"/>
  <c r="BP569" i="3"/>
  <c r="BR569" i="3"/>
  <c r="BT569" i="3"/>
  <c r="BL569" i="3"/>
  <c r="AZ569" i="3"/>
  <c r="BN570" i="3"/>
  <c r="BP570" i="3"/>
  <c r="BL570" i="3"/>
  <c r="BR570" i="3"/>
  <c r="BT570" i="3"/>
  <c r="BN571" i="3"/>
  <c r="BP571" i="3"/>
  <c r="BL571" i="3"/>
  <c r="BR571" i="3"/>
  <c r="BT571" i="3"/>
  <c r="BN572" i="3"/>
  <c r="BP572" i="3"/>
  <c r="BR572" i="3"/>
  <c r="BT572" i="3"/>
  <c r="BN573" i="3"/>
  <c r="BP573" i="3"/>
  <c r="BR573" i="3"/>
  <c r="BT573" i="3"/>
  <c r="BN574" i="3"/>
  <c r="BP574" i="3"/>
  <c r="BR574" i="3"/>
  <c r="BT574" i="3"/>
  <c r="BN575" i="3"/>
  <c r="BP575" i="3"/>
  <c r="BR575" i="3"/>
  <c r="BL575" i="3"/>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c r="BR581" i="3"/>
  <c r="BT581" i="3"/>
  <c r="BN582" i="3"/>
  <c r="BP582" i="3"/>
  <c r="BR582" i="3"/>
  <c r="BT582" i="3"/>
  <c r="BN583" i="3"/>
  <c r="BP583" i="3"/>
  <c r="BR583" i="3"/>
  <c r="BT583" i="3"/>
  <c r="BN584" i="3"/>
  <c r="BP584" i="3"/>
  <c r="BR584" i="3"/>
  <c r="BT584" i="3"/>
  <c r="BA585" i="3"/>
  <c r="BN585" i="3"/>
  <c r="BP585" i="3"/>
  <c r="BL585" i="3"/>
  <c r="AZ585" i="3"/>
  <c r="BR585" i="3"/>
  <c r="BT585" i="3"/>
  <c r="BN586" i="3"/>
  <c r="BP586" i="3"/>
  <c r="BL586" i="3"/>
  <c r="BR586" i="3"/>
  <c r="BT586" i="3"/>
  <c r="BN587" i="3"/>
  <c r="BP587" i="3"/>
  <c r="BL587" i="3"/>
  <c r="BR587" i="3"/>
  <c r="BT587" i="3"/>
  <c r="H31" i="3"/>
  <c r="G31" i="3"/>
  <c r="H32" i="3"/>
  <c r="H33" i="3"/>
  <c r="G33" i="3"/>
  <c r="H34" i="3"/>
  <c r="G34" i="3"/>
  <c r="H35" i="3"/>
  <c r="G35" i="3"/>
  <c r="H36" i="3"/>
  <c r="H37" i="3"/>
  <c r="G37" i="3"/>
  <c r="H38" i="3"/>
  <c r="AC38" i="3"/>
  <c r="G38" i="3"/>
  <c r="H39" i="3"/>
  <c r="AC39" i="3"/>
  <c r="G39" i="3"/>
  <c r="H40" i="3"/>
  <c r="AC40" i="3"/>
  <c r="H41" i="3"/>
  <c r="AC41" i="3"/>
  <c r="G41" i="3"/>
  <c r="H42" i="3"/>
  <c r="AC42" i="3"/>
  <c r="G42" i="3"/>
  <c r="H43" i="3"/>
  <c r="AC43" i="3"/>
  <c r="H44" i="3"/>
  <c r="AC44" i="3"/>
  <c r="G44" i="3"/>
  <c r="H45" i="3"/>
  <c r="G45" i="3"/>
  <c r="AC45" i="3"/>
  <c r="H46" i="3"/>
  <c r="AC46" i="3"/>
  <c r="G46" i="3"/>
  <c r="H47" i="3"/>
  <c r="AC47" i="3"/>
  <c r="G47" i="3"/>
  <c r="H48" i="3"/>
  <c r="AC48" i="3"/>
  <c r="H49" i="3"/>
  <c r="AC49" i="3"/>
  <c r="G49" i="3"/>
  <c r="H50" i="3"/>
  <c r="AC50" i="3"/>
  <c r="G50" i="3"/>
  <c r="H51" i="3"/>
  <c r="AC51" i="3"/>
  <c r="H52" i="3"/>
  <c r="AC52" i="3"/>
  <c r="G52" i="3"/>
  <c r="H53" i="3"/>
  <c r="G53" i="3"/>
  <c r="AC53" i="3"/>
  <c r="H54" i="3"/>
  <c r="AC54" i="3"/>
  <c r="G54" i="3"/>
  <c r="H55" i="3"/>
  <c r="AC55" i="3"/>
  <c r="G55" i="3"/>
  <c r="H56" i="3"/>
  <c r="AC56" i="3"/>
  <c r="H57" i="3"/>
  <c r="AC57" i="3"/>
  <c r="G57" i="3"/>
  <c r="H58" i="3"/>
  <c r="AC58" i="3"/>
  <c r="G58" i="3"/>
  <c r="H59" i="3"/>
  <c r="AC59" i="3"/>
  <c r="H60" i="3"/>
  <c r="AC60" i="3"/>
  <c r="G60" i="3"/>
  <c r="H61" i="3"/>
  <c r="G61" i="3"/>
  <c r="AC61" i="3"/>
  <c r="H62" i="3"/>
  <c r="AC62" i="3"/>
  <c r="G62" i="3"/>
  <c r="H63" i="3"/>
  <c r="AC63" i="3"/>
  <c r="G63" i="3"/>
  <c r="H64" i="3"/>
  <c r="AC64" i="3"/>
  <c r="H65" i="3"/>
  <c r="AC65" i="3"/>
  <c r="G65" i="3"/>
  <c r="H66" i="3"/>
  <c r="AC66" i="3"/>
  <c r="G66" i="3"/>
  <c r="H67" i="3"/>
  <c r="AC67" i="3"/>
  <c r="H68" i="3"/>
  <c r="AC68" i="3"/>
  <c r="G68" i="3"/>
  <c r="H69" i="3"/>
  <c r="G69" i="3"/>
  <c r="AC69" i="3"/>
  <c r="H70" i="3"/>
  <c r="AC70" i="3"/>
  <c r="G70" i="3"/>
  <c r="H71" i="3"/>
  <c r="AC71" i="3"/>
  <c r="G71" i="3"/>
  <c r="H72" i="3"/>
  <c r="AC72" i="3"/>
  <c r="H73" i="3"/>
  <c r="AC73" i="3"/>
  <c r="G73" i="3"/>
  <c r="H74" i="3"/>
  <c r="AC74" i="3"/>
  <c r="G74" i="3"/>
  <c r="H75" i="3"/>
  <c r="AC75" i="3"/>
  <c r="H76" i="3"/>
  <c r="AC76" i="3"/>
  <c r="G76" i="3"/>
  <c r="H77" i="3"/>
  <c r="G77" i="3"/>
  <c r="AC77" i="3"/>
  <c r="H78" i="3"/>
  <c r="AC78" i="3"/>
  <c r="G78" i="3"/>
  <c r="H79" i="3"/>
  <c r="AC79" i="3"/>
  <c r="G79" i="3"/>
  <c r="H80" i="3"/>
  <c r="AC80" i="3"/>
  <c r="H81" i="3"/>
  <c r="AC81" i="3"/>
  <c r="G81" i="3"/>
  <c r="H82" i="3"/>
  <c r="AC82" i="3"/>
  <c r="G82" i="3"/>
  <c r="H83" i="3"/>
  <c r="AC83" i="3"/>
  <c r="H84" i="3"/>
  <c r="AC84" i="3"/>
  <c r="G84" i="3"/>
  <c r="H85" i="3"/>
  <c r="G85" i="3"/>
  <c r="AC85" i="3"/>
  <c r="H86" i="3"/>
  <c r="AC86" i="3"/>
  <c r="G86" i="3"/>
  <c r="H87" i="3"/>
  <c r="AC87" i="3"/>
  <c r="G87" i="3"/>
  <c r="H88" i="3"/>
  <c r="AC88" i="3"/>
  <c r="H89" i="3"/>
  <c r="AC89" i="3"/>
  <c r="G89" i="3"/>
  <c r="H90" i="3"/>
  <c r="AC90" i="3"/>
  <c r="G90" i="3"/>
  <c r="H91" i="3"/>
  <c r="AC91" i="3"/>
  <c r="H92" i="3"/>
  <c r="AC92" i="3"/>
  <c r="G92" i="3"/>
  <c r="H93" i="3"/>
  <c r="G93" i="3"/>
  <c r="AC93" i="3"/>
  <c r="H94" i="3"/>
  <c r="AC94" i="3"/>
  <c r="G94" i="3"/>
  <c r="H95" i="3"/>
  <c r="AC95" i="3"/>
  <c r="G95" i="3"/>
  <c r="H96" i="3"/>
  <c r="AC96" i="3"/>
  <c r="H97" i="3"/>
  <c r="AC97" i="3"/>
  <c r="G97" i="3"/>
  <c r="H98" i="3"/>
  <c r="AC98" i="3"/>
  <c r="G98" i="3"/>
  <c r="H99" i="3"/>
  <c r="AC99" i="3"/>
  <c r="H100" i="3"/>
  <c r="AC100" i="3"/>
  <c r="G100" i="3"/>
  <c r="H101" i="3"/>
  <c r="G101" i="3"/>
  <c r="AC101" i="3"/>
  <c r="H102" i="3"/>
  <c r="AC102" i="3"/>
  <c r="G102" i="3"/>
  <c r="H103" i="3"/>
  <c r="AC103" i="3"/>
  <c r="G103" i="3"/>
  <c r="H104" i="3"/>
  <c r="AC104" i="3"/>
  <c r="H105" i="3"/>
  <c r="AC105" i="3"/>
  <c r="G105" i="3"/>
  <c r="H106" i="3"/>
  <c r="AC106" i="3"/>
  <c r="G106" i="3"/>
  <c r="H107" i="3"/>
  <c r="G107" i="3"/>
  <c r="AC107" i="3"/>
  <c r="H108" i="3"/>
  <c r="AC108" i="3"/>
  <c r="G108" i="3"/>
  <c r="H109" i="3"/>
  <c r="G109" i="3"/>
  <c r="AC109" i="3"/>
  <c r="H110" i="3"/>
  <c r="AC110" i="3"/>
  <c r="G110" i="3"/>
  <c r="H111" i="3"/>
  <c r="AC111" i="3"/>
  <c r="G111" i="3"/>
  <c r="H112" i="3"/>
  <c r="AC112" i="3"/>
  <c r="H113" i="3"/>
  <c r="AC113" i="3"/>
  <c r="G113" i="3"/>
  <c r="H114" i="3"/>
  <c r="AC114" i="3"/>
  <c r="G114" i="3"/>
  <c r="H115" i="3"/>
  <c r="G115" i="3"/>
  <c r="AC115" i="3"/>
  <c r="H116" i="3"/>
  <c r="AC116" i="3"/>
  <c r="G116" i="3"/>
  <c r="H117" i="3"/>
  <c r="G117" i="3"/>
  <c r="AC117" i="3"/>
  <c r="H118" i="3"/>
  <c r="AC118" i="3"/>
  <c r="H119" i="3"/>
  <c r="AC119" i="3"/>
  <c r="G119" i="3"/>
  <c r="H120" i="3"/>
  <c r="AC120" i="3"/>
  <c r="H121" i="3"/>
  <c r="AC121" i="3"/>
  <c r="G121" i="3"/>
  <c r="H122" i="3"/>
  <c r="AC122" i="3"/>
  <c r="G122" i="3"/>
  <c r="H123" i="3"/>
  <c r="G123" i="3"/>
  <c r="AC123" i="3"/>
  <c r="H124" i="3"/>
  <c r="AC124" i="3"/>
  <c r="G124" i="3"/>
  <c r="H125" i="3"/>
  <c r="G125" i="3"/>
  <c r="AC125" i="3"/>
  <c r="H126" i="3"/>
  <c r="AC126" i="3"/>
  <c r="H127" i="3"/>
  <c r="AC127" i="3"/>
  <c r="G127" i="3"/>
  <c r="H128" i="3"/>
  <c r="AC128" i="3"/>
  <c r="H129" i="3"/>
  <c r="AC129" i="3"/>
  <c r="G129" i="3"/>
  <c r="H130" i="3"/>
  <c r="AC130" i="3"/>
  <c r="G130" i="3"/>
  <c r="H131" i="3"/>
  <c r="G131" i="3"/>
  <c r="AC131" i="3"/>
  <c r="H132" i="3"/>
  <c r="AC132" i="3"/>
  <c r="G132" i="3"/>
  <c r="H133" i="3"/>
  <c r="G133" i="3"/>
  <c r="AC133" i="3"/>
  <c r="H134" i="3"/>
  <c r="AC134" i="3"/>
  <c r="H135" i="3"/>
  <c r="AC135" i="3"/>
  <c r="G135" i="3"/>
  <c r="H136" i="3"/>
  <c r="AC136" i="3"/>
  <c r="H137" i="3"/>
  <c r="AC137" i="3"/>
  <c r="G137" i="3"/>
  <c r="H138" i="3"/>
  <c r="AC138" i="3"/>
  <c r="G138" i="3"/>
  <c r="H139" i="3"/>
  <c r="G139" i="3"/>
  <c r="AC139" i="3"/>
  <c r="H140" i="3"/>
  <c r="AC140" i="3"/>
  <c r="G140" i="3"/>
  <c r="H141" i="3"/>
  <c r="G141" i="3"/>
  <c r="AC141" i="3"/>
  <c r="H142" i="3"/>
  <c r="AC142" i="3"/>
  <c r="H143" i="3"/>
  <c r="AC143" i="3"/>
  <c r="G143" i="3"/>
  <c r="H144" i="3"/>
  <c r="AC144" i="3"/>
  <c r="H145" i="3"/>
  <c r="AC145" i="3"/>
  <c r="G145" i="3"/>
  <c r="H146" i="3"/>
  <c r="AC146" i="3"/>
  <c r="G146" i="3"/>
  <c r="H147" i="3"/>
  <c r="G147" i="3"/>
  <c r="AC147" i="3"/>
  <c r="H148" i="3"/>
  <c r="AC148" i="3"/>
  <c r="G148" i="3"/>
  <c r="H149" i="3"/>
  <c r="G149" i="3"/>
  <c r="AC149" i="3"/>
  <c r="H150" i="3"/>
  <c r="AC150" i="3"/>
  <c r="H151" i="3"/>
  <c r="AC151" i="3"/>
  <c r="G151" i="3"/>
  <c r="H152" i="3"/>
  <c r="AC152" i="3"/>
  <c r="H153" i="3"/>
  <c r="AC153" i="3"/>
  <c r="G153" i="3"/>
  <c r="H154" i="3"/>
  <c r="AC154" i="3"/>
  <c r="G154" i="3"/>
  <c r="H155" i="3"/>
  <c r="G155" i="3"/>
  <c r="AC155" i="3"/>
  <c r="H156" i="3"/>
  <c r="AC156" i="3"/>
  <c r="G156" i="3"/>
  <c r="H157" i="3"/>
  <c r="G157" i="3"/>
  <c r="AC157" i="3"/>
  <c r="H158" i="3"/>
  <c r="AC158" i="3"/>
  <c r="H159" i="3"/>
  <c r="AC159" i="3"/>
  <c r="G159" i="3"/>
  <c r="H160" i="3"/>
  <c r="AC160" i="3"/>
  <c r="H161" i="3"/>
  <c r="AC161" i="3"/>
  <c r="G161" i="3"/>
  <c r="H162" i="3"/>
  <c r="AC162" i="3"/>
  <c r="G162" i="3"/>
  <c r="H163" i="3"/>
  <c r="G163" i="3"/>
  <c r="AC163" i="3"/>
  <c r="H164" i="3"/>
  <c r="AC164" i="3"/>
  <c r="G164" i="3"/>
  <c r="H165" i="3"/>
  <c r="G165" i="3"/>
  <c r="AC165" i="3"/>
  <c r="H166" i="3"/>
  <c r="AC166" i="3"/>
  <c r="H167" i="3"/>
  <c r="AC167" i="3"/>
  <c r="G167" i="3"/>
  <c r="H168" i="3"/>
  <c r="AC168" i="3"/>
  <c r="H169" i="3"/>
  <c r="AC169" i="3"/>
  <c r="G169" i="3"/>
  <c r="H170" i="3"/>
  <c r="AC170" i="3"/>
  <c r="G170" i="3"/>
  <c r="H171" i="3"/>
  <c r="G171" i="3"/>
  <c r="AC171" i="3"/>
  <c r="H172" i="3"/>
  <c r="AC172" i="3"/>
  <c r="G172" i="3"/>
  <c r="H173" i="3"/>
  <c r="G173" i="3"/>
  <c r="AC173" i="3"/>
  <c r="H174" i="3"/>
  <c r="AC174" i="3"/>
  <c r="H175" i="3"/>
  <c r="AC175" i="3"/>
  <c r="G175" i="3"/>
  <c r="H176" i="3"/>
  <c r="AC176" i="3"/>
  <c r="H177" i="3"/>
  <c r="AC177" i="3"/>
  <c r="G177" i="3"/>
  <c r="H178" i="3"/>
  <c r="AC178" i="3"/>
  <c r="G178" i="3"/>
  <c r="H179" i="3"/>
  <c r="G179" i="3"/>
  <c r="AC179" i="3"/>
  <c r="H180" i="3"/>
  <c r="AC180" i="3"/>
  <c r="G180" i="3"/>
  <c r="H181" i="3"/>
  <c r="G181" i="3"/>
  <c r="AC181" i="3"/>
  <c r="H182" i="3"/>
  <c r="AC182" i="3"/>
  <c r="H183" i="3"/>
  <c r="AC183" i="3"/>
  <c r="G183" i="3"/>
  <c r="H184" i="3"/>
  <c r="AC184" i="3"/>
  <c r="H185" i="3"/>
  <c r="AC185" i="3"/>
  <c r="G185" i="3"/>
  <c r="H186" i="3"/>
  <c r="AC186" i="3"/>
  <c r="G186" i="3"/>
  <c r="H187" i="3"/>
  <c r="G187" i="3"/>
  <c r="AC187" i="3"/>
  <c r="H188" i="3"/>
  <c r="AC188" i="3"/>
  <c r="G188" i="3"/>
  <c r="H189" i="3"/>
  <c r="G189" i="3"/>
  <c r="AC189" i="3"/>
  <c r="H190" i="3"/>
  <c r="AC190" i="3"/>
  <c r="H191" i="3"/>
  <c r="AC191" i="3"/>
  <c r="G191" i="3"/>
  <c r="H192" i="3"/>
  <c r="AC192" i="3"/>
  <c r="H193" i="3"/>
  <c r="AC193" i="3"/>
  <c r="G193" i="3"/>
  <c r="H194" i="3"/>
  <c r="AC194" i="3"/>
  <c r="G194" i="3"/>
  <c r="H195" i="3"/>
  <c r="G195" i="3"/>
  <c r="AC195" i="3"/>
  <c r="H196" i="3"/>
  <c r="AC196" i="3"/>
  <c r="G196" i="3"/>
  <c r="H197" i="3"/>
  <c r="G197" i="3"/>
  <c r="AC197" i="3"/>
  <c r="H198" i="3"/>
  <c r="AC198" i="3"/>
  <c r="H199" i="3"/>
  <c r="AC199" i="3"/>
  <c r="G199" i="3"/>
  <c r="H200" i="3"/>
  <c r="AC200" i="3"/>
  <c r="H201" i="3"/>
  <c r="AC201" i="3"/>
  <c r="G201" i="3"/>
  <c r="H202" i="3"/>
  <c r="AC202" i="3"/>
  <c r="G202" i="3"/>
  <c r="H203" i="3"/>
  <c r="G203" i="3"/>
  <c r="AC203" i="3"/>
  <c r="H204" i="3"/>
  <c r="AC204" i="3"/>
  <c r="G204" i="3"/>
  <c r="H205" i="3"/>
  <c r="G205" i="3"/>
  <c r="AC205" i="3"/>
  <c r="H206" i="3"/>
  <c r="AC206" i="3"/>
  <c r="H207" i="3"/>
  <c r="AC207" i="3"/>
  <c r="G207" i="3"/>
  <c r="H208" i="3"/>
  <c r="AC208" i="3"/>
  <c r="H209" i="3"/>
  <c r="AC209" i="3"/>
  <c r="G209" i="3"/>
  <c r="H210" i="3"/>
  <c r="AC210" i="3"/>
  <c r="G210" i="3"/>
  <c r="H211" i="3"/>
  <c r="G211" i="3"/>
  <c r="AC211" i="3"/>
  <c r="H212" i="3"/>
  <c r="AC212" i="3"/>
  <c r="G212" i="3"/>
  <c r="H213" i="3"/>
  <c r="G213" i="3"/>
  <c r="AC213" i="3"/>
  <c r="H214" i="3"/>
  <c r="AC214" i="3"/>
  <c r="H215" i="3"/>
  <c r="AC215" i="3"/>
  <c r="G215" i="3"/>
  <c r="H216" i="3"/>
  <c r="AC216" i="3"/>
  <c r="H217" i="3"/>
  <c r="AC217" i="3"/>
  <c r="G217" i="3"/>
  <c r="H218" i="3"/>
  <c r="AC218" i="3"/>
  <c r="G218" i="3"/>
  <c r="H219" i="3"/>
  <c r="G219" i="3"/>
  <c r="AC219" i="3"/>
  <c r="H220" i="3"/>
  <c r="AC220" i="3"/>
  <c r="G220" i="3"/>
  <c r="H221" i="3"/>
  <c r="G221" i="3"/>
  <c r="AC221" i="3"/>
  <c r="H222" i="3"/>
  <c r="AC222" i="3"/>
  <c r="H223" i="3"/>
  <c r="AC223" i="3"/>
  <c r="G223" i="3"/>
  <c r="H224" i="3"/>
  <c r="AC224" i="3"/>
  <c r="H225" i="3"/>
  <c r="AC225" i="3"/>
  <c r="G225" i="3"/>
  <c r="H226" i="3"/>
  <c r="AC226" i="3"/>
  <c r="G226" i="3"/>
  <c r="H227" i="3"/>
  <c r="G227" i="3"/>
  <c r="AC227" i="3"/>
  <c r="H228" i="3"/>
  <c r="AC228" i="3"/>
  <c r="G228" i="3"/>
  <c r="H229" i="3"/>
  <c r="G229" i="3"/>
  <c r="AC229" i="3"/>
  <c r="H230" i="3"/>
  <c r="AC230" i="3"/>
  <c r="H231" i="3"/>
  <c r="AC231" i="3"/>
  <c r="G231" i="3"/>
  <c r="H232" i="3"/>
  <c r="AC232" i="3"/>
  <c r="H233" i="3"/>
  <c r="AC233" i="3"/>
  <c r="G233" i="3"/>
  <c r="H234" i="3"/>
  <c r="AC234" i="3"/>
  <c r="G234" i="3"/>
  <c r="H235" i="3"/>
  <c r="G235" i="3"/>
  <c r="AC235" i="3"/>
  <c r="H236" i="3"/>
  <c r="AC236" i="3"/>
  <c r="G236" i="3"/>
  <c r="H237" i="3"/>
  <c r="G237" i="3"/>
  <c r="AC237" i="3"/>
  <c r="H238" i="3"/>
  <c r="AC238" i="3"/>
  <c r="H239" i="3"/>
  <c r="AC239" i="3"/>
  <c r="G239" i="3"/>
  <c r="H240" i="3"/>
  <c r="AC240" i="3"/>
  <c r="H241" i="3"/>
  <c r="AC241" i="3"/>
  <c r="G241" i="3"/>
  <c r="H242" i="3"/>
  <c r="AC242" i="3"/>
  <c r="G242" i="3"/>
  <c r="H243" i="3"/>
  <c r="G243" i="3"/>
  <c r="AC243" i="3"/>
  <c r="H244" i="3"/>
  <c r="AC244" i="3"/>
  <c r="G244" i="3"/>
  <c r="H245" i="3"/>
  <c r="G245" i="3"/>
  <c r="AC245" i="3"/>
  <c r="H246" i="3"/>
  <c r="AC246" i="3"/>
  <c r="H247" i="3"/>
  <c r="AC247" i="3"/>
  <c r="G247" i="3"/>
  <c r="H248" i="3"/>
  <c r="AC248" i="3"/>
  <c r="H249" i="3"/>
  <c r="AC249" i="3"/>
  <c r="G249" i="3"/>
  <c r="H250" i="3"/>
  <c r="AC250" i="3"/>
  <c r="G250" i="3"/>
  <c r="H251" i="3"/>
  <c r="G251" i="3"/>
  <c r="AC251" i="3"/>
  <c r="H252" i="3"/>
  <c r="AC252" i="3"/>
  <c r="G252" i="3"/>
  <c r="H253" i="3"/>
  <c r="G253" i="3"/>
  <c r="AC253" i="3"/>
  <c r="H254" i="3"/>
  <c r="AC254" i="3"/>
  <c r="H255" i="3"/>
  <c r="AC255" i="3"/>
  <c r="G255" i="3"/>
  <c r="H256" i="3"/>
  <c r="AC256" i="3"/>
  <c r="H257" i="3"/>
  <c r="AC257" i="3"/>
  <c r="G257" i="3"/>
  <c r="H258" i="3"/>
  <c r="AC258" i="3"/>
  <c r="G258" i="3"/>
  <c r="H259" i="3"/>
  <c r="G259" i="3"/>
  <c r="AC259" i="3"/>
  <c r="H260" i="3"/>
  <c r="AC260" i="3"/>
  <c r="H261" i="3"/>
  <c r="G261" i="3"/>
  <c r="AC261" i="3"/>
  <c r="H262" i="3"/>
  <c r="AC262" i="3"/>
  <c r="G262" i="3"/>
  <c r="H263" i="3"/>
  <c r="AC263" i="3"/>
  <c r="G263" i="3"/>
  <c r="H264" i="3"/>
  <c r="AC264" i="3"/>
  <c r="H265" i="3"/>
  <c r="AC265" i="3"/>
  <c r="G265" i="3"/>
  <c r="H266" i="3"/>
  <c r="AC266" i="3"/>
  <c r="G266" i="3"/>
  <c r="H267" i="3"/>
  <c r="AC267" i="3"/>
  <c r="H268" i="3"/>
  <c r="AC268" i="3"/>
  <c r="G268" i="3"/>
  <c r="H269" i="3"/>
  <c r="G269" i="3"/>
  <c r="AC269" i="3"/>
  <c r="H270" i="3"/>
  <c r="AC270" i="3"/>
  <c r="H271" i="3"/>
  <c r="AC271" i="3"/>
  <c r="G271" i="3"/>
  <c r="H272" i="3"/>
  <c r="AC272" i="3"/>
  <c r="H273" i="3"/>
  <c r="AC273" i="3"/>
  <c r="G273" i="3"/>
  <c r="H274" i="3"/>
  <c r="AC274" i="3"/>
  <c r="G274" i="3"/>
  <c r="H275" i="3"/>
  <c r="G275" i="3"/>
  <c r="AC275" i="3"/>
  <c r="H276" i="3"/>
  <c r="AC276" i="3"/>
  <c r="H277" i="3"/>
  <c r="AC277" i="3"/>
  <c r="G277" i="3"/>
  <c r="H278" i="3"/>
  <c r="AC278" i="3"/>
  <c r="G278" i="3"/>
  <c r="H279" i="3"/>
  <c r="AC279" i="3"/>
  <c r="G279" i="3"/>
  <c r="H280" i="3"/>
  <c r="AC280" i="3"/>
  <c r="H281" i="3"/>
  <c r="G281" i="3"/>
  <c r="AC281" i="3"/>
  <c r="H282" i="3"/>
  <c r="AC282" i="3"/>
  <c r="G282" i="3"/>
  <c r="H283" i="3"/>
  <c r="AC283" i="3"/>
  <c r="H284" i="3"/>
  <c r="AC284" i="3"/>
  <c r="G284" i="3"/>
  <c r="H285" i="3"/>
  <c r="G285" i="3"/>
  <c r="AC285" i="3"/>
  <c r="H286" i="3"/>
  <c r="AC286" i="3"/>
  <c r="H287" i="3"/>
  <c r="AC287" i="3"/>
  <c r="G287" i="3"/>
  <c r="H288" i="3"/>
  <c r="AC288" i="3"/>
  <c r="H289" i="3"/>
  <c r="AC289" i="3"/>
  <c r="G289" i="3"/>
  <c r="H290" i="3"/>
  <c r="AC290" i="3"/>
  <c r="G290" i="3"/>
  <c r="H291" i="3"/>
  <c r="G291" i="3"/>
  <c r="AC291" i="3"/>
  <c r="H292" i="3"/>
  <c r="AC292" i="3"/>
  <c r="H293" i="3"/>
  <c r="G293" i="3"/>
  <c r="AC293" i="3"/>
  <c r="H294" i="3"/>
  <c r="AC294" i="3"/>
  <c r="G294" i="3"/>
  <c r="H295" i="3"/>
  <c r="AC295" i="3"/>
  <c r="G295" i="3"/>
  <c r="H296" i="3"/>
  <c r="G296" i="3"/>
  <c r="AC296" i="3"/>
  <c r="H297" i="3"/>
  <c r="AC297" i="3"/>
  <c r="G297" i="3"/>
  <c r="H298" i="3"/>
  <c r="AC298" i="3"/>
  <c r="G298" i="3"/>
  <c r="H299" i="3"/>
  <c r="AC299" i="3"/>
  <c r="H300" i="3"/>
  <c r="AC300" i="3"/>
  <c r="G300" i="3"/>
  <c r="H301" i="3"/>
  <c r="AC301" i="3"/>
  <c r="G301" i="3"/>
  <c r="H302" i="3"/>
  <c r="AC302" i="3"/>
  <c r="H303" i="3"/>
  <c r="AC303" i="3"/>
  <c r="G303" i="3"/>
  <c r="H304" i="3"/>
  <c r="G304" i="3"/>
  <c r="AC304" i="3"/>
  <c r="H305" i="3"/>
  <c r="AC305" i="3"/>
  <c r="H306" i="3"/>
  <c r="AC306" i="3"/>
  <c r="G306" i="3"/>
  <c r="H307" i="3"/>
  <c r="AC307" i="3"/>
  <c r="H308" i="3"/>
  <c r="AC308" i="3"/>
  <c r="G308" i="3"/>
  <c r="H309" i="3"/>
  <c r="AC309" i="3"/>
  <c r="G309" i="3"/>
  <c r="H310" i="3"/>
  <c r="G310" i="3"/>
  <c r="AC310" i="3"/>
  <c r="H311" i="3"/>
  <c r="AC311" i="3"/>
  <c r="H312" i="3"/>
  <c r="AC312" i="3"/>
  <c r="G312" i="3"/>
  <c r="H313" i="3"/>
  <c r="AC313" i="3"/>
  <c r="G313" i="3"/>
  <c r="H314" i="3"/>
  <c r="AC314" i="3"/>
  <c r="G314" i="3"/>
  <c r="H315" i="3"/>
  <c r="AC315" i="3"/>
  <c r="H316" i="3"/>
  <c r="G316" i="3"/>
  <c r="AC316" i="3"/>
  <c r="H317" i="3"/>
  <c r="AC317" i="3"/>
  <c r="G317" i="3"/>
  <c r="H318" i="3"/>
  <c r="AC318" i="3"/>
  <c r="H319" i="3"/>
  <c r="AC319" i="3"/>
  <c r="G319" i="3"/>
  <c r="H320" i="3"/>
  <c r="G320" i="3"/>
  <c r="AC320" i="3"/>
  <c r="H321" i="3"/>
  <c r="AC321" i="3"/>
  <c r="H322" i="3"/>
  <c r="AC322" i="3"/>
  <c r="G322" i="3"/>
  <c r="H323" i="3"/>
  <c r="AC323" i="3"/>
  <c r="H324" i="3"/>
  <c r="AC324" i="3"/>
  <c r="G324" i="3"/>
  <c r="H325" i="3"/>
  <c r="AC325" i="3"/>
  <c r="G325" i="3"/>
  <c r="H326" i="3"/>
  <c r="G326" i="3"/>
  <c r="AC326" i="3"/>
  <c r="H327" i="3"/>
  <c r="AC327" i="3"/>
  <c r="H328" i="3"/>
  <c r="G328" i="3"/>
  <c r="AC328" i="3"/>
  <c r="H329" i="3"/>
  <c r="AC329" i="3"/>
  <c r="G329" i="3"/>
  <c r="H330" i="3"/>
  <c r="AC330" i="3"/>
  <c r="G330" i="3"/>
  <c r="H331" i="3"/>
  <c r="AC331" i="3"/>
  <c r="H332" i="3"/>
  <c r="AC332" i="3"/>
  <c r="G332" i="3"/>
  <c r="H333" i="3"/>
  <c r="AC333" i="3"/>
  <c r="G333" i="3"/>
  <c r="H334" i="3"/>
  <c r="AC334" i="3"/>
  <c r="H335" i="3"/>
  <c r="AC335" i="3"/>
  <c r="G335" i="3"/>
  <c r="H336" i="3"/>
  <c r="G336" i="3"/>
  <c r="AC336" i="3"/>
  <c r="H337" i="3"/>
  <c r="AC337" i="3"/>
  <c r="H338" i="3"/>
  <c r="AC338" i="3"/>
  <c r="G338" i="3"/>
  <c r="H339" i="3"/>
  <c r="AC339" i="3"/>
  <c r="H340" i="3"/>
  <c r="AC340" i="3"/>
  <c r="G340" i="3"/>
  <c r="H341" i="3"/>
  <c r="AC341" i="3"/>
  <c r="G341" i="3"/>
  <c r="H342" i="3"/>
  <c r="G342" i="3"/>
  <c r="AC342" i="3"/>
  <c r="H343" i="3"/>
  <c r="AC343" i="3"/>
  <c r="H344" i="3"/>
  <c r="AC344" i="3"/>
  <c r="G344" i="3"/>
  <c r="H345" i="3"/>
  <c r="AC345" i="3"/>
  <c r="G345" i="3"/>
  <c r="H346" i="3"/>
  <c r="AC346" i="3"/>
  <c r="G346" i="3"/>
  <c r="H347" i="3"/>
  <c r="AC347" i="3"/>
  <c r="H348" i="3"/>
  <c r="G348" i="3"/>
  <c r="AC348" i="3"/>
  <c r="H349" i="3"/>
  <c r="AC349" i="3"/>
  <c r="G349" i="3"/>
  <c r="H350" i="3"/>
  <c r="AC350" i="3"/>
  <c r="H351" i="3"/>
  <c r="AC351" i="3"/>
  <c r="G351" i="3"/>
  <c r="H352" i="3"/>
  <c r="AC352" i="3"/>
  <c r="G352" i="3"/>
  <c r="H353" i="3"/>
  <c r="AC353" i="3"/>
  <c r="H354" i="3"/>
  <c r="AC354" i="3"/>
  <c r="G354" i="3"/>
  <c r="H355" i="3"/>
  <c r="AC355" i="3"/>
  <c r="H356" i="3"/>
  <c r="G356" i="3"/>
  <c r="AC356" i="3"/>
  <c r="H357" i="3"/>
  <c r="AC357" i="3"/>
  <c r="G357" i="3"/>
  <c r="H358" i="3"/>
  <c r="G358" i="3"/>
  <c r="AC358" i="3"/>
  <c r="H359" i="3"/>
  <c r="AC359" i="3"/>
  <c r="H360" i="3"/>
  <c r="G360" i="3"/>
  <c r="AC360" i="3"/>
  <c r="H361" i="3"/>
  <c r="AC361" i="3"/>
  <c r="G361" i="3"/>
  <c r="H362" i="3"/>
  <c r="AC362" i="3"/>
  <c r="G362" i="3"/>
  <c r="H363" i="3"/>
  <c r="AC363" i="3"/>
  <c r="H364" i="3"/>
  <c r="AC364" i="3"/>
  <c r="G364" i="3"/>
  <c r="H365" i="3"/>
  <c r="AC365" i="3"/>
  <c r="G365" i="3"/>
  <c r="H366" i="3"/>
  <c r="AC366" i="3"/>
  <c r="H367" i="3"/>
  <c r="AC367" i="3"/>
  <c r="G367" i="3"/>
  <c r="H368" i="3"/>
  <c r="G368" i="3"/>
  <c r="AC368" i="3"/>
  <c r="H369" i="3"/>
  <c r="AC369" i="3"/>
  <c r="H370" i="3"/>
  <c r="AC370" i="3"/>
  <c r="G370" i="3"/>
  <c r="H371" i="3"/>
  <c r="AC371" i="3"/>
  <c r="H372" i="3"/>
  <c r="AC372" i="3"/>
  <c r="G372" i="3"/>
  <c r="H373" i="3"/>
  <c r="AC373" i="3"/>
  <c r="G373" i="3"/>
  <c r="H374" i="3"/>
  <c r="G374" i="3"/>
  <c r="AC374" i="3"/>
  <c r="H375" i="3"/>
  <c r="AC375" i="3"/>
  <c r="H376" i="3"/>
  <c r="AC376" i="3"/>
  <c r="G376" i="3"/>
  <c r="H377" i="3"/>
  <c r="AC377" i="3"/>
  <c r="G377" i="3"/>
  <c r="H378" i="3"/>
  <c r="AC378" i="3"/>
  <c r="G378" i="3"/>
  <c r="H379" i="3"/>
  <c r="AC379" i="3"/>
  <c r="H380" i="3"/>
  <c r="G380" i="3"/>
  <c r="AC380" i="3"/>
  <c r="H381" i="3"/>
  <c r="AC381" i="3"/>
  <c r="G381" i="3"/>
  <c r="H382" i="3"/>
  <c r="AC382" i="3"/>
  <c r="G382" i="3"/>
  <c r="H383" i="3"/>
  <c r="AC383" i="3"/>
  <c r="H384" i="3"/>
  <c r="AC384" i="3"/>
  <c r="G384" i="3"/>
  <c r="H385" i="3"/>
  <c r="AC385" i="3"/>
  <c r="G385" i="3"/>
  <c r="H386" i="3"/>
  <c r="G386" i="3"/>
  <c r="AC386" i="3"/>
  <c r="H387" i="3"/>
  <c r="AC387" i="3"/>
  <c r="H388" i="3"/>
  <c r="G388" i="3"/>
  <c r="AC388" i="3"/>
  <c r="H389" i="3"/>
  <c r="AC389" i="3"/>
  <c r="G389" i="3"/>
  <c r="H390" i="3"/>
  <c r="AC390" i="3"/>
  <c r="G390" i="3"/>
  <c r="H391" i="3"/>
  <c r="AC391" i="3"/>
  <c r="H392" i="3"/>
  <c r="AC392" i="3"/>
  <c r="G392" i="3"/>
  <c r="H393" i="3"/>
  <c r="AC393" i="3"/>
  <c r="G393" i="3"/>
  <c r="H394" i="3"/>
  <c r="G394" i="3"/>
  <c r="AC394" i="3"/>
  <c r="H395" i="3"/>
  <c r="AC395" i="3"/>
  <c r="H396" i="3"/>
  <c r="G396" i="3"/>
  <c r="AC396" i="3"/>
  <c r="H397" i="3"/>
  <c r="AC397" i="3"/>
  <c r="G397" i="3"/>
  <c r="H398" i="3"/>
  <c r="AC398" i="3"/>
  <c r="G398" i="3"/>
  <c r="H399" i="3"/>
  <c r="AC399" i="3"/>
  <c r="H400" i="3"/>
  <c r="AC400" i="3"/>
  <c r="G400" i="3"/>
  <c r="H401" i="3"/>
  <c r="AC401" i="3"/>
  <c r="G401" i="3"/>
  <c r="H402" i="3"/>
  <c r="AC402" i="3"/>
  <c r="H403" i="3"/>
  <c r="AC403" i="3"/>
  <c r="H404" i="3"/>
  <c r="AC404" i="3"/>
  <c r="G404" i="3"/>
  <c r="H405" i="3"/>
  <c r="AC405" i="3"/>
  <c r="G405" i="3"/>
  <c r="H406" i="3"/>
  <c r="AC406" i="3"/>
  <c r="G406" i="3"/>
  <c r="H407" i="3"/>
  <c r="AC407" i="3"/>
  <c r="H408" i="3"/>
  <c r="G408" i="3"/>
  <c r="AC408" i="3"/>
  <c r="H409" i="3"/>
  <c r="AC409" i="3"/>
  <c r="G409" i="3"/>
  <c r="H410" i="3"/>
  <c r="G410" i="3"/>
  <c r="AC410" i="3"/>
  <c r="H411" i="3"/>
  <c r="AC411" i="3"/>
  <c r="H412" i="3"/>
  <c r="G412" i="3"/>
  <c r="AC412" i="3"/>
  <c r="H413" i="3"/>
  <c r="AC413" i="3"/>
  <c r="G413" i="3"/>
  <c r="H414" i="3"/>
  <c r="AC414" i="3"/>
  <c r="G414" i="3"/>
  <c r="H415" i="3"/>
  <c r="AC415" i="3"/>
  <c r="H416" i="3"/>
  <c r="AC416" i="3"/>
  <c r="G416" i="3"/>
  <c r="H417" i="3"/>
  <c r="AC417" i="3"/>
  <c r="G417" i="3"/>
  <c r="H418" i="3"/>
  <c r="AC418" i="3"/>
  <c r="H419" i="3"/>
  <c r="AC419" i="3"/>
  <c r="H420" i="3"/>
  <c r="AC420" i="3"/>
  <c r="G420" i="3"/>
  <c r="H421" i="3"/>
  <c r="AC421" i="3"/>
  <c r="G421" i="3"/>
  <c r="H422" i="3"/>
  <c r="AC422" i="3"/>
  <c r="G422" i="3"/>
  <c r="H423" i="3"/>
  <c r="AC423" i="3"/>
  <c r="H424" i="3"/>
  <c r="G424" i="3"/>
  <c r="AC424" i="3"/>
  <c r="H425" i="3"/>
  <c r="AC425" i="3"/>
  <c r="G425" i="3"/>
  <c r="H426" i="3"/>
  <c r="G426" i="3"/>
  <c r="AC426" i="3"/>
  <c r="H427" i="3"/>
  <c r="AC427" i="3"/>
  <c r="H428" i="3"/>
  <c r="G428" i="3"/>
  <c r="AC428" i="3"/>
  <c r="H429" i="3"/>
  <c r="AC429" i="3"/>
  <c r="G429" i="3"/>
  <c r="H430" i="3"/>
  <c r="AC430" i="3"/>
  <c r="G430" i="3"/>
  <c r="H431" i="3"/>
  <c r="AC431" i="3"/>
  <c r="H432" i="3"/>
  <c r="AC432" i="3"/>
  <c r="G432" i="3"/>
  <c r="H433" i="3"/>
  <c r="AC433" i="3"/>
  <c r="G433" i="3"/>
  <c r="H434" i="3"/>
  <c r="AC434" i="3"/>
  <c r="H435" i="3"/>
  <c r="AC435" i="3"/>
  <c r="H436" i="3"/>
  <c r="AC436" i="3"/>
  <c r="G436" i="3"/>
  <c r="H437" i="3"/>
  <c r="AC437" i="3"/>
  <c r="G437" i="3"/>
  <c r="H438" i="3"/>
  <c r="AC438" i="3"/>
  <c r="G438" i="3"/>
  <c r="H439" i="3"/>
  <c r="AC439" i="3"/>
  <c r="H440" i="3"/>
  <c r="G440" i="3"/>
  <c r="AC440" i="3"/>
  <c r="H441" i="3"/>
  <c r="AC441" i="3"/>
  <c r="G441" i="3"/>
  <c r="H442" i="3"/>
  <c r="G442" i="3"/>
  <c r="AC442" i="3"/>
  <c r="H443" i="3"/>
  <c r="AC443" i="3"/>
  <c r="H444" i="3"/>
  <c r="G444" i="3"/>
  <c r="AC444" i="3"/>
  <c r="H445" i="3"/>
  <c r="AC445" i="3"/>
  <c r="G445" i="3"/>
  <c r="H446" i="3"/>
  <c r="AC446" i="3"/>
  <c r="G446" i="3"/>
  <c r="H447" i="3"/>
  <c r="AC447" i="3"/>
  <c r="H448" i="3"/>
  <c r="AC448" i="3"/>
  <c r="G448" i="3"/>
  <c r="H449" i="3"/>
  <c r="AC449" i="3"/>
  <c r="G449" i="3"/>
  <c r="H450" i="3"/>
  <c r="AC450" i="3"/>
  <c r="H451" i="3"/>
  <c r="AC451" i="3"/>
  <c r="H452" i="3"/>
  <c r="AC452" i="3"/>
  <c r="G452" i="3"/>
  <c r="H453" i="3"/>
  <c r="AC453" i="3"/>
  <c r="G453" i="3"/>
  <c r="H454" i="3"/>
  <c r="AC454" i="3"/>
  <c r="G454" i="3"/>
  <c r="H455" i="3"/>
  <c r="AC455" i="3"/>
  <c r="H456" i="3"/>
  <c r="G456" i="3"/>
  <c r="AC456" i="3"/>
  <c r="H457" i="3"/>
  <c r="AC457" i="3"/>
  <c r="G457" i="3"/>
  <c r="H458" i="3"/>
  <c r="G458" i="3"/>
  <c r="AC458" i="3"/>
  <c r="H459" i="3"/>
  <c r="AC459" i="3"/>
  <c r="H460" i="3"/>
  <c r="G460" i="3"/>
  <c r="AC460" i="3"/>
  <c r="H461" i="3"/>
  <c r="AC461" i="3"/>
  <c r="G461" i="3"/>
  <c r="H462" i="3"/>
  <c r="AC462" i="3"/>
  <c r="G462" i="3"/>
  <c r="H463" i="3"/>
  <c r="AC463" i="3"/>
  <c r="H464" i="3"/>
  <c r="AC464" i="3"/>
  <c r="G464" i="3"/>
  <c r="H465" i="3"/>
  <c r="AC465" i="3"/>
  <c r="G465" i="3"/>
  <c r="H466" i="3"/>
  <c r="AC466" i="3"/>
  <c r="H467" i="3"/>
  <c r="AC467" i="3"/>
  <c r="H468" i="3"/>
  <c r="AC468" i="3"/>
  <c r="G468" i="3"/>
  <c r="H469" i="3"/>
  <c r="AC469" i="3"/>
  <c r="G469" i="3"/>
  <c r="H470" i="3"/>
  <c r="AC470" i="3"/>
  <c r="G470" i="3"/>
  <c r="H471" i="3"/>
  <c r="AC471" i="3"/>
  <c r="H472" i="3"/>
  <c r="G472" i="3"/>
  <c r="AC472" i="3"/>
  <c r="H473" i="3"/>
  <c r="AC473" i="3"/>
  <c r="G473" i="3"/>
  <c r="H474" i="3"/>
  <c r="G474" i="3"/>
  <c r="AC474" i="3"/>
  <c r="H475" i="3"/>
  <c r="AC475" i="3"/>
  <c r="H476" i="3"/>
  <c r="G476" i="3"/>
  <c r="AC476" i="3"/>
  <c r="H477" i="3"/>
  <c r="AC477" i="3"/>
  <c r="G477" i="3"/>
  <c r="H478" i="3"/>
  <c r="AC478" i="3"/>
  <c r="G478" i="3"/>
  <c r="H479" i="3"/>
  <c r="AC479" i="3"/>
  <c r="H480" i="3"/>
  <c r="AC480" i="3"/>
  <c r="G480" i="3"/>
  <c r="H481" i="3"/>
  <c r="AC481" i="3"/>
  <c r="G481" i="3"/>
  <c r="H482" i="3"/>
  <c r="AC482" i="3"/>
  <c r="H483" i="3"/>
  <c r="AC483" i="3"/>
  <c r="H484" i="3"/>
  <c r="AC484" i="3"/>
  <c r="G484" i="3"/>
  <c r="H485" i="3"/>
  <c r="AC485" i="3"/>
  <c r="G485" i="3"/>
  <c r="H486" i="3"/>
  <c r="AC486" i="3"/>
  <c r="G486" i="3"/>
  <c r="H487" i="3"/>
  <c r="AC487" i="3"/>
  <c r="H488" i="3"/>
  <c r="G488" i="3"/>
  <c r="AC488" i="3"/>
  <c r="H489" i="3"/>
  <c r="AC489" i="3"/>
  <c r="G489" i="3"/>
  <c r="H490" i="3"/>
  <c r="G490" i="3"/>
  <c r="AC490" i="3"/>
  <c r="H491" i="3"/>
  <c r="AC491" i="3"/>
  <c r="H492" i="3"/>
  <c r="G492" i="3"/>
  <c r="AC492" i="3"/>
  <c r="H493" i="3"/>
  <c r="AC493" i="3"/>
  <c r="G493" i="3"/>
  <c r="H494" i="3"/>
  <c r="AC494" i="3"/>
  <c r="G494" i="3"/>
  <c r="H495" i="3"/>
  <c r="AC495" i="3"/>
  <c r="H496" i="3"/>
  <c r="AC496" i="3"/>
  <c r="G496" i="3"/>
  <c r="H497" i="3"/>
  <c r="AC497" i="3"/>
  <c r="G497" i="3"/>
  <c r="H498" i="3"/>
  <c r="AC498" i="3"/>
  <c r="H499" i="3"/>
  <c r="AC499" i="3"/>
  <c r="H500" i="3"/>
  <c r="AC500" i="3"/>
  <c r="G500" i="3"/>
  <c r="H501" i="3"/>
  <c r="AC501" i="3"/>
  <c r="G501" i="3"/>
  <c r="H502" i="3"/>
  <c r="AC502" i="3"/>
  <c r="G502" i="3"/>
  <c r="H503" i="3"/>
  <c r="AC503" i="3"/>
  <c r="H504" i="3"/>
  <c r="G504" i="3"/>
  <c r="AC504" i="3"/>
  <c r="H505" i="3"/>
  <c r="AC505" i="3"/>
  <c r="G505" i="3"/>
  <c r="H506" i="3"/>
  <c r="G506" i="3"/>
  <c r="AC506" i="3"/>
  <c r="H507" i="3"/>
  <c r="AC507" i="3"/>
  <c r="H508" i="3"/>
  <c r="G508" i="3"/>
  <c r="AC508" i="3"/>
  <c r="H509" i="3"/>
  <c r="AC509" i="3"/>
  <c r="G509" i="3"/>
  <c r="H510" i="3"/>
  <c r="AC510" i="3"/>
  <c r="G510" i="3"/>
  <c r="H511" i="3"/>
  <c r="AC511" i="3"/>
  <c r="H512" i="3"/>
  <c r="AC512" i="3"/>
  <c r="G512" i="3"/>
  <c r="H513" i="3"/>
  <c r="AC513" i="3"/>
  <c r="G513" i="3"/>
  <c r="H514" i="3"/>
  <c r="AC514" i="3"/>
  <c r="H515" i="3"/>
  <c r="AC515" i="3"/>
  <c r="H516" i="3"/>
  <c r="AC516" i="3"/>
  <c r="G516" i="3"/>
  <c r="H517" i="3"/>
  <c r="AC517" i="3"/>
  <c r="G517" i="3"/>
  <c r="H518" i="3"/>
  <c r="AC518" i="3"/>
  <c r="G518" i="3"/>
  <c r="H519" i="3"/>
  <c r="AC519" i="3"/>
  <c r="H520" i="3"/>
  <c r="G520" i="3"/>
  <c r="AC520" i="3"/>
  <c r="H521" i="3"/>
  <c r="AC521" i="3"/>
  <c r="G521" i="3"/>
  <c r="H522" i="3"/>
  <c r="G522" i="3"/>
  <c r="AC522" i="3"/>
  <c r="H523" i="3"/>
  <c r="AC523" i="3"/>
  <c r="H524" i="3"/>
  <c r="G524" i="3"/>
  <c r="AC524" i="3"/>
  <c r="H525" i="3"/>
  <c r="AC525" i="3"/>
  <c r="G525" i="3"/>
  <c r="H526" i="3"/>
  <c r="AC526" i="3"/>
  <c r="G526" i="3"/>
  <c r="H527" i="3"/>
  <c r="AC527" i="3"/>
  <c r="H528" i="3"/>
  <c r="AC528" i="3"/>
  <c r="G528" i="3"/>
  <c r="H529" i="3"/>
  <c r="AC529" i="3"/>
  <c r="G529" i="3"/>
  <c r="H530" i="3"/>
  <c r="AC530" i="3"/>
  <c r="H531" i="3"/>
  <c r="AC531" i="3"/>
  <c r="H532" i="3"/>
  <c r="AC532" i="3"/>
  <c r="G532" i="3"/>
  <c r="H533" i="3"/>
  <c r="AC533" i="3"/>
  <c r="G533" i="3"/>
  <c r="H534" i="3"/>
  <c r="AC534" i="3"/>
  <c r="G534" i="3"/>
  <c r="H535" i="3"/>
  <c r="AC535" i="3"/>
  <c r="H536" i="3"/>
  <c r="G536" i="3"/>
  <c r="AC536" i="3"/>
  <c r="H537" i="3"/>
  <c r="AC537" i="3"/>
  <c r="G537" i="3"/>
  <c r="H538" i="3"/>
  <c r="G538" i="3"/>
  <c r="AC538" i="3"/>
  <c r="H539" i="3"/>
  <c r="AC539" i="3"/>
  <c r="H540" i="3"/>
  <c r="G540" i="3"/>
  <c r="AC540" i="3"/>
  <c r="H541" i="3"/>
  <c r="AC541" i="3"/>
  <c r="G541" i="3"/>
  <c r="H542" i="3"/>
  <c r="AC542" i="3"/>
  <c r="G542" i="3"/>
  <c r="H543" i="3"/>
  <c r="AC543" i="3"/>
  <c r="H544" i="3"/>
  <c r="AC544" i="3"/>
  <c r="G544" i="3"/>
  <c r="H545" i="3"/>
  <c r="AC545" i="3"/>
  <c r="G545" i="3"/>
  <c r="H546" i="3"/>
  <c r="AC546" i="3"/>
  <c r="H547" i="3"/>
  <c r="AC547" i="3"/>
  <c r="H548" i="3"/>
  <c r="AC548" i="3"/>
  <c r="G548" i="3"/>
  <c r="H549" i="3"/>
  <c r="AC549" i="3"/>
  <c r="G549" i="3"/>
  <c r="H550" i="3"/>
  <c r="AC550" i="3"/>
  <c r="G550" i="3"/>
  <c r="H551" i="3"/>
  <c r="AC551" i="3"/>
  <c r="H552" i="3"/>
  <c r="G552" i="3"/>
  <c r="AC552" i="3"/>
  <c r="H553" i="3"/>
  <c r="AC553" i="3"/>
  <c r="G553" i="3"/>
  <c r="H554" i="3"/>
  <c r="G554" i="3"/>
  <c r="AC554" i="3"/>
  <c r="H555" i="3"/>
  <c r="AC555" i="3"/>
  <c r="H556" i="3"/>
  <c r="G556" i="3"/>
  <c r="AC556" i="3"/>
  <c r="H557" i="3"/>
  <c r="AC557" i="3"/>
  <c r="G557" i="3"/>
  <c r="H558" i="3"/>
  <c r="AC558" i="3"/>
  <c r="G558" i="3"/>
  <c r="H559" i="3"/>
  <c r="AC559" i="3"/>
  <c r="H560" i="3"/>
  <c r="AC560" i="3"/>
  <c r="G560" i="3"/>
  <c r="H561" i="3"/>
  <c r="AC561" i="3"/>
  <c r="G561" i="3"/>
  <c r="H562" i="3"/>
  <c r="AC562" i="3"/>
  <c r="H563" i="3"/>
  <c r="AC563" i="3"/>
  <c r="H564" i="3"/>
  <c r="AC564" i="3"/>
  <c r="G564" i="3"/>
  <c r="H565" i="3"/>
  <c r="AC565" i="3"/>
  <c r="G565" i="3"/>
  <c r="H566" i="3"/>
  <c r="AC566" i="3"/>
  <c r="G566" i="3"/>
  <c r="H567" i="3"/>
  <c r="AC567" i="3"/>
  <c r="H568" i="3"/>
  <c r="G568" i="3"/>
  <c r="AC568" i="3"/>
  <c r="H569" i="3"/>
  <c r="AC569" i="3"/>
  <c r="G569" i="3"/>
  <c r="H570" i="3"/>
  <c r="G570" i="3"/>
  <c r="AC570" i="3"/>
  <c r="H571" i="3"/>
  <c r="AC571" i="3"/>
  <c r="H572" i="3"/>
  <c r="G572" i="3"/>
  <c r="AC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G582" i="3"/>
  <c r="AC582" i="3"/>
  <c r="H583" i="3"/>
  <c r="AC583" i="3"/>
  <c r="H584" i="3"/>
  <c r="G584" i="3"/>
  <c r="AC584" i="3"/>
  <c r="H585" i="3"/>
  <c r="AC585" i="3"/>
  <c r="G585" i="3"/>
  <c r="H586" i="3"/>
  <c r="AC586" i="3"/>
  <c r="G586" i="3"/>
  <c r="H587" i="3"/>
  <c r="AC587" i="3"/>
  <c r="E20" i="6"/>
  <c r="Q5" i="3"/>
  <c r="E21" i="6"/>
  <c r="E22" i="6"/>
  <c r="E23" i="6"/>
  <c r="E24" i="6"/>
  <c r="E25" i="6"/>
  <c r="E26" i="6"/>
  <c r="F81" i="39"/>
  <c r="G81" i="39"/>
  <c r="B82" i="39"/>
  <c r="F12" i="39"/>
  <c r="AA12" i="39"/>
  <c r="B84" i="39"/>
  <c r="F13" i="39"/>
  <c r="AA13" i="39"/>
  <c r="B86" i="39"/>
  <c r="F14" i="39"/>
  <c r="AA14" i="39"/>
  <c r="F15" i="39"/>
  <c r="AA15" i="39"/>
  <c r="F19" i="39"/>
  <c r="AA19" i="39"/>
  <c r="D95" i="39"/>
  <c r="F21" i="39"/>
  <c r="AA21" i="39"/>
  <c r="D97" i="39"/>
  <c r="F23" i="39"/>
  <c r="AA23" i="39"/>
  <c r="D101" i="39"/>
  <c r="F27" i="39"/>
  <c r="AA27" i="39"/>
  <c r="D103" i="39"/>
  <c r="F29" i="39"/>
  <c r="AA29" i="39"/>
  <c r="B104" i="39"/>
  <c r="F31" i="39"/>
  <c r="AA31" i="39"/>
  <c r="F32" i="39"/>
  <c r="AA32" i="39"/>
  <c r="F34" i="39"/>
  <c r="AA34" i="39"/>
  <c r="B110" i="39"/>
  <c r="F35" i="39"/>
  <c r="AA35" i="39"/>
  <c r="B112" i="39"/>
  <c r="F36" i="39"/>
  <c r="AA36" i="39"/>
  <c r="B114" i="39"/>
  <c r="F37" i="39"/>
  <c r="AA37" i="39"/>
  <c r="D120" i="39"/>
  <c r="F39" i="39"/>
  <c r="AA39" i="39"/>
  <c r="D122" i="39"/>
  <c r="F40" i="39"/>
  <c r="AA40" i="39"/>
  <c r="D124" i="39"/>
  <c r="F41" i="39"/>
  <c r="AA41" i="39"/>
  <c r="D126" i="39"/>
  <c r="F42" i="39"/>
  <c r="AA42" i="39"/>
  <c r="B127" i="39"/>
  <c r="F43" i="39"/>
  <c r="AA43" i="39"/>
  <c r="B129" i="39"/>
  <c r="F44" i="39"/>
  <c r="AA44" i="39"/>
  <c r="B131" i="39"/>
  <c r="F45" i="39"/>
  <c r="AA45" i="39"/>
  <c r="C19" i="68"/>
  <c r="F21" i="68"/>
  <c r="C40" i="68"/>
  <c r="B23" i="1"/>
  <c r="B24" i="1"/>
  <c r="A6" i="1"/>
  <c r="G1" i="79"/>
  <c r="A11" i="1"/>
  <c r="K11" i="1"/>
  <c r="M11" i="1"/>
  <c r="A12" i="1"/>
  <c r="K12" i="1"/>
  <c r="M12" i="1"/>
  <c r="A13" i="1"/>
  <c r="K13" i="1"/>
  <c r="M13" i="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c r="I15" i="66"/>
  <c r="I16" i="66"/>
  <c r="B43" i="1"/>
  <c r="B41" i="1"/>
  <c r="F33" i="15"/>
  <c r="F61" i="15"/>
  <c r="B52" i="1"/>
  <c r="F34" i="15"/>
  <c r="F15" i="15"/>
  <c r="F17" i="15"/>
  <c r="F18" i="15"/>
  <c r="F23" i="15"/>
  <c r="F21" i="15"/>
  <c r="G6" i="1"/>
  <c r="M47" i="15"/>
  <c r="J50" i="15"/>
  <c r="F33" i="79"/>
  <c r="P21" i="6"/>
  <c r="R8" i="1"/>
  <c r="S8" i="1"/>
  <c r="T8" i="1"/>
  <c r="F15" i="79"/>
  <c r="F17" i="79"/>
  <c r="F18" i="79"/>
  <c r="F20" i="79"/>
  <c r="F23" i="79"/>
  <c r="D22" i="79"/>
  <c r="F21" i="79"/>
  <c r="M47" i="79"/>
  <c r="J50" i="79"/>
  <c r="AE8" i="1"/>
  <c r="B7" i="70"/>
  <c r="B9" i="70"/>
  <c r="B10" i="70"/>
  <c r="B11" i="70"/>
  <c r="B12" i="70"/>
  <c r="B13" i="70"/>
  <c r="A6" i="70"/>
  <c r="A7" i="70"/>
  <c r="A8" i="70"/>
  <c r="A9" i="70"/>
  <c r="E9" i="70"/>
  <c r="A10" i="70"/>
  <c r="E10" i="70"/>
  <c r="A11" i="70"/>
  <c r="A12" i="70"/>
  <c r="A13" i="70"/>
  <c r="E13" i="70"/>
  <c r="E7" i="70"/>
  <c r="E8" i="70"/>
  <c r="E11" i="70"/>
  <c r="E12" i="70"/>
  <c r="K18" i="66"/>
  <c r="F15" i="4"/>
  <c r="D6" i="1"/>
  <c r="F11" i="1"/>
  <c r="D11" i="1"/>
  <c r="F12" i="1"/>
  <c r="D12" i="1"/>
  <c r="F13" i="1"/>
  <c r="D13" i="1"/>
  <c r="H38" i="39"/>
  <c r="AB38" i="39"/>
  <c r="H9" i="39"/>
  <c r="AB9" i="39"/>
  <c r="T46" i="39"/>
  <c r="H8" i="39"/>
  <c r="AB8" i="39"/>
  <c r="J38" i="39"/>
  <c r="AC38" i="39"/>
  <c r="H81" i="39"/>
  <c r="I81" i="39"/>
  <c r="J81" i="39"/>
  <c r="J9" i="39"/>
  <c r="AC9" i="39"/>
  <c r="V46" i="39"/>
  <c r="J8" i="39"/>
  <c r="AC8" i="39"/>
  <c r="L19" i="6"/>
  <c r="L21" i="6"/>
  <c r="G1" i="78"/>
  <c r="F33" i="78"/>
  <c r="R7" i="1"/>
  <c r="F34" i="78"/>
  <c r="F62" i="78"/>
  <c r="F15" i="78"/>
  <c r="F17" i="78"/>
  <c r="F18" i="78"/>
  <c r="F20" i="78"/>
  <c r="F23" i="78"/>
  <c r="D24" i="78"/>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N6" i="71"/>
  <c r="N5" i="71"/>
  <c r="N7" i="71"/>
  <c r="B7" i="71"/>
  <c r="N8" i="71"/>
  <c r="N9" i="71"/>
  <c r="N10" i="71"/>
  <c r="N11" i="71"/>
  <c r="B11" i="71"/>
  <c r="S11" i="71"/>
  <c r="N12" i="71"/>
  <c r="B13" i="71"/>
  <c r="B14" i="71"/>
  <c r="B15" i="71"/>
  <c r="S15" i="71"/>
  <c r="N13" i="71"/>
  <c r="N14" i="71"/>
  <c r="N15" i="71"/>
  <c r="X12" i="71"/>
  <c r="N16" i="71"/>
  <c r="B17" i="71"/>
  <c r="B18" i="71"/>
  <c r="B19" i="71"/>
  <c r="S19" i="71"/>
  <c r="N17" i="71"/>
  <c r="N18" i="71"/>
  <c r="N19" i="71"/>
  <c r="X17" i="71"/>
  <c r="N20" i="71"/>
  <c r="B21" i="71"/>
  <c r="B22" i="71"/>
  <c r="B23" i="71"/>
  <c r="S23" i="71"/>
  <c r="N21" i="71"/>
  <c r="N22" i="71"/>
  <c r="Q6" i="71"/>
  <c r="AB6" i="71"/>
  <c r="Q5" i="71"/>
  <c r="AB5" i="71"/>
  <c r="Q7" i="71"/>
  <c r="Q8" i="71"/>
  <c r="Q9" i="71"/>
  <c r="AB8" i="71"/>
  <c r="Q10" i="71"/>
  <c r="Q11" i="71"/>
  <c r="Q12" i="71"/>
  <c r="Q13" i="71"/>
  <c r="AB10" i="71"/>
  <c r="Q14" i="71"/>
  <c r="Q15" i="71"/>
  <c r="Q16" i="71"/>
  <c r="Q17" i="71"/>
  <c r="AB16" i="71"/>
  <c r="Q18" i="71"/>
  <c r="Q19" i="71"/>
  <c r="Q20" i="71"/>
  <c r="Q21" i="71"/>
  <c r="AB21" i="71"/>
  <c r="Q22" i="71"/>
  <c r="P6" i="71"/>
  <c r="P5" i="71"/>
  <c r="AA3" i="71"/>
  <c r="P7" i="71"/>
  <c r="P8" i="71"/>
  <c r="P9" i="71"/>
  <c r="P10" i="71"/>
  <c r="AA9" i="71"/>
  <c r="P11" i="71"/>
  <c r="P12" i="71"/>
  <c r="E13" i="71"/>
  <c r="P13" i="71"/>
  <c r="P14" i="71"/>
  <c r="AA13" i="71"/>
  <c r="P15" i="71"/>
  <c r="P16" i="71"/>
  <c r="E17" i="71"/>
  <c r="P17" i="71"/>
  <c r="P18" i="71"/>
  <c r="AA18" i="71"/>
  <c r="P19" i="71"/>
  <c r="P20" i="71"/>
  <c r="E21" i="71"/>
  <c r="P21" i="71"/>
  <c r="P22" i="71"/>
  <c r="AA22" i="71"/>
  <c r="O6" i="71"/>
  <c r="O5" i="71"/>
  <c r="O7" i="71"/>
  <c r="C7" i="71"/>
  <c r="O8" i="71"/>
  <c r="Y8" i="71"/>
  <c r="Z8" i="71"/>
  <c r="O9" i="71"/>
  <c r="O10" i="71"/>
  <c r="O11" i="71"/>
  <c r="C11" i="71"/>
  <c r="O12" i="71"/>
  <c r="C13" i="71"/>
  <c r="D13" i="71"/>
  <c r="O13" i="71"/>
  <c r="O14" i="71"/>
  <c r="O15" i="71"/>
  <c r="O16" i="71"/>
  <c r="Y14" i="71"/>
  <c r="Z14" i="71"/>
  <c r="O17" i="71"/>
  <c r="O18" i="71"/>
  <c r="O19" i="71"/>
  <c r="O20" i="71"/>
  <c r="C21" i="71"/>
  <c r="D21" i="71"/>
  <c r="O21" i="71"/>
  <c r="O22" i="71"/>
  <c r="F7" i="71"/>
  <c r="E7" i="71"/>
  <c r="E6" i="71"/>
  <c r="D8" i="71"/>
  <c r="E11" i="71"/>
  <c r="E10" i="71"/>
  <c r="E9" i="71"/>
  <c r="F11" i="71"/>
  <c r="F10" i="71"/>
  <c r="D12" i="71"/>
  <c r="F13" i="71"/>
  <c r="E14" i="71"/>
  <c r="E15" i="71"/>
  <c r="U15" i="71"/>
  <c r="D16" i="71"/>
  <c r="F17" i="71"/>
  <c r="E18" i="71"/>
  <c r="E19" i="71"/>
  <c r="U19" i="71"/>
  <c r="D20" i="71"/>
  <c r="F21" i="71"/>
  <c r="E22" i="71"/>
  <c r="E23" i="71"/>
  <c r="U23" i="71"/>
  <c r="M19" i="43"/>
  <c r="G2" i="43"/>
  <c r="G17" i="43"/>
  <c r="I17" i="43"/>
  <c r="G20" i="43"/>
  <c r="J20" i="43"/>
  <c r="I20" i="43"/>
  <c r="C24" i="43"/>
  <c r="F39" i="43"/>
  <c r="F38" i="43"/>
  <c r="D5" i="43"/>
  <c r="F36" i="43"/>
  <c r="F35" i="43"/>
  <c r="M47" i="67"/>
  <c r="J53" i="67"/>
  <c r="Q52" i="67"/>
  <c r="C18" i="43"/>
  <c r="F33" i="43"/>
  <c r="H33" i="43"/>
  <c r="D1" i="43"/>
  <c r="C10" i="43"/>
  <c r="C11" i="43"/>
  <c r="C9" i="43"/>
  <c r="C15" i="43"/>
  <c r="D15" i="43"/>
  <c r="E15" i="43"/>
  <c r="C12"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X6" i="71"/>
  <c r="V7" i="71"/>
  <c r="AA7" i="71"/>
  <c r="A2" i="53"/>
  <c r="K59" i="67"/>
  <c r="P61" i="67"/>
  <c r="K59" i="15"/>
  <c r="P74" i="15"/>
  <c r="P74" i="67"/>
  <c r="D116" i="39"/>
  <c r="E116" i="39"/>
  <c r="F116" i="39"/>
  <c r="G116" i="39"/>
  <c r="H116" i="39"/>
  <c r="I116" i="39"/>
  <c r="J116" i="39"/>
  <c r="K116" i="39"/>
  <c r="L116" i="39"/>
  <c r="M116" i="39"/>
  <c r="C116" i="39"/>
  <c r="A21" i="62"/>
  <c r="B67" i="72"/>
  <c r="A20" i="62"/>
  <c r="B66" i="72"/>
  <c r="A22" i="51"/>
  <c r="A21" i="51"/>
  <c r="A20" i="51"/>
  <c r="B15" i="72"/>
  <c r="L20" i="4"/>
  <c r="L21" i="4"/>
  <c r="L22" i="4"/>
  <c r="A15" i="62"/>
  <c r="A14" i="62"/>
  <c r="A13" i="62"/>
  <c r="A19" i="62"/>
  <c r="B65" i="72"/>
  <c r="A12" i="62"/>
  <c r="B58" i="72"/>
  <c r="A120" i="9"/>
  <c r="A6" i="52"/>
  <c r="B57" i="72"/>
  <c r="H2" i="52"/>
  <c r="A1" i="52"/>
  <c r="A3" i="53"/>
  <c r="A15" i="51"/>
  <c r="B12" i="72"/>
  <c r="I107" i="40"/>
  <c r="N56" i="9"/>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A9" i="43"/>
  <c r="AA12" i="43"/>
  <c r="Z9" i="43"/>
  <c r="Z12" i="43"/>
  <c r="AA10" i="43"/>
  <c r="AI10" i="43"/>
  <c r="AJ10" i="43"/>
  <c r="K49" i="9"/>
  <c r="E107" i="9"/>
  <c r="A122" i="9"/>
  <c r="A8" i="52"/>
  <c r="E111" i="9"/>
  <c r="E109" i="9"/>
  <c r="A124" i="9"/>
  <c r="A10" i="52"/>
  <c r="B55" i="72"/>
  <c r="B44" i="72"/>
  <c r="B42" i="72"/>
  <c r="B69" i="72"/>
  <c r="B68" i="72"/>
  <c r="B63" i="72"/>
  <c r="B62" i="72"/>
  <c r="B16" i="72"/>
  <c r="B60" i="72"/>
  <c r="B59" i="72"/>
  <c r="B10" i="72"/>
  <c r="C53" i="10"/>
  <c r="B51" i="10"/>
  <c r="B19" i="72"/>
  <c r="A18" i="51"/>
  <c r="B13" i="72"/>
  <c r="B49" i="48"/>
  <c r="B5" i="72"/>
  <c r="I19" i="43"/>
  <c r="D72" i="71"/>
  <c r="F71" i="71"/>
  <c r="E71" i="71"/>
  <c r="E70" i="71"/>
  <c r="E69" i="71"/>
  <c r="C71" i="71"/>
  <c r="C70"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E62" i="71"/>
  <c r="E61"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T51" i="71"/>
  <c r="B51" i="71"/>
  <c r="S51" i="71"/>
  <c r="B50" i="71"/>
  <c r="B49"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D40" i="71"/>
  <c r="Q39" i="71"/>
  <c r="P39" i="71"/>
  <c r="O39" i="71"/>
  <c r="N39" i="71"/>
  <c r="Q38" i="71"/>
  <c r="P38" i="71"/>
  <c r="O38" i="71"/>
  <c r="N38" i="71"/>
  <c r="Q37" i="71"/>
  <c r="P37" i="71"/>
  <c r="O37" i="71"/>
  <c r="N37" i="71"/>
  <c r="O36" i="71"/>
  <c r="C37" i="71"/>
  <c r="Q36" i="71"/>
  <c r="F37" i="71"/>
  <c r="F38" i="71"/>
  <c r="F39" i="71"/>
  <c r="V39" i="71"/>
  <c r="P36" i="71"/>
  <c r="E37" i="71"/>
  <c r="E38" i="71"/>
  <c r="E39" i="71"/>
  <c r="U39" i="71"/>
  <c r="N36" i="71"/>
  <c r="B37"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D24" i="71"/>
  <c r="Q23" i="71"/>
  <c r="P23" i="71"/>
  <c r="O23" i="71"/>
  <c r="N23" i="71"/>
  <c r="AB22" i="71"/>
  <c r="Y22" i="71"/>
  <c r="Z22" i="71"/>
  <c r="X22" i="71"/>
  <c r="Y21" i="71"/>
  <c r="Z21" i="71"/>
  <c r="Y19" i="71"/>
  <c r="Z19" i="71"/>
  <c r="AB17" i="71"/>
  <c r="AB14" i="71"/>
  <c r="Y13" i="71"/>
  <c r="Z13" i="71"/>
  <c r="X16" i="71"/>
  <c r="X20" i="71"/>
  <c r="N51" i="71"/>
  <c r="AB12" i="71"/>
  <c r="AA14" i="71"/>
  <c r="X18" i="71"/>
  <c r="Y20" i="71"/>
  <c r="Z20" i="71"/>
  <c r="X21" i="71"/>
  <c r="Y3" i="71"/>
  <c r="Z3" i="71"/>
  <c r="Y11" i="71"/>
  <c r="Z11" i="71"/>
  <c r="X3" i="71"/>
  <c r="U51" i="71"/>
  <c r="N50" i="71"/>
  <c r="C50" i="71"/>
  <c r="C49" i="71"/>
  <c r="C54" i="71"/>
  <c r="C53" i="71"/>
  <c r="D53" i="71"/>
  <c r="E54" i="71"/>
  <c r="E53" i="71"/>
  <c r="D55" i="71"/>
  <c r="C62" i="71"/>
  <c r="D62" i="71"/>
  <c r="D63" i="71"/>
  <c r="C66" i="71"/>
  <c r="C65" i="71"/>
  <c r="D65" i="7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c r="D94" i="40"/>
  <c r="E94" i="40"/>
  <c r="F94" i="40"/>
  <c r="G94" i="40"/>
  <c r="F25" i="40"/>
  <c r="AA25" i="40"/>
  <c r="Q29" i="39"/>
  <c r="Z29"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66" i="43"/>
  <c r="B55" i="43"/>
  <c r="S25" i="40"/>
  <c r="H25" i="40"/>
  <c r="AB25" i="40"/>
  <c r="J25" i="40"/>
  <c r="AC25" i="40"/>
  <c r="H29" i="39"/>
  <c r="AB29" i="39"/>
  <c r="J29" i="39"/>
  <c r="AC29" i="39"/>
  <c r="J18" i="36"/>
  <c r="AC18" i="36"/>
  <c r="H18" i="35"/>
  <c r="AB18" i="35"/>
  <c r="S18" i="35"/>
  <c r="J18" i="35"/>
  <c r="H21" i="37"/>
  <c r="U21" i="37"/>
  <c r="F21" i="37"/>
  <c r="AA21" i="37"/>
  <c r="H21" i="34"/>
  <c r="AB21" i="34"/>
  <c r="H21" i="33"/>
  <c r="U21" i="33"/>
  <c r="F21" i="33"/>
  <c r="AA21" i="33"/>
  <c r="E83" i="21"/>
  <c r="F83" i="21"/>
  <c r="G83" i="21"/>
  <c r="H1" i="69"/>
  <c r="U25" i="40"/>
  <c r="U29" i="39"/>
  <c r="W29" i="39"/>
  <c r="AB21" i="37"/>
  <c r="S21" i="37"/>
  <c r="AB21" i="33"/>
  <c r="AC18" i="35"/>
  <c r="W18" i="35"/>
  <c r="J21" i="37"/>
  <c r="W21" i="37"/>
  <c r="J21" i="34"/>
  <c r="W21" i="34"/>
  <c r="J21" i="33"/>
  <c r="W21" i="33"/>
  <c r="H21" i="21"/>
  <c r="U21" i="21"/>
  <c r="F38" i="69"/>
  <c r="E37" i="69"/>
  <c r="F36" i="69"/>
  <c r="F35" i="69"/>
  <c r="F21" i="69"/>
  <c r="C21" i="69"/>
  <c r="F20" i="69"/>
  <c r="E10" i="69"/>
  <c r="E9" i="69"/>
  <c r="F7" i="69"/>
  <c r="C7" i="69"/>
  <c r="AC21" i="37"/>
  <c r="AC21" i="34"/>
  <c r="J21" i="21"/>
  <c r="AC21" i="21"/>
  <c r="C40" i="69"/>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I20" i="66"/>
  <c r="E11" i="66"/>
  <c r="I10" i="66"/>
  <c r="I9" i="66"/>
  <c r="I8" i="66"/>
  <c r="N99" i="43"/>
  <c r="N108" i="43"/>
  <c r="E99" i="43"/>
  <c r="E108" i="43"/>
  <c r="F99" i="43"/>
  <c r="F108" i="43"/>
  <c r="G99" i="43"/>
  <c r="G108" i="43"/>
  <c r="H99" i="43"/>
  <c r="H108" i="43"/>
  <c r="I99" i="43"/>
  <c r="I108" i="43"/>
  <c r="J99" i="43"/>
  <c r="J108" i="43"/>
  <c r="K99" i="43"/>
  <c r="K108" i="43"/>
  <c r="L99" i="43"/>
  <c r="L108" i="43"/>
  <c r="M99" i="43"/>
  <c r="M108"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c r="A4" i="62"/>
  <c r="B70" i="72"/>
  <c r="F33" i="9"/>
  <c r="B37" i="48"/>
  <c r="B2" i="72"/>
  <c r="B13" i="53"/>
  <c r="B29" i="72"/>
  <c r="R35" i="4"/>
  <c r="Q35" i="4"/>
  <c r="P35" i="4"/>
  <c r="O35" i="4"/>
  <c r="N35" i="4"/>
  <c r="M35" i="4"/>
  <c r="L35" i="4"/>
  <c r="K34" i="4"/>
  <c r="T34" i="4"/>
  <c r="I15" i="4"/>
  <c r="H15" i="4"/>
  <c r="G15" i="4"/>
  <c r="D15" i="4"/>
  <c r="F19" i="4"/>
  <c r="F2" i="52"/>
  <c r="B50" i="72"/>
  <c r="D2" i="52"/>
  <c r="B46" i="72"/>
  <c r="B8" i="53"/>
  <c r="B23" i="72"/>
  <c r="L4" i="9"/>
  <c r="B17" i="72"/>
  <c r="A3" i="51"/>
  <c r="C8" i="11"/>
  <c r="B2" i="49"/>
  <c r="B23" i="49"/>
  <c r="B40" i="48"/>
  <c r="B3" i="72"/>
  <c r="I2" i="43"/>
  <c r="N1" i="43"/>
  <c r="F35" i="4"/>
  <c r="J55" i="39"/>
  <c r="H34" i="43"/>
  <c r="H35" i="43"/>
  <c r="H36" i="43"/>
  <c r="H37" i="43"/>
  <c r="H38" i="43"/>
  <c r="H39" i="43"/>
  <c r="A7" i="43"/>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C94" i="9"/>
  <c r="J55" i="9"/>
  <c r="B31"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7" i="12"/>
  <c r="I7" i="12"/>
  <c r="J7" i="12"/>
  <c r="K7" i="12"/>
  <c r="H111" i="21"/>
  <c r="J30" i="36"/>
  <c r="AC30" i="36"/>
  <c r="H30" i="36"/>
  <c r="F30" i="36"/>
  <c r="AA30" i="36"/>
  <c r="C26" i="35"/>
  <c r="C79" i="35"/>
  <c r="J31" i="35"/>
  <c r="W31" i="35"/>
  <c r="H31" i="35"/>
  <c r="U31" i="35"/>
  <c r="F31" i="35"/>
  <c r="D87" i="35"/>
  <c r="E87" i="35"/>
  <c r="F87" i="35"/>
  <c r="G87" i="35"/>
  <c r="H87" i="35"/>
  <c r="I87" i="35"/>
  <c r="J87" i="35"/>
  <c r="K87" i="35"/>
  <c r="L87" i="35"/>
  <c r="M87" i="35"/>
  <c r="H34" i="37"/>
  <c r="U34" i="37"/>
  <c r="D101" i="37"/>
  <c r="E101" i="37"/>
  <c r="F34" i="37"/>
  <c r="D99" i="37"/>
  <c r="E99" i="37"/>
  <c r="F99" i="37"/>
  <c r="G99" i="37"/>
  <c r="H99" i="37"/>
  <c r="I99" i="37"/>
  <c r="J99" i="37"/>
  <c r="K99" i="37"/>
  <c r="L99" i="37"/>
  <c r="M99" i="37"/>
  <c r="H42" i="34"/>
  <c r="J42" i="34"/>
  <c r="W42" i="34"/>
  <c r="F42" i="34"/>
  <c r="J38" i="34"/>
  <c r="AC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K81" i="39"/>
  <c r="L81" i="39"/>
  <c r="M81" i="39"/>
  <c r="D76" i="40"/>
  <c r="E76" i="40"/>
  <c r="F76" i="40"/>
  <c r="G76" i="40"/>
  <c r="H76" i="40"/>
  <c r="I76" i="40"/>
  <c r="J76" i="40"/>
  <c r="K76" i="40"/>
  <c r="L76" i="40"/>
  <c r="M76" i="40"/>
  <c r="B120" i="40"/>
  <c r="B118" i="40"/>
  <c r="J39" i="40"/>
  <c r="B116" i="40"/>
  <c r="J38"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J40" i="40"/>
  <c r="W40" i="40"/>
  <c r="Q39" i="40"/>
  <c r="Z39" i="40"/>
  <c r="H39" i="40"/>
  <c r="Q38" i="40"/>
  <c r="Z38" i="40"/>
  <c r="H38" i="40"/>
  <c r="AB38" i="40"/>
  <c r="Q37" i="40"/>
  <c r="Z37" i="40"/>
  <c r="Q36" i="40"/>
  <c r="Z36" i="40"/>
  <c r="Q35" i="40"/>
  <c r="Z35" i="40"/>
  <c r="Q34" i="40"/>
  <c r="Z34" i="40"/>
  <c r="J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F8" i="40"/>
  <c r="AA8" i="40"/>
  <c r="E124" i="39"/>
  <c r="F124" i="39"/>
  <c r="G124"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D107" i="39"/>
  <c r="E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H45" i="39"/>
  <c r="H44" i="39"/>
  <c r="J43" i="39"/>
  <c r="W43" i="39"/>
  <c r="E126" i="39"/>
  <c r="F126" i="39"/>
  <c r="G126" i="39"/>
  <c r="H126" i="39"/>
  <c r="I126" i="39"/>
  <c r="J126" i="39"/>
  <c r="K126" i="39"/>
  <c r="L126" i="39"/>
  <c r="M126" i="39"/>
  <c r="E122" i="39"/>
  <c r="F122" i="39"/>
  <c r="G122" i="39"/>
  <c r="H122" i="39"/>
  <c r="I122" i="39"/>
  <c r="J122" i="39"/>
  <c r="K122" i="39"/>
  <c r="L122" i="39"/>
  <c r="M122" i="39"/>
  <c r="H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F26" i="37"/>
  <c r="AA26" i="37"/>
  <c r="D79" i="37"/>
  <c r="E79" i="37"/>
  <c r="D75" i="37"/>
  <c r="E75" i="37"/>
  <c r="F75" i="37"/>
  <c r="G75" i="37"/>
  <c r="D73" i="37"/>
  <c r="E73" i="37"/>
  <c r="F73" i="37"/>
  <c r="D71" i="37"/>
  <c r="E71" i="37"/>
  <c r="F71" i="37"/>
  <c r="G71" i="37"/>
  <c r="H15" i="37"/>
  <c r="AB15" i="37"/>
  <c r="B68" i="37"/>
  <c r="J14"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Q28" i="37"/>
  <c r="Z28" i="37"/>
  <c r="Q27" i="37"/>
  <c r="Z27" i="37"/>
  <c r="Q26" i="37"/>
  <c r="Z26" i="37"/>
  <c r="J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W12" i="36"/>
  <c r="B55" i="36"/>
  <c r="F11" i="36"/>
  <c r="AA11"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AB24" i="36"/>
  <c r="Q23" i="36"/>
  <c r="Z23" i="36"/>
  <c r="Q22" i="36"/>
  <c r="Z22" i="36"/>
  <c r="J22" i="36"/>
  <c r="AC22" i="36"/>
  <c r="Q20" i="36"/>
  <c r="Z20" i="36"/>
  <c r="Q16" i="36"/>
  <c r="Z16" i="36"/>
  <c r="Q14" i="36"/>
  <c r="Z14" i="36"/>
  <c r="Q13" i="36"/>
  <c r="Z13" i="36"/>
  <c r="Q12" i="36"/>
  <c r="Z12" i="36"/>
  <c r="H12" i="36"/>
  <c r="Q11" i="36"/>
  <c r="Z11" i="36"/>
  <c r="Q10" i="36"/>
  <c r="Z10" i="36"/>
  <c r="F10" i="36"/>
  <c r="Q9" i="36"/>
  <c r="Z9" i="36"/>
  <c r="J9" i="36"/>
  <c r="H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J29" i="34"/>
  <c r="B75" i="34"/>
  <c r="B73" i="34"/>
  <c r="B71" i="34"/>
  <c r="F12" i="34"/>
  <c r="AA12" i="34"/>
  <c r="B130" i="33"/>
  <c r="H46" i="33"/>
  <c r="AB46" i="33"/>
  <c r="B128" i="33"/>
  <c r="B126" i="33"/>
  <c r="J44" i="33"/>
  <c r="B98" i="33"/>
  <c r="B96" i="33"/>
  <c r="B94" i="33"/>
  <c r="B74" i="33"/>
  <c r="H14" i="33"/>
  <c r="B72" i="33"/>
  <c r="B70" i="33"/>
  <c r="H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Q11" i="35"/>
  <c r="Z11" i="35"/>
  <c r="Q10" i="35"/>
  <c r="Z10" i="35"/>
  <c r="Q9" i="35"/>
  <c r="Z9" i="35"/>
  <c r="J8" i="35"/>
  <c r="W8" i="35"/>
  <c r="H8" i="35"/>
  <c r="AB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S8" i="33"/>
  <c r="AA8" i="33"/>
  <c r="M102" i="21"/>
  <c r="D102" i="21"/>
  <c r="E102" i="21"/>
  <c r="F102" i="21"/>
  <c r="G102" i="21"/>
  <c r="H102" i="21"/>
  <c r="I102" i="21"/>
  <c r="J102" i="21"/>
  <c r="K102" i="21"/>
  <c r="L102" i="21"/>
  <c r="C102" i="21"/>
  <c r="C63" i="21"/>
  <c r="G18" i="20"/>
  <c r="B88" i="43"/>
  <c r="G19" i="20"/>
  <c r="B85" i="43"/>
  <c r="G16" i="20"/>
  <c r="B82" i="43"/>
  <c r="G15" i="20"/>
  <c r="C24" i="20"/>
  <c r="B73" i="43"/>
  <c r="C21" i="20"/>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c r="H43" i="21"/>
  <c r="AB43" i="21"/>
  <c r="F38" i="21"/>
  <c r="S38" i="21"/>
  <c r="F36" i="21"/>
  <c r="S36" i="21"/>
  <c r="F39" i="21"/>
  <c r="J40" i="21"/>
  <c r="W40" i="21"/>
  <c r="H35" i="21"/>
  <c r="J8" i="21"/>
  <c r="AC8" i="21"/>
  <c r="H8" i="21"/>
  <c r="U8" i="21"/>
  <c r="H10" i="21"/>
  <c r="AB10" i="21"/>
  <c r="H39" i="21"/>
  <c r="J34" i="21"/>
  <c r="W34" i="21"/>
  <c r="H36" i="21"/>
  <c r="F35" i="21"/>
  <c r="AA35" i="21"/>
  <c r="J10" i="21"/>
  <c r="AC10" i="21"/>
  <c r="H26" i="21"/>
  <c r="AB26" i="21"/>
  <c r="AB19" i="21"/>
  <c r="J19" i="21"/>
  <c r="W19" i="21"/>
  <c r="H12" i="21"/>
  <c r="AB12" i="21"/>
  <c r="J26" i="21"/>
  <c r="W26" i="21"/>
  <c r="F26" i="21"/>
  <c r="S26" i="21"/>
  <c r="S41" i="21"/>
  <c r="AA41" i="21"/>
  <c r="S45" i="39"/>
  <c r="J45" i="39"/>
  <c r="W45" i="39"/>
  <c r="J44" i="39"/>
  <c r="AC44" i="39"/>
  <c r="S36" i="39"/>
  <c r="H36" i="39"/>
  <c r="AB36" i="39"/>
  <c r="J35" i="39"/>
  <c r="AC35" i="39"/>
  <c r="J36" i="39"/>
  <c r="AC36" i="39"/>
  <c r="U9" i="39"/>
  <c r="W40" i="39"/>
  <c r="U30" i="37"/>
  <c r="F39" i="37"/>
  <c r="F29" i="36"/>
  <c r="AA29" i="36"/>
  <c r="W8" i="36"/>
  <c r="F16" i="36"/>
  <c r="AA16" i="36"/>
  <c r="AA31" i="36"/>
  <c r="U31" i="36"/>
  <c r="H22" i="35"/>
  <c r="AB22" i="35"/>
  <c r="AC27" i="35"/>
  <c r="S31" i="35"/>
  <c r="F36" i="34"/>
  <c r="AA36" i="34"/>
  <c r="J35" i="34"/>
  <c r="U34" i="34"/>
  <c r="H39" i="33"/>
  <c r="U33" i="33"/>
  <c r="U35" i="33"/>
  <c r="H39" i="37"/>
  <c r="AB39" i="37"/>
  <c r="S27" i="35"/>
  <c r="F11" i="40"/>
  <c r="AA11" i="40"/>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c r="H27" i="39"/>
  <c r="U27" i="39"/>
  <c r="J19" i="39"/>
  <c r="AC19" i="39"/>
  <c r="J27" i="39"/>
  <c r="AC27" i="39"/>
  <c r="F11" i="21"/>
  <c r="S11" i="21"/>
  <c r="S34" i="21"/>
  <c r="C25" i="39"/>
  <c r="S40" i="39"/>
  <c r="H32" i="33"/>
  <c r="AB32" i="33"/>
  <c r="H11" i="21"/>
  <c r="U11" i="21"/>
  <c r="J11" i="21"/>
  <c r="W11" i="21"/>
  <c r="H37" i="40"/>
  <c r="U37" i="40"/>
  <c r="H36" i="40"/>
  <c r="AB36" i="40"/>
  <c r="F35" i="40"/>
  <c r="AA35" i="40"/>
  <c r="H23" i="40"/>
  <c r="U23" i="40"/>
  <c r="AB23" i="40"/>
  <c r="H17" i="40"/>
  <c r="U17" i="40"/>
  <c r="J15" i="40"/>
  <c r="W15" i="40"/>
  <c r="J11" i="40"/>
  <c r="W11" i="40"/>
  <c r="AC12" i="34"/>
  <c r="S44" i="39"/>
  <c r="J34" i="36"/>
  <c r="J30" i="35"/>
  <c r="W30" i="35"/>
  <c r="H30" i="35"/>
  <c r="AB30" i="35"/>
  <c r="F22" i="35"/>
  <c r="AA22" i="35"/>
  <c r="H10" i="35"/>
  <c r="U10" i="35"/>
  <c r="W30" i="36"/>
  <c r="H16" i="36"/>
  <c r="J29" i="36"/>
  <c r="F12" i="36"/>
  <c r="F24" i="36"/>
  <c r="AA24" i="36"/>
  <c r="AB8" i="36"/>
  <c r="F14" i="35"/>
  <c r="AA14" i="35"/>
  <c r="F23" i="35"/>
  <c r="J32" i="35"/>
  <c r="AC32" i="35"/>
  <c r="J16" i="35"/>
  <c r="AC16" i="35"/>
  <c r="H16" i="35"/>
  <c r="U16" i="35"/>
  <c r="F16" i="35"/>
  <c r="H14" i="35"/>
  <c r="AB14" i="35"/>
  <c r="J29" i="35"/>
  <c r="W29" i="35"/>
  <c r="H33" i="35"/>
  <c r="AB33" i="35"/>
  <c r="AC8" i="35"/>
  <c r="J20" i="35"/>
  <c r="W20" i="35"/>
  <c r="F35" i="37"/>
  <c r="S35" i="37"/>
  <c r="F101" i="37"/>
  <c r="G101" i="37"/>
  <c r="H101" i="37"/>
  <c r="I101" i="37"/>
  <c r="J101" i="37"/>
  <c r="K101" i="37"/>
  <c r="L101" i="37"/>
  <c r="M101" i="37"/>
  <c r="J34" i="37"/>
  <c r="W34" i="37"/>
  <c r="AB34" i="37"/>
  <c r="J33" i="37"/>
  <c r="AC33" i="37"/>
  <c r="H40" i="34"/>
  <c r="E114" i="34"/>
  <c r="H36" i="34"/>
  <c r="U36" i="34"/>
  <c r="F37" i="34"/>
  <c r="F28" i="34"/>
  <c r="AA28" i="34"/>
  <c r="F27" i="34"/>
  <c r="F25" i="34"/>
  <c r="S25" i="34"/>
  <c r="H23" i="34"/>
  <c r="U23" i="34"/>
  <c r="J23" i="34"/>
  <c r="F19" i="34"/>
  <c r="H17" i="34"/>
  <c r="U17" i="34"/>
  <c r="F15" i="34"/>
  <c r="J15" i="34"/>
  <c r="W15" i="34"/>
  <c r="H15" i="34"/>
  <c r="W8" i="34"/>
  <c r="F41" i="33"/>
  <c r="AA41" i="33"/>
  <c r="S38" i="33"/>
  <c r="E113" i="33"/>
  <c r="F113" i="33"/>
  <c r="G113" i="33"/>
  <c r="H113" i="33"/>
  <c r="I113" i="33"/>
  <c r="J113" i="33"/>
  <c r="K113" i="33"/>
  <c r="L113" i="33"/>
  <c r="M113" i="33"/>
  <c r="F32" i="33"/>
  <c r="AA32" i="33"/>
  <c r="J19" i="33"/>
  <c r="AC19" i="33"/>
  <c r="J15" i="33"/>
  <c r="F11" i="33"/>
  <c r="AA11" i="33"/>
  <c r="U40" i="33"/>
  <c r="W40" i="33"/>
  <c r="U8" i="33"/>
  <c r="F37" i="40"/>
  <c r="AA37" i="40"/>
  <c r="F36" i="40"/>
  <c r="AA36" i="40"/>
  <c r="H28" i="40"/>
  <c r="U28" i="40"/>
  <c r="F23" i="40"/>
  <c r="AA23" i="40"/>
  <c r="F17" i="40"/>
  <c r="AA17" i="40"/>
  <c r="J17" i="40"/>
  <c r="W17" i="40"/>
  <c r="F15" i="40"/>
  <c r="S15" i="40"/>
  <c r="H15" i="40"/>
  <c r="AB15" i="40"/>
  <c r="AC11" i="40"/>
  <c r="S12" i="36"/>
  <c r="AA12" i="36"/>
  <c r="U30" i="35"/>
  <c r="U33" i="35"/>
  <c r="F29" i="35"/>
  <c r="S29" i="35"/>
  <c r="H29" i="35"/>
  <c r="AB29" i="35"/>
  <c r="H33" i="37"/>
  <c r="AB33" i="37"/>
  <c r="F33" i="37"/>
  <c r="AA33" i="37"/>
  <c r="W33" i="37"/>
  <c r="S34" i="37"/>
  <c r="AA34" i="37"/>
  <c r="J43" i="34"/>
  <c r="J40" i="34"/>
  <c r="AC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J17" i="34"/>
  <c r="W17" i="34"/>
  <c r="AA15" i="34"/>
  <c r="S15" i="34"/>
  <c r="H37" i="33"/>
  <c r="AB37" i="33"/>
  <c r="H15" i="33"/>
  <c r="H11" i="33"/>
  <c r="AB11" i="33"/>
  <c r="F28" i="40"/>
  <c r="AA28" i="40"/>
  <c r="AA29" i="35"/>
  <c r="AA42" i="34"/>
  <c r="S42" i="34"/>
  <c r="AA38" i="34"/>
  <c r="J37" i="34"/>
  <c r="J11" i="33"/>
  <c r="W11" i="33"/>
  <c r="S28" i="34"/>
  <c r="J42" i="21"/>
  <c r="AC42" i="21"/>
  <c r="H42" i="21"/>
  <c r="U42" i="21"/>
  <c r="J44" i="34"/>
  <c r="W44" i="34"/>
  <c r="F44" i="34"/>
  <c r="AA44" i="34"/>
  <c r="J10" i="35"/>
  <c r="AC10" i="35"/>
  <c r="W10" i="35"/>
  <c r="J14" i="21"/>
  <c r="W14" i="21"/>
  <c r="F14" i="21"/>
  <c r="S14" i="21"/>
  <c r="H14" i="21"/>
  <c r="U14" i="21"/>
  <c r="H28" i="21"/>
  <c r="U28" i="21"/>
  <c r="AB28" i="21"/>
  <c r="F28" i="21"/>
  <c r="AA28" i="21"/>
  <c r="J28" i="21"/>
  <c r="W28" i="21"/>
  <c r="J44" i="21"/>
  <c r="AC44" i="21"/>
  <c r="H44" i="21"/>
  <c r="U44" i="21"/>
  <c r="F44" i="21"/>
  <c r="AA44" i="21"/>
  <c r="E119" i="21"/>
  <c r="F119" i="21"/>
  <c r="G119" i="21"/>
  <c r="H119" i="21"/>
  <c r="I119" i="21"/>
  <c r="J119" i="21"/>
  <c r="K119" i="21"/>
  <c r="L119" i="21"/>
  <c r="M119" i="21"/>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H13" i="33"/>
  <c r="AB13" i="33"/>
  <c r="F13" i="33"/>
  <c r="S13" i="33"/>
  <c r="J29" i="33"/>
  <c r="AC29" i="33"/>
  <c r="J31" i="33"/>
  <c r="W31" i="33"/>
  <c r="H31" i="33"/>
  <c r="F31" i="33"/>
  <c r="F45" i="33"/>
  <c r="AA45" i="33"/>
  <c r="H30" i="34"/>
  <c r="U30" i="34"/>
  <c r="F30" i="34"/>
  <c r="S30" i="34"/>
  <c r="J30" i="34"/>
  <c r="W30" i="34"/>
  <c r="F32" i="34"/>
  <c r="H46" i="34"/>
  <c r="U46" i="34"/>
  <c r="F46" i="34"/>
  <c r="J46" i="34"/>
  <c r="W46" i="34"/>
  <c r="H11" i="35"/>
  <c r="U11" i="35"/>
  <c r="J11" i="35"/>
  <c r="AC11" i="35"/>
  <c r="F11" i="35"/>
  <c r="S11" i="35"/>
  <c r="J26" i="36"/>
  <c r="H28" i="36"/>
  <c r="U28" i="36"/>
  <c r="J11" i="36"/>
  <c r="H11" i="36"/>
  <c r="U11" i="36"/>
  <c r="J13" i="36"/>
  <c r="E89" i="37"/>
  <c r="F89" i="37"/>
  <c r="G89" i="37"/>
  <c r="H89" i="37"/>
  <c r="I89" i="37"/>
  <c r="J89" i="37"/>
  <c r="K89" i="37"/>
  <c r="L89" i="37"/>
  <c r="M89" i="37"/>
  <c r="J29" i="37"/>
  <c r="W29" i="37"/>
  <c r="F29" i="37"/>
  <c r="S29" i="37"/>
  <c r="F105" i="37"/>
  <c r="G105" i="37"/>
  <c r="H36" i="37"/>
  <c r="F107" i="37"/>
  <c r="J37" i="37"/>
  <c r="AC37" i="37"/>
  <c r="H37" i="37"/>
  <c r="U37" i="37"/>
  <c r="H40" i="37"/>
  <c r="U40" i="37"/>
  <c r="J40" i="37"/>
  <c r="AC40" i="37"/>
  <c r="F40" i="37"/>
  <c r="AA40" i="37"/>
  <c r="F14" i="33"/>
  <c r="S14" i="33"/>
  <c r="J14" i="33"/>
  <c r="H30" i="33"/>
  <c r="AB30" i="33"/>
  <c r="F30" i="33"/>
  <c r="J30" i="33"/>
  <c r="AC30" i="33"/>
  <c r="H44" i="33"/>
  <c r="F44" i="33"/>
  <c r="S44" i="33"/>
  <c r="J46" i="33"/>
  <c r="AC46" i="33"/>
  <c r="F46" i="33"/>
  <c r="AA46" i="33"/>
  <c r="H13" i="34"/>
  <c r="U13" i="34"/>
  <c r="J13" i="34"/>
  <c r="F13" i="34"/>
  <c r="AA13" i="34"/>
  <c r="F29" i="34"/>
  <c r="AA29" i="34"/>
  <c r="S29" i="34"/>
  <c r="H29" i="34"/>
  <c r="AB29" i="34"/>
  <c r="J31" i="34"/>
  <c r="AC31" i="34"/>
  <c r="H31" i="34"/>
  <c r="AB31" i="34"/>
  <c r="F31" i="34"/>
  <c r="S31" i="34"/>
  <c r="H45" i="34"/>
  <c r="U45" i="34"/>
  <c r="J45" i="34"/>
  <c r="W45" i="34"/>
  <c r="F45" i="34"/>
  <c r="S45" i="34"/>
  <c r="H47" i="34"/>
  <c r="U47" i="34"/>
  <c r="F47" i="34"/>
  <c r="S47" i="34"/>
  <c r="J47" i="34"/>
  <c r="W47" i="34"/>
  <c r="AC47" i="34"/>
  <c r="F13" i="35"/>
  <c r="S13" i="35"/>
  <c r="J13" i="35"/>
  <c r="W13" i="35"/>
  <c r="AC13" i="35"/>
  <c r="H13" i="35"/>
  <c r="U13" i="35"/>
  <c r="J25" i="35"/>
  <c r="W25" i="35"/>
  <c r="F25" i="35"/>
  <c r="S25" i="35"/>
  <c r="H25" i="35"/>
  <c r="AB25" i="35"/>
  <c r="J35" i="35"/>
  <c r="AC35" i="35"/>
  <c r="F35" i="35"/>
  <c r="AA35" i="35"/>
  <c r="H35" i="35"/>
  <c r="AB35" i="35"/>
  <c r="J25" i="36"/>
  <c r="AC25" i="36"/>
  <c r="W25" i="36"/>
  <c r="F25" i="36"/>
  <c r="S25" i="36"/>
  <c r="H25" i="36"/>
  <c r="AB25" i="36"/>
  <c r="H13" i="37"/>
  <c r="AB13" i="37"/>
  <c r="F13" i="37"/>
  <c r="AA13" i="37"/>
  <c r="S13" i="37"/>
  <c r="J13" i="37"/>
  <c r="W13" i="37"/>
  <c r="F28" i="37"/>
  <c r="AA28" i="37"/>
  <c r="J28" i="37"/>
  <c r="AC28" i="37"/>
  <c r="H28" i="37"/>
  <c r="U28" i="37"/>
  <c r="H43" i="39"/>
  <c r="U43" i="39"/>
  <c r="J14" i="39"/>
  <c r="H14" i="39"/>
  <c r="AB14" i="39"/>
  <c r="H30" i="40"/>
  <c r="F33" i="40"/>
  <c r="AA33" i="40"/>
  <c r="H33" i="40"/>
  <c r="U33" i="40"/>
  <c r="J35" i="40"/>
  <c r="AC35" i="40"/>
  <c r="J37" i="40"/>
  <c r="H13" i="40"/>
  <c r="U13" i="40"/>
  <c r="F13" i="40"/>
  <c r="AA13" i="40"/>
  <c r="F14" i="37"/>
  <c r="S14" i="37"/>
  <c r="F27" i="37"/>
  <c r="AA27" i="37"/>
  <c r="J13" i="39"/>
  <c r="W13" i="39"/>
  <c r="H13" i="39"/>
  <c r="U13" i="39"/>
  <c r="H14" i="40"/>
  <c r="AB14" i="40"/>
  <c r="J14" i="40"/>
  <c r="W14" i="40"/>
  <c r="F14" i="40"/>
  <c r="AA14" i="40"/>
  <c r="J27" i="37"/>
  <c r="U31" i="34"/>
  <c r="U46" i="33"/>
  <c r="J36" i="37"/>
  <c r="AC36" i="37"/>
  <c r="AB11" i="35"/>
  <c r="J10" i="36"/>
  <c r="W31" i="34"/>
  <c r="AB46" i="34"/>
  <c r="U13" i="33"/>
  <c r="AC28" i="21"/>
  <c r="S44" i="34"/>
  <c r="F17" i="21"/>
  <c r="AA17" i="21"/>
  <c r="H17" i="21"/>
  <c r="AB17" i="21"/>
  <c r="F15" i="21"/>
  <c r="S15" i="21"/>
  <c r="AB11" i="21"/>
  <c r="J41" i="39"/>
  <c r="W41" i="39"/>
  <c r="AC45" i="39"/>
  <c r="W44" i="39"/>
  <c r="W36" i="39"/>
  <c r="W35" i="39"/>
  <c r="S35" i="39"/>
  <c r="S505" i="31"/>
  <c r="S503" i="31"/>
  <c r="S501" i="31"/>
  <c r="S499" i="31"/>
  <c r="O27" i="31"/>
  <c r="O28" i="31"/>
  <c r="O26" i="31"/>
  <c r="M27" i="31"/>
  <c r="M28" i="31"/>
  <c r="M26" i="31"/>
  <c r="I26" i="31"/>
  <c r="I25" i="31"/>
  <c r="S25" i="31"/>
  <c r="S22" i="31"/>
  <c r="R22" i="31"/>
  <c r="B21" i="31"/>
  <c r="Q26" i="31"/>
  <c r="K26" i="31"/>
  <c r="I27" i="31"/>
  <c r="Q27" i="31"/>
  <c r="K27" i="31"/>
  <c r="I28" i="31"/>
  <c r="Q28" i="31"/>
  <c r="K28" i="31"/>
  <c r="S21" i="40"/>
  <c r="H25" i="21"/>
  <c r="F25" i="21"/>
  <c r="S25" i="21"/>
  <c r="J25" i="21"/>
  <c r="AC25" i="21"/>
  <c r="E125" i="33"/>
  <c r="F125" i="33"/>
  <c r="G125" i="33"/>
  <c r="H43" i="33"/>
  <c r="AB43" i="33"/>
  <c r="H17" i="37"/>
  <c r="U17" i="37"/>
  <c r="U32" i="33"/>
  <c r="F39" i="33"/>
  <c r="F42" i="33"/>
  <c r="AA42" i="33"/>
  <c r="H28" i="34"/>
  <c r="AB28" i="34"/>
  <c r="F14" i="36"/>
  <c r="AA14" i="36"/>
  <c r="F22" i="36"/>
  <c r="S22" i="36"/>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c r="J36" i="40"/>
  <c r="W36" i="40"/>
  <c r="H19" i="37"/>
  <c r="H42" i="33"/>
  <c r="AB42" i="33"/>
  <c r="J43" i="33"/>
  <c r="AC43" i="33"/>
  <c r="U43" i="33"/>
  <c r="S28" i="31"/>
  <c r="S27" i="31"/>
  <c r="S26" i="31"/>
  <c r="U14" i="40"/>
  <c r="U35" i="35"/>
  <c r="AB28" i="37"/>
  <c r="U33" i="37"/>
  <c r="U39" i="37"/>
  <c r="AC8" i="37"/>
  <c r="U26" i="37"/>
  <c r="AB37" i="34"/>
  <c r="AC36" i="34"/>
  <c r="AC31" i="33"/>
  <c r="U19" i="21"/>
  <c r="W44" i="21"/>
  <c r="U26" i="21"/>
  <c r="U12" i="21"/>
  <c r="AB38" i="21"/>
  <c r="F43" i="33"/>
  <c r="AA43" i="33"/>
  <c r="AC15" i="34"/>
  <c r="W16" i="35"/>
  <c r="W40" i="37"/>
  <c r="G107" i="37"/>
  <c r="H107" i="37"/>
  <c r="I107" i="37"/>
  <c r="J107" i="37"/>
  <c r="K107" i="37"/>
  <c r="L107" i="37"/>
  <c r="M107" i="37"/>
  <c r="H37" i="21"/>
  <c r="AB37" i="21"/>
  <c r="U37" i="21"/>
  <c r="S42" i="21"/>
  <c r="H19" i="34"/>
  <c r="AB19" i="34"/>
  <c r="F36" i="35"/>
  <c r="S36" i="35"/>
  <c r="J9" i="37"/>
  <c r="H9" i="37"/>
  <c r="AB9" i="37"/>
  <c r="F9" i="37"/>
  <c r="S9" i="37"/>
  <c r="J12" i="37"/>
  <c r="W12" i="37"/>
  <c r="H12" i="37"/>
  <c r="AB12" i="37"/>
  <c r="F12" i="37"/>
  <c r="S12" i="37"/>
  <c r="F15" i="37"/>
  <c r="S15" i="37"/>
  <c r="AA15" i="37"/>
  <c r="E94" i="37"/>
  <c r="F31" i="37"/>
  <c r="S31" i="37"/>
  <c r="S12" i="39"/>
  <c r="J42" i="39"/>
  <c r="H21" i="40"/>
  <c r="AB21" i="40"/>
  <c r="F94" i="37"/>
  <c r="G94" i="37"/>
  <c r="H94" i="37"/>
  <c r="I94" i="37"/>
  <c r="J94" i="37"/>
  <c r="K94" i="37"/>
  <c r="L94" i="37"/>
  <c r="M94" i="37"/>
  <c r="H31" i="37"/>
  <c r="U31" i="37"/>
  <c r="J15" i="37"/>
  <c r="W15" i="37"/>
  <c r="U12" i="37"/>
  <c r="AA25" i="21"/>
  <c r="H19" i="40"/>
  <c r="U19" i="40"/>
  <c r="F88" i="40"/>
  <c r="G88" i="40"/>
  <c r="F19" i="40"/>
  <c r="S19" i="40"/>
  <c r="AB33" i="40"/>
  <c r="W23" i="39"/>
  <c r="AC43" i="39"/>
  <c r="U45" i="39"/>
  <c r="AB45" i="39"/>
  <c r="AB44" i="39"/>
  <c r="U44" i="39"/>
  <c r="H37" i="39"/>
  <c r="AB37" i="39"/>
  <c r="AC37" i="39"/>
  <c r="H15" i="39"/>
  <c r="U15" i="39"/>
  <c r="J15" i="39"/>
  <c r="W15" i="39"/>
  <c r="H41" i="39"/>
  <c r="AB41" i="39"/>
  <c r="W27" i="39"/>
  <c r="AB34" i="39"/>
  <c r="S42" i="39"/>
  <c r="W9" i="39"/>
  <c r="W8" i="39"/>
  <c r="J19" i="40"/>
  <c r="J50" i="40"/>
  <c r="B54" i="72"/>
  <c r="H103" i="9"/>
  <c r="D8" i="53"/>
  <c r="B16" i="53"/>
  <c r="B33" i="72"/>
  <c r="W35" i="40"/>
  <c r="A118" i="9"/>
  <c r="A4" i="52"/>
  <c r="B41" i="72"/>
  <c r="W11" i="39"/>
  <c r="G4" i="4"/>
  <c r="I4" i="4"/>
  <c r="K5" i="4"/>
  <c r="B47" i="48"/>
  <c r="A2" i="9"/>
  <c r="N2" i="43"/>
  <c r="F59" i="43"/>
  <c r="U36" i="40"/>
  <c r="N4" i="43"/>
  <c r="F81" i="43"/>
  <c r="H83" i="43"/>
  <c r="F48" i="43"/>
  <c r="N7" i="43"/>
  <c r="F70" i="43"/>
  <c r="H73" i="43"/>
  <c r="M6" i="43"/>
  <c r="M11" i="43"/>
  <c r="E17" i="43"/>
  <c r="U17" i="39"/>
  <c r="S14" i="35"/>
  <c r="U43" i="21"/>
  <c r="AC35" i="21"/>
  <c r="U10" i="21"/>
  <c r="F48" i="9"/>
  <c r="O52" i="9"/>
  <c r="AC44" i="34"/>
  <c r="J37" i="33"/>
  <c r="W37" i="33"/>
  <c r="AC17" i="34"/>
  <c r="F106" i="33"/>
  <c r="G106" i="33"/>
  <c r="H106" i="33"/>
  <c r="I106" i="33"/>
  <c r="J106" i="33"/>
  <c r="K106" i="33"/>
  <c r="L106" i="33"/>
  <c r="M106" i="33"/>
  <c r="J34" i="33"/>
  <c r="W34" i="33"/>
  <c r="F33" i="34"/>
  <c r="S33" i="34"/>
  <c r="AC12" i="36"/>
  <c r="H20" i="36"/>
  <c r="U20" i="36"/>
  <c r="J20" i="36"/>
  <c r="W20" i="36"/>
  <c r="W24" i="36"/>
  <c r="J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F30" i="40"/>
  <c r="AA30" i="40"/>
  <c r="S31" i="39"/>
  <c r="S11" i="40"/>
  <c r="F10" i="33"/>
  <c r="S10" i="33"/>
  <c r="F34" i="33"/>
  <c r="H34" i="33"/>
  <c r="U34" i="33"/>
  <c r="F35" i="33"/>
  <c r="S35" i="33"/>
  <c r="F39" i="34"/>
  <c r="S39" i="34"/>
  <c r="J39" i="34"/>
  <c r="W39" i="34"/>
  <c r="F40" i="34"/>
  <c r="S40" i="34"/>
  <c r="F43" i="34"/>
  <c r="AA43" i="34"/>
  <c r="H44" i="34"/>
  <c r="AB44" i="34"/>
  <c r="S39" i="39"/>
  <c r="J39" i="39"/>
  <c r="AC39" i="39"/>
  <c r="E97" i="39"/>
  <c r="F97" i="39"/>
  <c r="G97" i="39"/>
  <c r="C40" i="11"/>
  <c r="H75" i="43"/>
  <c r="H74" i="43"/>
  <c r="H49" i="43"/>
  <c r="H27" i="36"/>
  <c r="U27" i="36"/>
  <c r="F27" i="36"/>
  <c r="AA27" i="36"/>
  <c r="H33" i="34"/>
  <c r="U33" i="34"/>
  <c r="F32" i="37"/>
  <c r="AA32" i="37"/>
  <c r="F20" i="36"/>
  <c r="AA20" i="36"/>
  <c r="J33" i="34"/>
  <c r="H23" i="39"/>
  <c r="U23" i="39"/>
  <c r="H82" i="43"/>
  <c r="H87" i="43"/>
  <c r="O9" i="1"/>
  <c r="P9" i="1"/>
  <c r="AE9" i="1"/>
  <c r="D93" i="9"/>
  <c r="AC27" i="34"/>
  <c r="AB33" i="36"/>
  <c r="U33" i="36"/>
  <c r="AC12" i="39"/>
  <c r="W12" i="39"/>
  <c r="U30" i="33"/>
  <c r="AA47" i="34"/>
  <c r="W28" i="37"/>
  <c r="S19" i="39"/>
  <c r="F12" i="33"/>
  <c r="H12" i="39"/>
  <c r="AB12" i="39"/>
  <c r="F39" i="40"/>
  <c r="S12" i="1"/>
  <c r="AR12" i="1"/>
  <c r="R12" i="1"/>
  <c r="B12" i="1"/>
  <c r="E12" i="1"/>
  <c r="S10" i="1"/>
  <c r="AQ10" i="1"/>
  <c r="R10" i="1"/>
  <c r="B10" i="1"/>
  <c r="E10" i="1"/>
  <c r="O12" i="1"/>
  <c r="P12" i="1"/>
  <c r="S13" i="1"/>
  <c r="AR13" i="1"/>
  <c r="R13" i="1"/>
  <c r="S11" i="1"/>
  <c r="AQ11" i="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c r="I107" i="39"/>
  <c r="J107" i="39"/>
  <c r="K107" i="39"/>
  <c r="L107" i="39"/>
  <c r="M107" i="39"/>
  <c r="AB27" i="39"/>
  <c r="J21" i="39"/>
  <c r="G95" i="39"/>
  <c r="H21" i="39"/>
  <c r="U21" i="39"/>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c r="F26" i="35"/>
  <c r="AA26" i="35"/>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c r="H63" i="37"/>
  <c r="I63" i="37"/>
  <c r="J63" i="37"/>
  <c r="K63" i="37"/>
  <c r="L63" i="37"/>
  <c r="M63" i="37"/>
  <c r="F11" i="37"/>
  <c r="S11" i="37"/>
  <c r="W25" i="34"/>
  <c r="AB8" i="34"/>
  <c r="AA33" i="34"/>
  <c r="AC42" i="34"/>
  <c r="AB35" i="34"/>
  <c r="S43" i="34"/>
  <c r="AB41" i="34"/>
  <c r="AA45" i="34"/>
  <c r="AA25" i="34"/>
  <c r="U28" i="34"/>
  <c r="S23" i="34"/>
  <c r="S10" i="34"/>
  <c r="S13" i="34"/>
  <c r="H67" i="34"/>
  <c r="I67" i="34"/>
  <c r="H10" i="34"/>
  <c r="U10" i="34"/>
  <c r="F11" i="34"/>
  <c r="S11" i="34"/>
  <c r="F70" i="34"/>
  <c r="G70" i="34"/>
  <c r="H70" i="34"/>
  <c r="I70" i="34"/>
  <c r="J70" i="34"/>
  <c r="K70" i="34"/>
  <c r="L70" i="34"/>
  <c r="M70" i="34"/>
  <c r="W42" i="33"/>
  <c r="S32" i="33"/>
  <c r="W38" i="33"/>
  <c r="H41" i="33"/>
  <c r="F121" i="33"/>
  <c r="G121" i="33"/>
  <c r="H121" i="33"/>
  <c r="I121" i="33"/>
  <c r="J121" i="33"/>
  <c r="K121" i="33"/>
  <c r="L121" i="33"/>
  <c r="M121" i="33"/>
  <c r="U42" i="33"/>
  <c r="S42" i="33"/>
  <c r="F36" i="33"/>
  <c r="AA36" i="33"/>
  <c r="G111" i="33"/>
  <c r="H111" i="33"/>
  <c r="I111" i="33"/>
  <c r="J35" i="33"/>
  <c r="S37" i="33"/>
  <c r="AA37" i="33"/>
  <c r="F101" i="33"/>
  <c r="G101" i="33"/>
  <c r="H101" i="33"/>
  <c r="I101" i="33"/>
  <c r="J101" i="33"/>
  <c r="K101" i="33"/>
  <c r="L101" i="33"/>
  <c r="M101" i="33"/>
  <c r="J32" i="33"/>
  <c r="W32" i="33"/>
  <c r="S46" i="33"/>
  <c r="S43" i="33"/>
  <c r="F91" i="33"/>
  <c r="G91" i="33"/>
  <c r="H91" i="33"/>
  <c r="I91" i="33"/>
  <c r="J91" i="33"/>
  <c r="K91" i="33"/>
  <c r="L91" i="33"/>
  <c r="M91" i="33"/>
  <c r="F87" i="33"/>
  <c r="H25" i="33"/>
  <c r="AB25" i="33"/>
  <c r="F25" i="33"/>
  <c r="S25" i="33"/>
  <c r="J23" i="33"/>
  <c r="W23" i="33"/>
  <c r="F85" i="33"/>
  <c r="H23" i="33"/>
  <c r="U23" i="33"/>
  <c r="F81" i="33"/>
  <c r="G81" i="33"/>
  <c r="F19" i="33"/>
  <c r="S19" i="33"/>
  <c r="J17" i="33"/>
  <c r="AC17" i="33"/>
  <c r="F79" i="33"/>
  <c r="G79" i="33"/>
  <c r="S15" i="33"/>
  <c r="U9" i="33"/>
  <c r="J10" i="33"/>
  <c r="H10" i="33"/>
  <c r="AB10" i="33"/>
  <c r="AA10" i="33"/>
  <c r="AC11" i="33"/>
  <c r="W43" i="21"/>
  <c r="W41" i="21"/>
  <c r="AA43"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A24" i="51"/>
  <c r="B18" i="72"/>
  <c r="U29" i="34"/>
  <c r="P10" i="1"/>
  <c r="E32" i="6"/>
  <c r="K1" i="12"/>
  <c r="AQ12" i="1"/>
  <c r="T12" i="1"/>
  <c r="AR10" i="1"/>
  <c r="E19" i="69"/>
  <c r="E19" i="68"/>
  <c r="E19" i="11"/>
  <c r="G41" i="69"/>
  <c r="G22" i="69"/>
  <c r="G41" i="68"/>
  <c r="G22" i="68"/>
  <c r="G27" i="12"/>
  <c r="G26" i="12"/>
  <c r="G41" i="11"/>
  <c r="G22" i="11"/>
  <c r="G25" i="12"/>
  <c r="E81" i="43"/>
  <c r="B79" i="43"/>
  <c r="E48" i="43"/>
  <c r="B46" i="43"/>
  <c r="E70" i="43"/>
  <c r="B68" i="43"/>
  <c r="F100" i="43"/>
  <c r="H85" i="43"/>
  <c r="H81" i="43"/>
  <c r="H84" i="43"/>
  <c r="H54" i="43"/>
  <c r="H78" i="43"/>
  <c r="H70" i="43"/>
  <c r="H71" i="43"/>
  <c r="M7" i="43"/>
  <c r="N6" i="43"/>
  <c r="M2" i="43"/>
  <c r="M10" i="43"/>
  <c r="N3" i="43"/>
  <c r="N11" i="43"/>
  <c r="M9" i="43"/>
  <c r="N12" i="43"/>
  <c r="N5" i="43"/>
  <c r="M5" i="43"/>
  <c r="M12" i="43"/>
  <c r="M4" i="43"/>
  <c r="B19" i="53"/>
  <c r="B37" i="72"/>
  <c r="T35" i="4"/>
  <c r="A19" i="51"/>
  <c r="B14" i="72"/>
  <c r="A4" i="51"/>
  <c r="B6" i="72"/>
  <c r="C4" i="12"/>
  <c r="C92" i="9"/>
  <c r="H66" i="43"/>
  <c r="H64" i="43"/>
  <c r="H55" i="43"/>
  <c r="H76" i="43"/>
  <c r="H72" i="43"/>
  <c r="H77" i="43"/>
  <c r="L20" i="6"/>
  <c r="B6" i="1"/>
  <c r="E6" i="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c r="J33" i="21"/>
  <c r="AC33" i="21"/>
  <c r="H33" i="21"/>
  <c r="AB33" i="21"/>
  <c r="F37" i="21"/>
  <c r="AA37" i="21"/>
  <c r="AA26" i="21"/>
  <c r="AB14" i="21"/>
  <c r="U40" i="21"/>
  <c r="AB31" i="21"/>
  <c r="U31" i="21"/>
  <c r="AC15" i="21"/>
  <c r="W8" i="21"/>
  <c r="S35" i="21"/>
  <c r="J37" i="21"/>
  <c r="W37" i="21"/>
  <c r="H15" i="21"/>
  <c r="J17" i="21"/>
  <c r="AC17" i="21"/>
  <c r="AC19" i="21"/>
  <c r="W39" i="21"/>
  <c r="AC14" i="21"/>
  <c r="H45" i="21"/>
  <c r="U45" i="21"/>
  <c r="F29" i="21"/>
  <c r="S29" i="21"/>
  <c r="F13" i="21"/>
  <c r="AA13" i="21"/>
  <c r="AC38" i="21"/>
  <c r="H32" i="21"/>
  <c r="AB32" i="21"/>
  <c r="J9" i="21"/>
  <c r="J32" i="21"/>
  <c r="W32" i="21"/>
  <c r="F32" i="21"/>
  <c r="AA32" i="21"/>
  <c r="AA31" i="21"/>
  <c r="U17" i="21"/>
  <c r="S19" i="21"/>
  <c r="K141" i="21"/>
  <c r="K144" i="21"/>
  <c r="K143" i="21"/>
  <c r="AB44" i="21"/>
  <c r="W13" i="21"/>
  <c r="W42" i="21"/>
  <c r="AC45" i="21"/>
  <c r="F10" i="21"/>
  <c r="S10" i="2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c r="F30" i="69"/>
  <c r="M18" i="15"/>
  <c r="T11" i="1"/>
  <c r="AQ9" i="1"/>
  <c r="AR11" i="1"/>
  <c r="T13" i="1"/>
  <c r="S7" i="1"/>
  <c r="T7" i="1"/>
  <c r="S12" i="33"/>
  <c r="AA12" i="33"/>
  <c r="D68" i="9"/>
  <c r="F54" i="9"/>
  <c r="J32" i="39"/>
  <c r="H32" i="39"/>
  <c r="S32" i="39"/>
  <c r="AB21" i="39"/>
  <c r="S21" i="39"/>
  <c r="AC21" i="39"/>
  <c r="W21" i="39"/>
  <c r="AB9" i="35"/>
  <c r="AC26" i="35"/>
  <c r="W26" i="35"/>
  <c r="S17" i="37"/>
  <c r="J19" i="37"/>
  <c r="AC19" i="37"/>
  <c r="S19" i="37"/>
  <c r="AA19" i="37"/>
  <c r="J23" i="37"/>
  <c r="AC23" i="37"/>
  <c r="G79" i="37"/>
  <c r="J10" i="37"/>
  <c r="H11" i="37"/>
  <c r="AB10" i="37"/>
  <c r="U10" i="37"/>
  <c r="H11" i="34"/>
  <c r="AB10" i="34"/>
  <c r="J10" i="34"/>
  <c r="AC10" i="34"/>
  <c r="AB41" i="33"/>
  <c r="U41" i="33"/>
  <c r="W35" i="33"/>
  <c r="AC35" i="33"/>
  <c r="J111" i="33"/>
  <c r="K111" i="33"/>
  <c r="L111" i="33"/>
  <c r="M111" i="33"/>
  <c r="J36" i="33"/>
  <c r="H36" i="33"/>
  <c r="S36" i="33"/>
  <c r="AC32" i="33"/>
  <c r="AA25" i="33"/>
  <c r="G87" i="33"/>
  <c r="H87" i="33"/>
  <c r="I87" i="33"/>
  <c r="J87" i="33"/>
  <c r="K87" i="33"/>
  <c r="L87" i="33"/>
  <c r="M87" i="33"/>
  <c r="J25" i="33"/>
  <c r="AC25" i="33"/>
  <c r="AB23" i="33"/>
  <c r="F23" i="33"/>
  <c r="S23" i="33"/>
  <c r="G85" i="33"/>
  <c r="AC23" i="33"/>
  <c r="AA19" i="33"/>
  <c r="H19" i="33"/>
  <c r="H17" i="33"/>
  <c r="F17" i="33"/>
  <c r="W17" i="33"/>
  <c r="U10" i="33"/>
  <c r="AC10" i="33"/>
  <c r="W10" i="33"/>
  <c r="S37" i="21"/>
  <c r="AA23" i="21"/>
  <c r="J23" i="21"/>
  <c r="F85" i="21"/>
  <c r="G85" i="21"/>
  <c r="H23" i="21"/>
  <c r="AB23" i="2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c r="U36" i="33"/>
  <c r="AB36" i="33"/>
  <c r="W25" i="33"/>
  <c r="AB19" i="33"/>
  <c r="U19" i="33"/>
  <c r="AC23" i="21"/>
  <c r="W23" i="21"/>
  <c r="P7" i="1"/>
  <c r="F34" i="11"/>
  <c r="F11" i="12"/>
  <c r="C23" i="12"/>
  <c r="AG6" i="1"/>
  <c r="D59" i="9"/>
  <c r="M55" i="9"/>
  <c r="M24" i="79"/>
  <c r="F9" i="78"/>
  <c r="B12" i="76"/>
  <c r="D2" i="21"/>
  <c r="C33" i="79"/>
  <c r="M29" i="79"/>
  <c r="F37" i="78"/>
  <c r="E2" i="69"/>
  <c r="D2" i="36"/>
  <c r="F16" i="67"/>
  <c r="F6" i="67"/>
  <c r="C76" i="79"/>
  <c r="M29" i="67"/>
  <c r="E13" i="76"/>
  <c r="C14" i="78"/>
  <c r="L48" i="78"/>
  <c r="B11" i="76"/>
  <c r="F5" i="73"/>
  <c r="E11" i="76"/>
  <c r="M21" i="78"/>
  <c r="F26" i="79"/>
  <c r="AO10" i="1"/>
  <c r="AO11" i="1"/>
  <c r="AO8" i="1"/>
  <c r="F38" i="67"/>
  <c r="B7" i="76"/>
  <c r="F41" i="78"/>
  <c r="AO12" i="1"/>
  <c r="D6" i="73"/>
  <c r="D2" i="35"/>
  <c r="E10" i="76"/>
  <c r="M8" i="78"/>
  <c r="B9" i="76"/>
  <c r="F13" i="79"/>
  <c r="M28" i="78"/>
  <c r="M26" i="78"/>
  <c r="F42" i="79"/>
  <c r="B10" i="76"/>
  <c r="M21" i="79"/>
  <c r="J15" i="78"/>
  <c r="F42" i="78"/>
  <c r="F38" i="79"/>
  <c r="F36" i="78"/>
  <c r="L48" i="79"/>
  <c r="M29" i="78"/>
  <c r="F6" i="78"/>
  <c r="M24" i="67"/>
  <c r="F40" i="67"/>
  <c r="D2" i="37"/>
  <c r="B8" i="76"/>
  <c r="C76" i="78"/>
  <c r="AO7" i="1"/>
  <c r="F38" i="78"/>
  <c r="F9" i="79"/>
  <c r="F35" i="78"/>
  <c r="F7" i="73"/>
  <c r="M9" i="78"/>
  <c r="F16" i="78"/>
  <c r="C14" i="79"/>
  <c r="M22" i="78"/>
  <c r="M9" i="79"/>
  <c r="J15" i="79"/>
  <c r="D3" i="73"/>
  <c r="F41" i="67"/>
  <c r="M21" i="67"/>
  <c r="F8" i="78"/>
  <c r="D7" i="73"/>
  <c r="F7" i="67"/>
  <c r="L47" i="67"/>
  <c r="F43" i="78"/>
  <c r="F20" i="31"/>
  <c r="F6" i="73"/>
  <c r="L47" i="79"/>
  <c r="E7" i="76"/>
  <c r="E9" i="76"/>
  <c r="F26" i="78"/>
  <c r="M6" i="78"/>
  <c r="M26" i="67"/>
  <c r="F6" i="79"/>
  <c r="M28" i="67"/>
  <c r="C76" i="67"/>
  <c r="F36" i="79"/>
  <c r="E12" i="76"/>
  <c r="M24" i="78"/>
  <c r="D4" i="73"/>
  <c r="M23" i="79"/>
  <c r="M26" i="79"/>
  <c r="M22" i="79"/>
  <c r="M28" i="79"/>
  <c r="B13" i="76"/>
  <c r="M8" i="79"/>
  <c r="D2" i="33"/>
  <c r="L48" i="67"/>
  <c r="F35" i="67"/>
  <c r="AO9" i="1"/>
  <c r="L47" i="78"/>
  <c r="M27" i="79"/>
  <c r="F13" i="78"/>
  <c r="M27" i="78"/>
  <c r="F40" i="78"/>
  <c r="F42" i="67"/>
  <c r="E8" i="76"/>
  <c r="F35" i="79"/>
  <c r="F8" i="79"/>
  <c r="F13" i="67"/>
  <c r="M8" i="67"/>
  <c r="F43" i="67"/>
  <c r="F7" i="78"/>
  <c r="M27" i="67"/>
  <c r="AO13" i="1"/>
  <c r="F37" i="79"/>
  <c r="F3" i="73"/>
  <c r="D2" i="34"/>
  <c r="E2" i="68"/>
  <c r="M23" i="78"/>
  <c r="A126" i="9"/>
  <c r="A12" i="52"/>
  <c r="B56" i="72"/>
  <c r="J57" i="9"/>
  <c r="J59" i="9"/>
  <c r="J61" i="9"/>
  <c r="C7" i="33"/>
  <c r="C58" i="33"/>
  <c r="D58" i="33"/>
  <c r="E58" i="33"/>
  <c r="F58" i="33"/>
  <c r="G58" i="33"/>
  <c r="H58" i="33"/>
  <c r="I58" i="33"/>
  <c r="J58" i="33"/>
  <c r="K58" i="33"/>
  <c r="L58" i="33"/>
  <c r="M58" i="33"/>
  <c r="N58" i="33"/>
  <c r="O58" i="33"/>
  <c r="F1" i="67"/>
  <c r="C7" i="37"/>
  <c r="C52" i="37"/>
  <c r="D52" i="37"/>
  <c r="E52" i="37"/>
  <c r="F52" i="37"/>
  <c r="G52" i="37"/>
  <c r="H52" i="37"/>
  <c r="I52" i="37"/>
  <c r="J52" i="37"/>
  <c r="K52" i="37"/>
  <c r="L52" i="37"/>
  <c r="M52" i="37"/>
  <c r="C7" i="35"/>
  <c r="C48" i="35"/>
  <c r="D48" i="35"/>
  <c r="C7" i="34"/>
  <c r="C59" i="34"/>
  <c r="D59" i="34"/>
  <c r="E59" i="34"/>
  <c r="F59" i="34"/>
  <c r="G59" i="34"/>
  <c r="H59" i="34"/>
  <c r="I59" i="34"/>
  <c r="J59" i="34"/>
  <c r="K59" i="34"/>
  <c r="L59" i="34"/>
  <c r="M59" i="34"/>
  <c r="N59" i="34"/>
  <c r="O59" i="34"/>
  <c r="M47" i="9"/>
  <c r="C10" i="39"/>
  <c r="J51" i="78"/>
  <c r="L56" i="78"/>
  <c r="C7" i="21"/>
  <c r="C58" i="21"/>
  <c r="D58" i="21"/>
  <c r="E58" i="21"/>
  <c r="C7" i="36"/>
  <c r="C46" i="36"/>
  <c r="D46" i="36"/>
  <c r="E46" i="36"/>
  <c r="F46" i="36"/>
  <c r="G46" i="36"/>
  <c r="H46" i="36"/>
  <c r="I46" i="36"/>
  <c r="J46" i="36"/>
  <c r="K46" i="36"/>
  <c r="L46" i="36"/>
  <c r="M46" i="36"/>
  <c r="N46" i="36"/>
  <c r="O46" i="36"/>
  <c r="G13" i="1"/>
  <c r="G11" i="1"/>
  <c r="U38" i="39"/>
  <c r="W38" i="39"/>
  <c r="B22" i="49"/>
  <c r="G9" i="1"/>
  <c r="G12" i="1"/>
  <c r="J51" i="79"/>
  <c r="E16" i="49"/>
  <c r="E10" i="49"/>
  <c r="B10" i="49"/>
  <c r="B6" i="49"/>
  <c r="B5" i="49"/>
  <c r="B7" i="49"/>
  <c r="C4" i="4"/>
  <c r="B4" i="62"/>
  <c r="B71" i="72"/>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c r="F40" i="40"/>
  <c r="AA40" i="40"/>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c r="C48" i="11"/>
  <c r="C30" i="11"/>
  <c r="W9" i="21"/>
  <c r="AC9" i="21"/>
  <c r="D121" i="9"/>
  <c r="D7" i="52"/>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c r="D70" i="71"/>
  <c r="I10" i="81"/>
  <c r="N100" i="43"/>
  <c r="D23" i="67"/>
  <c r="AB21" i="21"/>
  <c r="U18" i="35"/>
  <c r="U21" i="34"/>
  <c r="W18" i="36"/>
  <c r="W25" i="40"/>
  <c r="S21" i="34"/>
  <c r="C29" i="39"/>
  <c r="B75" i="43"/>
  <c r="C61" i="71"/>
  <c r="D61" i="71"/>
  <c r="AA11" i="71"/>
  <c r="O51" i="71"/>
  <c r="X10" i="71"/>
  <c r="Y10" i="71"/>
  <c r="Z10" i="71"/>
  <c r="AA21" i="71"/>
  <c r="AA19" i="71"/>
  <c r="AA17" i="71"/>
  <c r="Y16" i="71"/>
  <c r="Z16" i="71"/>
  <c r="X14" i="71"/>
  <c r="Y12" i="71"/>
  <c r="Z12" i="71"/>
  <c r="AA20" i="71"/>
  <c r="AA12" i="71"/>
  <c r="AB13" i="71"/>
  <c r="Y15" i="71"/>
  <c r="Z15" i="71"/>
  <c r="AB19" i="71"/>
  <c r="B26" i="71"/>
  <c r="B27" i="71"/>
  <c r="S27" i="71"/>
  <c r="B42" i="71"/>
  <c r="B43" i="71"/>
  <c r="S43" i="71"/>
  <c r="AF10" i="43"/>
  <c r="X7" i="71"/>
  <c r="D108" i="43"/>
  <c r="F22" i="71"/>
  <c r="F23" i="71"/>
  <c r="V23" i="71"/>
  <c r="F18" i="71"/>
  <c r="F19" i="71"/>
  <c r="V19" i="71"/>
  <c r="F9" i="71"/>
  <c r="F6" i="71"/>
  <c r="F5" i="7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c r="X19" i="71"/>
  <c r="AA15" i="71"/>
  <c r="AA16" i="71"/>
  <c r="AB15" i="71"/>
  <c r="Y18" i="71"/>
  <c r="Z18" i="71"/>
  <c r="B38" i="71"/>
  <c r="B39" i="71"/>
  <c r="S39" i="71"/>
  <c r="Y7" i="71"/>
  <c r="Z7" i="71"/>
  <c r="AA6" i="71"/>
  <c r="C17" i="43"/>
  <c r="F37" i="43"/>
  <c r="F34" i="43"/>
  <c r="H113" i="43"/>
  <c r="C17" i="71"/>
  <c r="D17" i="71"/>
  <c r="Y5" i="71"/>
  <c r="Z5" i="71"/>
  <c r="AB7" i="71"/>
  <c r="S41" i="33"/>
  <c r="U8" i="35"/>
  <c r="S29" i="39"/>
  <c r="P27" i="6"/>
  <c r="C58" i="71"/>
  <c r="X11" i="71"/>
  <c r="X8" i="71"/>
  <c r="AB20" i="71"/>
  <c r="X15" i="71"/>
  <c r="X13" i="71"/>
  <c r="Y17" i="71"/>
  <c r="Z17" i="71"/>
  <c r="AB18" i="71"/>
  <c r="B30" i="71"/>
  <c r="B31" i="71"/>
  <c r="S31" i="71"/>
  <c r="E42" i="71"/>
  <c r="E43" i="71"/>
  <c r="U43" i="71"/>
  <c r="AE10" i="43"/>
  <c r="AB12" i="43"/>
  <c r="AB10" i="43"/>
  <c r="K56" i="9"/>
  <c r="P61" i="15"/>
  <c r="C20" i="43"/>
  <c r="E5" i="71"/>
  <c r="C22" i="71"/>
  <c r="C18" i="71"/>
  <c r="C14" i="71"/>
  <c r="Y6" i="71"/>
  <c r="Z6" i="71"/>
  <c r="D22" i="78"/>
  <c r="I6" i="66"/>
  <c r="AC5" i="3"/>
  <c r="C21" i="68"/>
  <c r="H15" i="3"/>
  <c r="O5" i="3"/>
  <c r="I4" i="6"/>
  <c r="G3" i="43"/>
  <c r="E59" i="43"/>
  <c r="B57" i="43"/>
  <c r="F14" i="71"/>
  <c r="F15" i="71"/>
  <c r="V15" i="7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c r="BA577" i="3"/>
  <c r="BA573" i="3"/>
  <c r="BA565" i="3"/>
  <c r="AZ565" i="3"/>
  <c r="BA561" i="3"/>
  <c r="AZ561" i="3"/>
  <c r="BA557" i="3"/>
  <c r="BA549" i="3"/>
  <c r="AZ549" i="3"/>
  <c r="BA545" i="3"/>
  <c r="BA541" i="3"/>
  <c r="BA533" i="3"/>
  <c r="AZ533" i="3"/>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c r="BA513" i="3"/>
  <c r="BA509" i="3"/>
  <c r="BA501" i="3"/>
  <c r="AZ501" i="3"/>
  <c r="BA497" i="3"/>
  <c r="AZ497" i="3"/>
  <c r="BA493" i="3"/>
  <c r="BA485" i="3"/>
  <c r="AZ485" i="3"/>
  <c r="BA481" i="3"/>
  <c r="BA477" i="3"/>
  <c r="BA469" i="3"/>
  <c r="AZ469" i="3"/>
  <c r="BA465" i="3"/>
  <c r="BA457" i="3"/>
  <c r="AZ457" i="3"/>
  <c r="BA453" i="3"/>
  <c r="BA449" i="3"/>
  <c r="AZ449" i="3"/>
  <c r="BA445" i="3"/>
  <c r="BA441" i="3"/>
  <c r="BA429" i="3"/>
  <c r="BA425" i="3"/>
  <c r="AZ425" i="3"/>
  <c r="BA421" i="3"/>
  <c r="BA417" i="3"/>
  <c r="BA413" i="3"/>
  <c r="BA405" i="3"/>
  <c r="BA401" i="3"/>
  <c r="AZ401" i="3"/>
  <c r="BA393" i="3"/>
  <c r="BA389" i="3"/>
  <c r="BA385" i="3"/>
  <c r="AZ385" i="3"/>
  <c r="BA381" i="3"/>
  <c r="BA377" i="3"/>
  <c r="AZ377" i="3"/>
  <c r="BA365" i="3"/>
  <c r="BA361" i="3"/>
  <c r="AZ361" i="3"/>
  <c r="BA357" i="3"/>
  <c r="BA353" i="3"/>
  <c r="BA349" i="3"/>
  <c r="BA341" i="3"/>
  <c r="BA337" i="3"/>
  <c r="AZ337" i="3"/>
  <c r="BA329" i="3"/>
  <c r="AZ329" i="3"/>
  <c r="BA325" i="3"/>
  <c r="BA321" i="3"/>
  <c r="AZ321" i="3"/>
  <c r="BA317" i="3"/>
  <c r="BA313" i="3"/>
  <c r="BA301" i="3"/>
  <c r="BA297" i="3"/>
  <c r="AZ297" i="3"/>
  <c r="BA293" i="3"/>
  <c r="BA289" i="3"/>
  <c r="BA285" i="3"/>
  <c r="BA277" i="3"/>
  <c r="BA273" i="3"/>
  <c r="AZ273" i="3"/>
  <c r="BA265" i="3"/>
  <c r="BA261" i="3"/>
  <c r="BA257" i="3"/>
  <c r="AZ257" i="3"/>
  <c r="BA253" i="3"/>
  <c r="BA249" i="3"/>
  <c r="AZ249" i="3"/>
  <c r="BA237" i="3"/>
  <c r="BA233" i="3"/>
  <c r="AZ233" i="3"/>
  <c r="BA229" i="3"/>
  <c r="BA225" i="3"/>
  <c r="BA221" i="3"/>
  <c r="BA213" i="3"/>
  <c r="BA209" i="3"/>
  <c r="AZ209" i="3"/>
  <c r="BA205" i="3"/>
  <c r="BA197" i="3"/>
  <c r="BA193" i="3"/>
  <c r="BA189" i="3"/>
  <c r="BA181" i="3"/>
  <c r="BA177" i="3"/>
  <c r="BA165" i="3"/>
  <c r="BA157" i="3"/>
  <c r="BA149" i="3"/>
  <c r="BA141" i="3"/>
  <c r="BA125" i="3"/>
  <c r="BA117" i="3"/>
  <c r="BA109" i="3"/>
  <c r="BA101" i="3"/>
  <c r="BA93" i="3"/>
  <c r="BA85" i="3"/>
  <c r="BA77" i="3"/>
  <c r="BA69" i="3"/>
  <c r="BA53" i="3"/>
  <c r="BA45" i="3"/>
  <c r="BA587" i="3"/>
  <c r="AZ587" i="3"/>
  <c r="BA579" i="3"/>
  <c r="AZ579" i="3"/>
  <c r="BA575" i="3"/>
  <c r="AZ575" i="3"/>
  <c r="BA571" i="3"/>
  <c r="AZ571" i="3"/>
  <c r="BA563" i="3"/>
  <c r="BA559" i="3"/>
  <c r="BA555" i="3"/>
  <c r="AZ555" i="3"/>
  <c r="BA547" i="3"/>
  <c r="AZ547" i="3"/>
  <c r="BA543" i="3"/>
  <c r="BA539" i="3"/>
  <c r="AZ539" i="3"/>
  <c r="BA531" i="3"/>
  <c r="AZ531" i="3"/>
  <c r="BA527" i="3"/>
  <c r="BA523" i="3"/>
  <c r="AZ523" i="3"/>
  <c r="BA515" i="3"/>
  <c r="AZ515" i="3"/>
  <c r="BA511" i="3"/>
  <c r="AZ511" i="3"/>
  <c r="BA507" i="3"/>
  <c r="AZ507" i="3"/>
  <c r="BA499" i="3"/>
  <c r="BA495" i="3"/>
  <c r="BA491" i="3"/>
  <c r="AZ491" i="3"/>
  <c r="BA483" i="3"/>
  <c r="AZ483" i="3"/>
  <c r="BA479" i="3"/>
  <c r="BA475" i="3"/>
  <c r="AZ475" i="3"/>
  <c r="BA467" i="3"/>
  <c r="AZ467" i="3"/>
  <c r="BA463" i="3"/>
  <c r="BA459" i="3"/>
  <c r="BA455" i="3"/>
  <c r="AZ455" i="3"/>
  <c r="BA451" i="3"/>
  <c r="AZ451" i="3"/>
  <c r="BA443" i="3"/>
  <c r="AZ443" i="3"/>
  <c r="BA439" i="3"/>
  <c r="BA435" i="3"/>
  <c r="AZ435" i="3"/>
  <c r="BA431" i="3"/>
  <c r="BA427" i="3"/>
  <c r="AZ427" i="3"/>
  <c r="BA419" i="3"/>
  <c r="BA415" i="3"/>
  <c r="AZ415" i="3"/>
  <c r="BA411" i="3"/>
  <c r="AZ411" i="3"/>
  <c r="BA407" i="3"/>
  <c r="BA403" i="3"/>
  <c r="BA399" i="3"/>
  <c r="BA395" i="3"/>
  <c r="BA391" i="3"/>
  <c r="AZ391" i="3"/>
  <c r="BA387" i="3"/>
  <c r="BA379" i="3"/>
  <c r="AZ379" i="3"/>
  <c r="BA375" i="3"/>
  <c r="AZ375" i="3"/>
  <c r="BA371" i="3"/>
  <c r="AZ371" i="3"/>
  <c r="BA367" i="3"/>
  <c r="BA363" i="3"/>
  <c r="AZ363" i="3"/>
  <c r="BA355" i="3"/>
  <c r="BA351" i="3"/>
  <c r="AZ351" i="3"/>
  <c r="BA347" i="3"/>
  <c r="BA343" i="3"/>
  <c r="BA339" i="3"/>
  <c r="BA335" i="3"/>
  <c r="BA331" i="3"/>
  <c r="BA327" i="3"/>
  <c r="AZ327" i="3"/>
  <c r="BA323" i="3"/>
  <c r="AZ323" i="3"/>
  <c r="BA315" i="3"/>
  <c r="AZ315" i="3"/>
  <c r="BA311" i="3"/>
  <c r="BA307" i="3"/>
  <c r="AZ307" i="3"/>
  <c r="BA303" i="3"/>
  <c r="BA299" i="3"/>
  <c r="AZ299" i="3"/>
  <c r="BA291" i="3"/>
  <c r="BA287" i="3"/>
  <c r="AZ287" i="3"/>
  <c r="BA283" i="3"/>
  <c r="AZ283" i="3"/>
  <c r="BA279" i="3"/>
  <c r="BA275" i="3"/>
  <c r="BA271" i="3"/>
  <c r="BA267" i="3"/>
  <c r="BA263" i="3"/>
  <c r="AZ263" i="3"/>
  <c r="BA259" i="3"/>
  <c r="BA251" i="3"/>
  <c r="AZ251" i="3"/>
  <c r="BA247" i="3"/>
  <c r="AZ247" i="3"/>
  <c r="BA243" i="3"/>
  <c r="AZ243" i="3"/>
  <c r="BA239" i="3"/>
  <c r="BA235" i="3"/>
  <c r="AZ235" i="3"/>
  <c r="BA227" i="3"/>
  <c r="BA223" i="3"/>
  <c r="AZ223" i="3"/>
  <c r="BA219" i="3"/>
  <c r="BA215" i="3"/>
  <c r="BA211" i="3"/>
  <c r="BA207" i="3"/>
  <c r="BA203" i="3"/>
  <c r="BA199" i="3"/>
  <c r="BA195" i="3"/>
  <c r="BA187" i="3"/>
  <c r="AZ187" i="3"/>
  <c r="BA183" i="3"/>
  <c r="BA179" i="3"/>
  <c r="BA175" i="3"/>
  <c r="BA167" i="3"/>
  <c r="BA159" i="3"/>
  <c r="BA151" i="3"/>
  <c r="BA143" i="3"/>
  <c r="BA135" i="3"/>
  <c r="BA127" i="3"/>
  <c r="BA119" i="3"/>
  <c r="BA111" i="3"/>
  <c r="AZ111" i="3"/>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c r="BA452" i="3"/>
  <c r="BA448" i="3"/>
  <c r="BA440" i="3"/>
  <c r="BA436" i="3"/>
  <c r="BA432" i="3"/>
  <c r="BA428" i="3"/>
  <c r="BA424" i="3"/>
  <c r="BA420" i="3"/>
  <c r="BA416" i="3"/>
  <c r="BA412" i="3"/>
  <c r="BA408" i="3"/>
  <c r="BA400" i="3"/>
  <c r="BA396" i="3"/>
  <c r="BA392" i="3"/>
  <c r="AZ392" i="3"/>
  <c r="BA388" i="3"/>
  <c r="BA384" i="3"/>
  <c r="BA376" i="3"/>
  <c r="BA372" i="3"/>
  <c r="BA368" i="3"/>
  <c r="BA364" i="3"/>
  <c r="BA360" i="3"/>
  <c r="BA356" i="3"/>
  <c r="BA352" i="3"/>
  <c r="BA348" i="3"/>
  <c r="BA344" i="3"/>
  <c r="BA336" i="3"/>
  <c r="BA332" i="3"/>
  <c r="BA328" i="3"/>
  <c r="AZ328" i="3"/>
  <c r="BA324" i="3"/>
  <c r="BA320" i="3"/>
  <c r="BA312" i="3"/>
  <c r="BA308" i="3"/>
  <c r="BA304" i="3"/>
  <c r="BA300" i="3"/>
  <c r="BA296" i="3"/>
  <c r="BA292" i="3"/>
  <c r="BA288" i="3"/>
  <c r="BA284" i="3"/>
  <c r="BA280" i="3"/>
  <c r="BA272" i="3"/>
  <c r="BA268" i="3"/>
  <c r="BA264" i="3"/>
  <c r="AZ264" i="3"/>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c r="BA32" i="3"/>
  <c r="AZ32" i="3"/>
  <c r="BA586" i="3"/>
  <c r="AZ586" i="3"/>
  <c r="BA582" i="3"/>
  <c r="BA578" i="3"/>
  <c r="BA570" i="3"/>
  <c r="AZ570" i="3"/>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c r="BA482" i="3"/>
  <c r="BA474" i="3"/>
  <c r="AZ474" i="3"/>
  <c r="BA466" i="3"/>
  <c r="BA446" i="3"/>
  <c r="BA442" i="3"/>
  <c r="BA438" i="3"/>
  <c r="BA434" i="3"/>
  <c r="AZ434" i="3"/>
  <c r="BA414" i="3"/>
  <c r="BA410" i="3"/>
  <c r="BA406" i="3"/>
  <c r="BA402" i="3"/>
  <c r="BA382" i="3"/>
  <c r="BA378" i="3"/>
  <c r="BA374" i="3"/>
  <c r="BA370" i="3"/>
  <c r="AZ370" i="3"/>
  <c r="BA350" i="3"/>
  <c r="BA346" i="3"/>
  <c r="BA342" i="3"/>
  <c r="BA338" i="3"/>
  <c r="BA318" i="3"/>
  <c r="BA314" i="3"/>
  <c r="BA310" i="3"/>
  <c r="BA306" i="3"/>
  <c r="AZ306" i="3"/>
  <c r="BA286" i="3"/>
  <c r="BA282" i="3"/>
  <c r="BA278" i="3"/>
  <c r="BA274" i="3"/>
  <c r="BA254" i="3"/>
  <c r="BA250" i="3"/>
  <c r="BA246" i="3"/>
  <c r="BA242" i="3"/>
  <c r="BA222" i="3"/>
  <c r="BA218" i="3"/>
  <c r="BA214" i="3"/>
  <c r="BA210" i="3"/>
  <c r="BA206" i="3"/>
  <c r="BA202" i="3"/>
  <c r="BA198" i="3"/>
  <c r="BA182" i="3"/>
  <c r="BA178" i="3"/>
  <c r="BA174" i="3"/>
  <c r="BA170" i="3"/>
  <c r="BA166" i="3"/>
  <c r="AZ166" i="3"/>
  <c r="BA162" i="3"/>
  <c r="BA158" i="3"/>
  <c r="BA150" i="3"/>
  <c r="AZ150" i="3"/>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c r="BA30" i="3"/>
  <c r="AZ30" i="3"/>
  <c r="BA26" i="3"/>
  <c r="AZ26" i="3"/>
  <c r="BA22" i="3"/>
  <c r="AZ22" i="3"/>
  <c r="BL583" i="3"/>
  <c r="AZ583" i="3"/>
  <c r="BL567" i="3"/>
  <c r="AZ567" i="3"/>
  <c r="BL551" i="3"/>
  <c r="AZ551" i="3"/>
  <c r="BL535" i="3"/>
  <c r="AZ535" i="3"/>
  <c r="BL519" i="3"/>
  <c r="AZ519" i="3"/>
  <c r="BL503" i="3"/>
  <c r="AZ503" i="3"/>
  <c r="BL487" i="3"/>
  <c r="AZ487" i="3"/>
  <c r="BL471" i="3"/>
  <c r="AZ471" i="3"/>
  <c r="AZ459" i="3"/>
  <c r="AZ431" i="3"/>
  <c r="BL423" i="3"/>
  <c r="AZ423" i="3"/>
  <c r="AZ407" i="3"/>
  <c r="AZ395" i="3"/>
  <c r="AZ367" i="3"/>
  <c r="BL359" i="3"/>
  <c r="AZ359" i="3"/>
  <c r="AZ343" i="3"/>
  <c r="AZ303" i="3"/>
  <c r="BL295" i="3"/>
  <c r="AZ295" i="3"/>
  <c r="AZ279" i="3"/>
  <c r="AZ239" i="3"/>
  <c r="BL231" i="3"/>
  <c r="AZ231" i="3"/>
  <c r="AZ215" i="3"/>
  <c r="BL191" i="3"/>
  <c r="AZ191" i="3"/>
  <c r="BL176" i="3"/>
  <c r="AZ176" i="3"/>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c r="BL578" i="3"/>
  <c r="AZ578" i="3"/>
  <c r="BL573" i="3"/>
  <c r="AZ573" i="3"/>
  <c r="BL568" i="3"/>
  <c r="AZ568" i="3"/>
  <c r="BL557" i="3"/>
  <c r="AZ557" i="3"/>
  <c r="BL541" i="3"/>
  <c r="AZ541" i="3"/>
  <c r="BL525" i="3"/>
  <c r="AZ525" i="3"/>
  <c r="BL509" i="3"/>
  <c r="AZ509" i="3"/>
  <c r="BL498" i="3"/>
  <c r="AZ498" i="3"/>
  <c r="BL493" i="3"/>
  <c r="AZ493" i="3"/>
  <c r="BL488" i="3"/>
  <c r="AZ488" i="3"/>
  <c r="BL482" i="3"/>
  <c r="AZ482" i="3"/>
  <c r="BL477" i="3"/>
  <c r="AZ477" i="3"/>
  <c r="BL472" i="3"/>
  <c r="AZ472" i="3"/>
  <c r="BL466" i="3"/>
  <c r="AZ466" i="3"/>
  <c r="BL446" i="3"/>
  <c r="AZ446" i="3"/>
  <c r="AZ441" i="3"/>
  <c r="BL438" i="3"/>
  <c r="AZ438" i="3"/>
  <c r="BL432" i="3"/>
  <c r="AZ432" i="3"/>
  <c r="BL424" i="3"/>
  <c r="AZ424" i="3"/>
  <c r="AZ419" i="3"/>
  <c r="AZ417" i="3"/>
  <c r="BL410" i="3"/>
  <c r="AZ410" i="3"/>
  <c r="BL403" i="3"/>
  <c r="AZ403" i="3"/>
  <c r="BL402" i="3"/>
  <c r="AZ402" i="3"/>
  <c r="BL382" i="3"/>
  <c r="AZ382" i="3"/>
  <c r="BL374" i="3"/>
  <c r="AZ374" i="3"/>
  <c r="BL368" i="3"/>
  <c r="AZ368" i="3"/>
  <c r="BL360" i="3"/>
  <c r="AZ360" i="3"/>
  <c r="AZ355" i="3"/>
  <c r="AZ353" i="3"/>
  <c r="BL346" i="3"/>
  <c r="AZ346" i="3"/>
  <c r="BL345" i="3"/>
  <c r="AZ345" i="3"/>
  <c r="BL339" i="3"/>
  <c r="AZ339" i="3"/>
  <c r="BL338" i="3"/>
  <c r="AZ338" i="3"/>
  <c r="BL331" i="3"/>
  <c r="AZ331" i="3"/>
  <c r="BL318" i="3"/>
  <c r="AZ318" i="3"/>
  <c r="BL310" i="3"/>
  <c r="AZ310" i="3"/>
  <c r="BL304" i="3"/>
  <c r="AZ304" i="3"/>
  <c r="BL296" i="3"/>
  <c r="AZ296" i="3"/>
  <c r="AZ291" i="3"/>
  <c r="AZ289" i="3"/>
  <c r="BL282" i="3"/>
  <c r="AZ282" i="3"/>
  <c r="BL281" i="3"/>
  <c r="AZ281" i="3"/>
  <c r="BL275" i="3"/>
  <c r="AZ275" i="3"/>
  <c r="BL274" i="3"/>
  <c r="AZ274" i="3"/>
  <c r="BL267" i="3"/>
  <c r="AZ267" i="3"/>
  <c r="AZ227" i="3"/>
  <c r="AZ225" i="3"/>
  <c r="BL217" i="3"/>
  <c r="AZ217" i="3"/>
  <c r="BL211" i="3"/>
  <c r="AZ211" i="3"/>
  <c r="AZ203" i="3"/>
  <c r="BL202" i="3"/>
  <c r="AZ202" i="3"/>
  <c r="BL201" i="3"/>
  <c r="AZ201" i="3"/>
  <c r="AZ195" i="3"/>
  <c r="AZ193" i="3"/>
  <c r="BL192" i="3"/>
  <c r="AZ192" i="3"/>
  <c r="AZ177" i="3"/>
  <c r="AZ159" i="3"/>
  <c r="BL120" i="3"/>
  <c r="AZ120" i="3"/>
  <c r="AZ47" i="3"/>
  <c r="BL580" i="3"/>
  <c r="AZ580" i="3"/>
  <c r="BL572" i="3"/>
  <c r="AZ572" i="3"/>
  <c r="BL500" i="3"/>
  <c r="AZ500" i="3"/>
  <c r="BL492" i="3"/>
  <c r="AZ492" i="3"/>
  <c r="BL484" i="3"/>
  <c r="AZ484" i="3"/>
  <c r="BL476" i="3"/>
  <c r="AZ476" i="3"/>
  <c r="BL468" i="3"/>
  <c r="AZ468" i="3"/>
  <c r="BL462" i="3"/>
  <c r="AZ462" i="3"/>
  <c r="BL458" i="3"/>
  <c r="AZ458" i="3"/>
  <c r="BL448" i="3"/>
  <c r="AZ448" i="3"/>
  <c r="BL430" i="3"/>
  <c r="AZ430" i="3"/>
  <c r="BL426" i="3"/>
  <c r="AZ426" i="3"/>
  <c r="BL416" i="3"/>
  <c r="AZ416" i="3"/>
  <c r="BL398" i="3"/>
  <c r="AZ398" i="3"/>
  <c r="BL394" i="3"/>
  <c r="AZ394" i="3"/>
  <c r="BL384" i="3"/>
  <c r="AZ384" i="3"/>
  <c r="BL366" i="3"/>
  <c r="AZ366" i="3"/>
  <c r="BL362" i="3"/>
  <c r="AZ362" i="3"/>
  <c r="BL352" i="3"/>
  <c r="AZ352" i="3"/>
  <c r="BL334" i="3"/>
  <c r="AZ334" i="3"/>
  <c r="BL330" i="3"/>
  <c r="AZ330" i="3"/>
  <c r="BL320" i="3"/>
  <c r="AZ320" i="3"/>
  <c r="BL302" i="3"/>
  <c r="AZ302" i="3"/>
  <c r="BL298" i="3"/>
  <c r="AZ298" i="3"/>
  <c r="BL288" i="3"/>
  <c r="AZ288" i="3"/>
  <c r="BL270" i="3"/>
  <c r="AZ270" i="3"/>
  <c r="BL266" i="3"/>
  <c r="AZ266" i="3"/>
  <c r="BL199" i="3"/>
  <c r="AZ199" i="3"/>
  <c r="BL186" i="3"/>
  <c r="AZ186" i="3"/>
  <c r="AZ183" i="3"/>
  <c r="AZ151" i="3"/>
  <c r="BL136" i="3"/>
  <c r="AZ136" i="3"/>
  <c r="AZ119" i="3"/>
  <c r="AZ103" i="3"/>
  <c r="BL64" i="3"/>
  <c r="AZ64" i="3"/>
  <c r="BL582" i="3"/>
  <c r="AZ582" i="3"/>
  <c r="BL574" i="3"/>
  <c r="AZ574" i="3"/>
  <c r="BL502" i="3"/>
  <c r="AZ502" i="3"/>
  <c r="BL494" i="3"/>
  <c r="AZ494" i="3"/>
  <c r="BL486" i="3"/>
  <c r="AZ486" i="3"/>
  <c r="BL478" i="3"/>
  <c r="AZ478" i="3"/>
  <c r="BL470" i="3"/>
  <c r="AZ470" i="3"/>
  <c r="BL454" i="3"/>
  <c r="AZ454" i="3"/>
  <c r="BL450" i="3"/>
  <c r="AZ450" i="3"/>
  <c r="BL440" i="3"/>
  <c r="AZ440" i="3"/>
  <c r="BL422" i="3"/>
  <c r="AZ422" i="3"/>
  <c r="BL418" i="3"/>
  <c r="AZ418" i="3"/>
  <c r="BL408" i="3"/>
  <c r="AZ408" i="3"/>
  <c r="BL390" i="3"/>
  <c r="AZ390" i="3"/>
  <c r="BL386" i="3"/>
  <c r="AZ386" i="3"/>
  <c r="BL376" i="3"/>
  <c r="AZ376" i="3"/>
  <c r="BL358" i="3"/>
  <c r="AZ358" i="3"/>
  <c r="BL354" i="3"/>
  <c r="AZ354" i="3"/>
  <c r="BL344" i="3"/>
  <c r="AZ344" i="3"/>
  <c r="BL326" i="3"/>
  <c r="AZ326" i="3"/>
  <c r="BL322" i="3"/>
  <c r="AZ322" i="3"/>
  <c r="BL312" i="3"/>
  <c r="AZ312" i="3"/>
  <c r="BL294" i="3"/>
  <c r="AZ294" i="3"/>
  <c r="BL290" i="3"/>
  <c r="AZ290" i="3"/>
  <c r="BL280" i="3"/>
  <c r="AZ280" i="3"/>
  <c r="BL200" i="3"/>
  <c r="AZ200" i="3"/>
  <c r="BL190" i="3"/>
  <c r="AZ190" i="3"/>
  <c r="BL185" i="3"/>
  <c r="AZ185" i="3"/>
  <c r="BL179" i="3"/>
  <c r="AZ179" i="3"/>
  <c r="BL178" i="3"/>
  <c r="AZ178" i="3"/>
  <c r="BL158" i="3"/>
  <c r="AZ158" i="3"/>
  <c r="BL144" i="3"/>
  <c r="AZ144" i="3"/>
  <c r="AZ87" i="3"/>
  <c r="BL72" i="3"/>
  <c r="AZ72" i="3"/>
  <c r="AZ55" i="3"/>
  <c r="BL38" i="3"/>
  <c r="AZ38" i="3"/>
  <c r="BL174" i="3"/>
  <c r="AZ174" i="3"/>
  <c r="BL168" i="3"/>
  <c r="AZ168" i="3"/>
  <c r="AZ143" i="3"/>
  <c r="AZ135" i="3"/>
  <c r="BL134" i="3"/>
  <c r="AZ134" i="3"/>
  <c r="BL126" i="3"/>
  <c r="AZ126" i="3"/>
  <c r="AZ79" i="3"/>
  <c r="AZ71" i="3"/>
  <c r="BL70" i="3"/>
  <c r="AZ70" i="3"/>
  <c r="BL62" i="3"/>
  <c r="AZ62" i="3"/>
  <c r="BL48" i="3"/>
  <c r="AZ48" i="3"/>
  <c r="BL40" i="3"/>
  <c r="AZ40" i="3"/>
  <c r="BA27" i="3"/>
  <c r="AZ27" i="3"/>
  <c r="BA16" i="3"/>
  <c r="AZ16" i="3"/>
  <c r="BL198" i="3"/>
  <c r="AZ198" i="3"/>
  <c r="BL194" i="3"/>
  <c r="AZ194" i="3"/>
  <c r="BL184" i="3"/>
  <c r="AZ184" i="3"/>
  <c r="BL160" i="3"/>
  <c r="AZ160" i="3"/>
  <c r="BL152" i="3"/>
  <c r="AZ152" i="3"/>
  <c r="AZ127" i="3"/>
  <c r="BL118" i="3"/>
  <c r="AZ118" i="3"/>
  <c r="AZ63" i="3"/>
  <c r="BL54" i="3"/>
  <c r="AZ54" i="3"/>
  <c r="BL46" i="3"/>
  <c r="AZ46" i="3"/>
  <c r="BL461" i="3"/>
  <c r="AZ461" i="3"/>
  <c r="BL453" i="3"/>
  <c r="AZ453" i="3"/>
  <c r="BL445" i="3"/>
  <c r="AZ445" i="3"/>
  <c r="BL437" i="3"/>
  <c r="AZ437" i="3"/>
  <c r="BL429" i="3"/>
  <c r="AZ429" i="3"/>
  <c r="BL421" i="3"/>
  <c r="AZ421" i="3"/>
  <c r="BL413" i="3"/>
  <c r="AZ413" i="3"/>
  <c r="BL405" i="3"/>
  <c r="AZ405" i="3"/>
  <c r="BL397" i="3"/>
  <c r="AZ397" i="3"/>
  <c r="BL389" i="3"/>
  <c r="AZ389" i="3"/>
  <c r="BL381" i="3"/>
  <c r="AZ381" i="3"/>
  <c r="BL373" i="3"/>
  <c r="AZ373" i="3"/>
  <c r="BL365" i="3"/>
  <c r="AZ365" i="3"/>
  <c r="BL357" i="3"/>
  <c r="AZ357" i="3"/>
  <c r="BL349" i="3"/>
  <c r="AZ349" i="3"/>
  <c r="BL341" i="3"/>
  <c r="AZ341" i="3"/>
  <c r="BL333" i="3"/>
  <c r="AZ333" i="3"/>
  <c r="BL325" i="3"/>
  <c r="AZ325" i="3"/>
  <c r="BL317" i="3"/>
  <c r="AZ317" i="3"/>
  <c r="BL309" i="3"/>
  <c r="AZ309" i="3"/>
  <c r="BL301" i="3"/>
  <c r="AZ301" i="3"/>
  <c r="BL293" i="3"/>
  <c r="AZ293" i="3"/>
  <c r="BL285" i="3"/>
  <c r="AZ285" i="3"/>
  <c r="BL277" i="3"/>
  <c r="AZ277" i="3"/>
  <c r="BL269" i="3"/>
  <c r="AZ269" i="3"/>
  <c r="BL261" i="3"/>
  <c r="AZ261" i="3"/>
  <c r="BL253" i="3"/>
  <c r="AZ253" i="3"/>
  <c r="BL245" i="3"/>
  <c r="AZ245" i="3"/>
  <c r="BL237" i="3"/>
  <c r="AZ237" i="3"/>
  <c r="BL229" i="3"/>
  <c r="AZ229" i="3"/>
  <c r="BL221" i="3"/>
  <c r="AZ221" i="3"/>
  <c r="BL213" i="3"/>
  <c r="AZ213" i="3"/>
  <c r="BL205" i="3"/>
  <c r="AZ205" i="3"/>
  <c r="BL197" i="3"/>
  <c r="AZ197" i="3"/>
  <c r="BL189" i="3"/>
  <c r="AZ189" i="3"/>
  <c r="BL181" i="3"/>
  <c r="AZ181" i="3"/>
  <c r="BL173" i="3"/>
  <c r="AZ173" i="3"/>
  <c r="BL169" i="3"/>
  <c r="BL153" i="3"/>
  <c r="BL137" i="3"/>
  <c r="BL121" i="3"/>
  <c r="BL105" i="3"/>
  <c r="BL89" i="3"/>
  <c r="BL73" i="3"/>
  <c r="BL57" i="3"/>
  <c r="BL41" i="3"/>
  <c r="BL460" i="3"/>
  <c r="AZ460" i="3"/>
  <c r="BL452" i="3"/>
  <c r="AZ452" i="3"/>
  <c r="BL444" i="3"/>
  <c r="AZ444" i="3"/>
  <c r="BL436" i="3"/>
  <c r="AZ436" i="3"/>
  <c r="BL428" i="3"/>
  <c r="AZ428" i="3"/>
  <c r="BL420" i="3"/>
  <c r="AZ420" i="3"/>
  <c r="BL412" i="3"/>
  <c r="AZ412" i="3"/>
  <c r="BL404" i="3"/>
  <c r="AZ404" i="3"/>
  <c r="BL396" i="3"/>
  <c r="AZ396" i="3"/>
  <c r="BL388" i="3"/>
  <c r="AZ388" i="3"/>
  <c r="BL380" i="3"/>
  <c r="AZ380" i="3"/>
  <c r="BL372" i="3"/>
  <c r="AZ372" i="3"/>
  <c r="BL364" i="3"/>
  <c r="AZ364" i="3"/>
  <c r="BL356" i="3"/>
  <c r="AZ356" i="3"/>
  <c r="BL348" i="3"/>
  <c r="AZ348" i="3"/>
  <c r="BL340" i="3"/>
  <c r="AZ340" i="3"/>
  <c r="BL332" i="3"/>
  <c r="AZ332" i="3"/>
  <c r="BL324" i="3"/>
  <c r="AZ324" i="3"/>
  <c r="BL316" i="3"/>
  <c r="AZ316" i="3"/>
  <c r="BL308" i="3"/>
  <c r="AZ308" i="3"/>
  <c r="BL300" i="3"/>
  <c r="AZ300" i="3"/>
  <c r="BL292" i="3"/>
  <c r="AZ292" i="3"/>
  <c r="BL284" i="3"/>
  <c r="AZ284" i="3"/>
  <c r="BL276" i="3"/>
  <c r="AZ276" i="3"/>
  <c r="BL268" i="3"/>
  <c r="AZ268" i="3"/>
  <c r="BL204" i="3"/>
  <c r="AZ204" i="3"/>
  <c r="BL196" i="3"/>
  <c r="AZ196" i="3"/>
  <c r="BL188" i="3"/>
  <c r="AZ188" i="3"/>
  <c r="BL180" i="3"/>
  <c r="AZ180" i="3"/>
  <c r="BA18" i="3"/>
  <c r="AZ18" i="3"/>
  <c r="BA14" i="3"/>
  <c r="AZ14" i="3"/>
  <c r="G25" i="3"/>
  <c r="E19" i="6"/>
  <c r="D3" i="39"/>
  <c r="BL165" i="3"/>
  <c r="AZ165" i="3"/>
  <c r="BL157" i="3"/>
  <c r="AZ157" i="3"/>
  <c r="BL149" i="3"/>
  <c r="AZ149" i="3"/>
  <c r="BL141" i="3"/>
  <c r="AZ141" i="3"/>
  <c r="BL133" i="3"/>
  <c r="AZ133" i="3"/>
  <c r="BL125" i="3"/>
  <c r="AZ125" i="3"/>
  <c r="BL117" i="3"/>
  <c r="AZ117" i="3"/>
  <c r="BL109" i="3"/>
  <c r="AZ109" i="3"/>
  <c r="BL101" i="3"/>
  <c r="AZ101" i="3"/>
  <c r="BL93" i="3"/>
  <c r="AZ93" i="3"/>
  <c r="BL85" i="3"/>
  <c r="AZ85" i="3"/>
  <c r="BL77" i="3"/>
  <c r="AZ77" i="3"/>
  <c r="BL69" i="3"/>
  <c r="AZ69" i="3"/>
  <c r="BL61" i="3"/>
  <c r="AZ61" i="3"/>
  <c r="BL53" i="3"/>
  <c r="AZ53" i="3"/>
  <c r="BL45" i="3"/>
  <c r="AZ45" i="3"/>
  <c r="BL171" i="3"/>
  <c r="BL163" i="3"/>
  <c r="AZ163" i="3"/>
  <c r="BL155" i="3"/>
  <c r="AZ155" i="3"/>
  <c r="BL147" i="3"/>
  <c r="BL139" i="3"/>
  <c r="BL131" i="3"/>
  <c r="AZ131" i="3"/>
  <c r="BL123" i="3"/>
  <c r="AZ123" i="3"/>
  <c r="BL115" i="3"/>
  <c r="BL107" i="3"/>
  <c r="BL99" i="3"/>
  <c r="AZ99" i="3"/>
  <c r="BL91" i="3"/>
  <c r="AZ91" i="3"/>
  <c r="BL83" i="3"/>
  <c r="BL75" i="3"/>
  <c r="BL67" i="3"/>
  <c r="AZ67" i="3"/>
  <c r="BL59" i="3"/>
  <c r="AZ59" i="3"/>
  <c r="BL51" i="3"/>
  <c r="BL43" i="3"/>
  <c r="BI5" i="3"/>
  <c r="BA169" i="3"/>
  <c r="BA161" i="3"/>
  <c r="AZ161" i="3"/>
  <c r="BA153" i="3"/>
  <c r="BA145" i="3"/>
  <c r="AZ145" i="3"/>
  <c r="BA137" i="3"/>
  <c r="BA129" i="3"/>
  <c r="AZ129" i="3"/>
  <c r="BA121" i="3"/>
  <c r="BA113" i="3"/>
  <c r="AZ113" i="3"/>
  <c r="BA105" i="3"/>
  <c r="BA97" i="3"/>
  <c r="AZ97" i="3"/>
  <c r="BA89" i="3"/>
  <c r="BA81" i="3"/>
  <c r="AZ81" i="3"/>
  <c r="BA73" i="3"/>
  <c r="BA65" i="3"/>
  <c r="AZ65" i="3"/>
  <c r="BA57" i="3"/>
  <c r="BA49" i="3"/>
  <c r="AZ49" i="3"/>
  <c r="BA41" i="3"/>
  <c r="BA37" i="3"/>
  <c r="AZ37" i="3"/>
  <c r="BA33" i="3"/>
  <c r="AZ33" i="3"/>
  <c r="BA171" i="3"/>
  <c r="BA163" i="3"/>
  <c r="BA155" i="3"/>
  <c r="BA147" i="3"/>
  <c r="BA139" i="3"/>
  <c r="BA131" i="3"/>
  <c r="BA123" i="3"/>
  <c r="BA115" i="3"/>
  <c r="BA107" i="3"/>
  <c r="BA99" i="3"/>
  <c r="BA91" i="3"/>
  <c r="BA83" i="3"/>
  <c r="BA75" i="3"/>
  <c r="BA67" i="3"/>
  <c r="BA59" i="3"/>
  <c r="BA51" i="3"/>
  <c r="BA43" i="3"/>
  <c r="G28" i="3"/>
  <c r="G13" i="3"/>
  <c r="BL35" i="3"/>
  <c r="BL31" i="3"/>
  <c r="AZ31" i="3"/>
  <c r="BL21" i="3"/>
  <c r="BL170" i="3"/>
  <c r="AZ170" i="3"/>
  <c r="BL162" i="3"/>
  <c r="AZ162" i="3"/>
  <c r="BL154" i="3"/>
  <c r="AZ154" i="3"/>
  <c r="BL146" i="3"/>
  <c r="AZ146" i="3"/>
  <c r="BL138" i="3"/>
  <c r="AZ138" i="3"/>
  <c r="BL130" i="3"/>
  <c r="AZ130" i="3"/>
  <c r="BL122" i="3"/>
  <c r="AZ122" i="3"/>
  <c r="BL74" i="3"/>
  <c r="AZ74" i="3"/>
  <c r="BL66" i="3"/>
  <c r="AZ66" i="3"/>
  <c r="BL58" i="3"/>
  <c r="AZ58" i="3"/>
  <c r="BL50" i="3"/>
  <c r="AZ50" i="3"/>
  <c r="BL42" i="3"/>
  <c r="AZ42" i="3"/>
  <c r="BK5" i="3"/>
  <c r="BG5" i="3"/>
  <c r="BC5" i="3"/>
  <c r="BA28" i="3"/>
  <c r="AZ28" i="3"/>
  <c r="BA24" i="3"/>
  <c r="AZ24" i="3"/>
  <c r="BL172" i="3"/>
  <c r="AZ172" i="3"/>
  <c r="BL164" i="3"/>
  <c r="AZ164" i="3"/>
  <c r="BL156" i="3"/>
  <c r="AZ156" i="3"/>
  <c r="BL148" i="3"/>
  <c r="AZ148" i="3"/>
  <c r="BL140" i="3"/>
  <c r="AZ140" i="3"/>
  <c r="BL132" i="3"/>
  <c r="AZ132" i="3"/>
  <c r="BL124" i="3"/>
  <c r="AZ124" i="3"/>
  <c r="BL68" i="3"/>
  <c r="AZ68" i="3"/>
  <c r="BL60" i="3"/>
  <c r="AZ60" i="3"/>
  <c r="BL52" i="3"/>
  <c r="AZ52" i="3"/>
  <c r="BL44" i="3"/>
  <c r="AZ44" i="3"/>
  <c r="E75" i="82"/>
  <c r="F72" i="82"/>
  <c r="G30" i="3"/>
  <c r="G22" i="3"/>
  <c r="B20" i="31"/>
  <c r="F69" i="67"/>
  <c r="J20" i="67"/>
  <c r="F70" i="67"/>
  <c r="F68" i="67"/>
  <c r="L58" i="67"/>
  <c r="L59" i="67"/>
  <c r="M59" i="67"/>
  <c r="N59" i="67"/>
  <c r="J57" i="67"/>
  <c r="J55" i="67"/>
  <c r="J58" i="67"/>
  <c r="Q50" i="67"/>
  <c r="I54" i="67"/>
  <c r="L56" i="67"/>
  <c r="Q71" i="67"/>
  <c r="F66" i="67"/>
  <c r="F71" i="67"/>
  <c r="M7" i="67"/>
  <c r="F50" i="67"/>
  <c r="C34" i="67"/>
  <c r="F63" i="67"/>
  <c r="C62" i="67"/>
  <c r="E20" i="43"/>
  <c r="J20" i="78"/>
  <c r="J20" i="79"/>
  <c r="F66" i="78"/>
  <c r="F65" i="78"/>
  <c r="F64" i="78"/>
  <c r="C27" i="78"/>
  <c r="C18" i="78"/>
  <c r="C15" i="78"/>
  <c r="C19" i="78"/>
  <c r="F63" i="78"/>
  <c r="C62" i="78"/>
  <c r="F51" i="78"/>
  <c r="L59" i="78"/>
  <c r="L58" i="78"/>
  <c r="Q71" i="78"/>
  <c r="M59" i="79"/>
  <c r="L59" i="79"/>
  <c r="L58" i="79"/>
  <c r="N59" i="79"/>
  <c r="Q71" i="79"/>
  <c r="F69" i="78"/>
  <c r="F68" i="78"/>
  <c r="F71" i="78"/>
  <c r="M7" i="78"/>
  <c r="J6" i="78"/>
  <c r="F50" i="78"/>
  <c r="C6" i="78"/>
  <c r="B8" i="70"/>
  <c r="L46" i="79"/>
  <c r="L56" i="79"/>
  <c r="L60" i="79"/>
  <c r="L57" i="79"/>
  <c r="F66" i="79"/>
  <c r="F65" i="79"/>
  <c r="F64" i="79"/>
  <c r="C27" i="79"/>
  <c r="C15" i="79"/>
  <c r="C19" i="79"/>
  <c r="C18" i="79"/>
  <c r="F63" i="79"/>
  <c r="F51" i="79"/>
  <c r="N52" i="37"/>
  <c r="O52" i="37"/>
  <c r="AB17" i="33"/>
  <c r="U17" i="33"/>
  <c r="W36" i="33"/>
  <c r="AC36" i="33"/>
  <c r="W32" i="39"/>
  <c r="AC32" i="39"/>
  <c r="AC11" i="37"/>
  <c r="W11" i="37"/>
  <c r="W10" i="37"/>
  <c r="AC10" i="37"/>
  <c r="P16" i="1"/>
  <c r="C11" i="12"/>
  <c r="E48" i="35"/>
  <c r="S32" i="21"/>
  <c r="J7" i="34"/>
  <c r="D9" i="53"/>
  <c r="B25" i="72"/>
  <c r="B24" i="72"/>
  <c r="AA9" i="34"/>
  <c r="S9" i="34"/>
  <c r="K120" i="9"/>
  <c r="A18" i="62"/>
  <c r="B64" i="72"/>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c r="D10" i="71"/>
  <c r="C6" i="71"/>
  <c r="D7" i="71"/>
  <c r="U7" i="7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c r="D29" i="71"/>
  <c r="D33" i="71"/>
  <c r="C34" i="71"/>
  <c r="D41" i="71"/>
  <c r="C42" i="71"/>
  <c r="E9" i="43"/>
  <c r="E11" i="43"/>
  <c r="E8" i="43"/>
  <c r="E10" i="43"/>
  <c r="U40" i="40"/>
  <c r="U34" i="40"/>
  <c r="S40" i="40"/>
  <c r="S34" i="40"/>
  <c r="AC9" i="40"/>
  <c r="AC40" i="40"/>
  <c r="S30" i="36"/>
  <c r="AC31" i="35"/>
  <c r="X5" i="71"/>
  <c r="C28" i="81"/>
  <c r="D1" i="81"/>
  <c r="E10" i="81"/>
  <c r="I21" i="81"/>
  <c r="C29" i="81"/>
  <c r="J53" i="79"/>
  <c r="J59" i="79"/>
  <c r="J57" i="79"/>
  <c r="J55" i="79"/>
  <c r="J58" i="79"/>
  <c r="Q50" i="79"/>
  <c r="J60" i="79"/>
  <c r="Q48" i="79"/>
  <c r="I54" i="79"/>
  <c r="F32" i="15"/>
  <c r="F60" i="15"/>
  <c r="F32" i="78"/>
  <c r="F60" i="78"/>
  <c r="F28" i="78"/>
  <c r="M18" i="79"/>
  <c r="F28" i="15"/>
  <c r="F32" i="79"/>
  <c r="F60" i="79"/>
  <c r="F28" i="79"/>
  <c r="M18" i="78"/>
  <c r="K100" i="43"/>
  <c r="G100" i="43"/>
  <c r="L100" i="43"/>
  <c r="S21" i="21"/>
  <c r="U18" i="36"/>
  <c r="D50" i="71"/>
  <c r="D59" i="71"/>
  <c r="E58" i="71"/>
  <c r="E57" i="71"/>
  <c r="Q51" i="71"/>
  <c r="D51" i="71"/>
  <c r="E50" i="71"/>
  <c r="F50" i="71"/>
  <c r="AH10" i="43"/>
  <c r="AD10" i="43"/>
  <c r="Z10" i="43"/>
  <c r="AG10" i="43"/>
  <c r="AC10" i="43"/>
  <c r="F22" i="43"/>
  <c r="E22" i="43"/>
  <c r="C6" i="43"/>
  <c r="H17" i="43"/>
  <c r="J17" i="43"/>
  <c r="D11" i="71"/>
  <c r="U11" i="71"/>
  <c r="B10" i="71"/>
  <c r="B9" i="71"/>
  <c r="AA5" i="71"/>
  <c r="C28" i="80"/>
  <c r="C34" i="78"/>
  <c r="C25" i="66"/>
  <c r="I11" i="66"/>
  <c r="I18" i="66"/>
  <c r="F34" i="79"/>
  <c r="K6" i="1"/>
  <c r="G1" i="15"/>
  <c r="G1" i="68"/>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20" i="3"/>
  <c r="AZ520" i="3"/>
  <c r="BL518" i="3"/>
  <c r="AZ518" i="3"/>
  <c r="BL516" i="3"/>
  <c r="AZ516" i="3"/>
  <c r="BL514" i="3"/>
  <c r="AZ514" i="3"/>
  <c r="BL512" i="3"/>
  <c r="AZ512" i="3"/>
  <c r="BL510" i="3"/>
  <c r="AZ510" i="3"/>
  <c r="BL508" i="3"/>
  <c r="AZ508" i="3"/>
  <c r="BL506" i="3"/>
  <c r="AZ506" i="3"/>
  <c r="BL504" i="3"/>
  <c r="AZ504" i="3"/>
  <c r="BL262" i="3"/>
  <c r="AZ262" i="3"/>
  <c r="BL260" i="3"/>
  <c r="AZ260" i="3"/>
  <c r="BL258" i="3"/>
  <c r="AZ258" i="3"/>
  <c r="BL256" i="3"/>
  <c r="AZ256" i="3"/>
  <c r="BL254" i="3"/>
  <c r="AZ254" i="3"/>
  <c r="BL252" i="3"/>
  <c r="AZ252" i="3"/>
  <c r="BL250" i="3"/>
  <c r="AZ250" i="3"/>
  <c r="BL248" i="3"/>
  <c r="AZ248" i="3"/>
  <c r="BL246" i="3"/>
  <c r="AZ246" i="3"/>
  <c r="BL244" i="3"/>
  <c r="AZ244" i="3"/>
  <c r="BL242" i="3"/>
  <c r="AZ242" i="3"/>
  <c r="BL240" i="3"/>
  <c r="AZ240" i="3"/>
  <c r="BL238" i="3"/>
  <c r="AZ238" i="3"/>
  <c r="BL236" i="3"/>
  <c r="AZ236" i="3"/>
  <c r="BL234" i="3"/>
  <c r="AZ234" i="3"/>
  <c r="BL232" i="3"/>
  <c r="AZ232" i="3"/>
  <c r="BL230" i="3"/>
  <c r="AZ230" i="3"/>
  <c r="BL228" i="3"/>
  <c r="AZ228" i="3"/>
  <c r="BL226" i="3"/>
  <c r="AZ226" i="3"/>
  <c r="BL224" i="3"/>
  <c r="AZ224" i="3"/>
  <c r="BL222" i="3"/>
  <c r="AZ222" i="3"/>
  <c r="BL220" i="3"/>
  <c r="AZ220" i="3"/>
  <c r="BL218" i="3"/>
  <c r="AZ218" i="3"/>
  <c r="BL216" i="3"/>
  <c r="AZ216" i="3"/>
  <c r="BL214" i="3"/>
  <c r="AZ214" i="3"/>
  <c r="BL212" i="3"/>
  <c r="AZ212" i="3"/>
  <c r="BL210" i="3"/>
  <c r="AZ210" i="3"/>
  <c r="BL116" i="3"/>
  <c r="AZ116" i="3"/>
  <c r="BL114" i="3"/>
  <c r="AZ114" i="3"/>
  <c r="BL112" i="3"/>
  <c r="AZ112" i="3"/>
  <c r="BL110" i="3"/>
  <c r="AZ110" i="3"/>
  <c r="BL108" i="3"/>
  <c r="AZ108" i="3"/>
  <c r="BL106" i="3"/>
  <c r="AZ106" i="3"/>
  <c r="BL104" i="3"/>
  <c r="AZ104" i="3"/>
  <c r="BL102" i="3"/>
  <c r="AZ102" i="3"/>
  <c r="BL100" i="3"/>
  <c r="AZ100" i="3"/>
  <c r="BL98" i="3"/>
  <c r="AZ98" i="3"/>
  <c r="BL96" i="3"/>
  <c r="AZ96" i="3"/>
  <c r="BL94" i="3"/>
  <c r="AZ94" i="3"/>
  <c r="BL92" i="3"/>
  <c r="AZ92" i="3"/>
  <c r="BL90" i="3"/>
  <c r="AZ90" i="3"/>
  <c r="BL88" i="3"/>
  <c r="AZ88" i="3"/>
  <c r="BL86" i="3"/>
  <c r="AZ86" i="3"/>
  <c r="BL84" i="3"/>
  <c r="AZ84" i="3"/>
  <c r="BL82" i="3"/>
  <c r="AZ82" i="3"/>
  <c r="BL80" i="3"/>
  <c r="AZ80" i="3"/>
  <c r="BL78" i="3"/>
  <c r="AZ78" i="3"/>
  <c r="BL76" i="3"/>
  <c r="BR5" i="3"/>
  <c r="BO5" i="3"/>
  <c r="BM5" i="3"/>
  <c r="F29" i="6"/>
  <c r="BH5" i="3"/>
  <c r="BE5" i="3"/>
  <c r="BA20" i="3"/>
  <c r="AZ20" i="3"/>
  <c r="BB5" i="3"/>
  <c r="BP5" i="3"/>
  <c r="BS5" i="3"/>
  <c r="BT5" i="3"/>
  <c r="E8" i="6"/>
  <c r="BJ5" i="3"/>
  <c r="BF5" i="3"/>
  <c r="E15" i="6"/>
  <c r="BA23" i="3"/>
  <c r="AZ23" i="3"/>
  <c r="BA21" i="3"/>
  <c r="AZ21" i="3"/>
  <c r="BA19" i="3"/>
  <c r="AZ19" i="3"/>
  <c r="BA17" i="3"/>
  <c r="AZ17" i="3"/>
  <c r="BA13" i="3"/>
  <c r="BN5" i="3"/>
  <c r="G29" i="6"/>
  <c r="BQ5" i="3"/>
  <c r="F28" i="6"/>
  <c r="F25" i="39"/>
  <c r="E99" i="39"/>
  <c r="H25" i="39"/>
  <c r="J25" i="39"/>
  <c r="BA15" i="3"/>
  <c r="AZ15" i="3"/>
  <c r="J17" i="39"/>
  <c r="F99" i="39"/>
  <c r="G99" i="39"/>
  <c r="F40" i="79"/>
  <c r="F43" i="79"/>
  <c r="F7" i="79"/>
  <c r="M22" i="67"/>
  <c r="M6" i="67"/>
  <c r="M9" i="67"/>
  <c r="F36" i="67"/>
  <c r="F41" i="79"/>
  <c r="C16" i="78"/>
  <c r="F26" i="67"/>
  <c r="F9" i="67"/>
  <c r="C17" i="67"/>
  <c r="M6" i="79"/>
  <c r="C17" i="78"/>
  <c r="M23" i="67"/>
  <c r="C14" i="67"/>
  <c r="C16" i="67"/>
  <c r="F16" i="79"/>
  <c r="F37" i="67"/>
  <c r="J15" i="67"/>
  <c r="F8" i="67"/>
  <c r="C16" i="43"/>
  <c r="L57" i="78"/>
  <c r="J7" i="33"/>
  <c r="L60" i="78"/>
  <c r="Q57" i="78"/>
  <c r="F7" i="33"/>
  <c r="S7" i="33"/>
  <c r="H7" i="37"/>
  <c r="F7" i="37"/>
  <c r="H7" i="33"/>
  <c r="U7" i="33"/>
  <c r="AA7" i="33"/>
  <c r="R48" i="33"/>
  <c r="R49" i="33"/>
  <c r="H7" i="34"/>
  <c r="U7" i="34"/>
  <c r="C31" i="12"/>
  <c r="E48" i="33"/>
  <c r="E52" i="33"/>
  <c r="F52" i="33"/>
  <c r="C28" i="79"/>
  <c r="C28" i="78"/>
  <c r="F7" i="34"/>
  <c r="C13" i="12"/>
  <c r="AB7" i="33"/>
  <c r="T48" i="33"/>
  <c r="G48" i="33"/>
  <c r="E4" i="4"/>
  <c r="B5" i="62"/>
  <c r="B73" i="72"/>
  <c r="I54" i="78"/>
  <c r="J53" i="78"/>
  <c r="Q52" i="78"/>
  <c r="H7" i="36"/>
  <c r="U7" i="36"/>
  <c r="M59" i="78"/>
  <c r="J60" i="78"/>
  <c r="Q48" i="78"/>
  <c r="C24" i="12"/>
  <c r="J59" i="78"/>
  <c r="N59" i="78"/>
  <c r="J57" i="78"/>
  <c r="J55" i="78"/>
  <c r="J58" i="78"/>
  <c r="Q50" i="78"/>
  <c r="L46" i="78"/>
  <c r="F7" i="36"/>
  <c r="S7" i="36"/>
  <c r="J7" i="37"/>
  <c r="W7" i="37"/>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c r="Z11" i="43"/>
  <c r="Z13" i="43"/>
  <c r="AG11" i="43"/>
  <c r="AG13" i="43"/>
  <c r="Y11" i="43"/>
  <c r="Y13" i="43"/>
  <c r="S4" i="43"/>
  <c r="D101" i="43"/>
  <c r="G101" i="43"/>
  <c r="H101" i="43"/>
  <c r="AF11" i="43"/>
  <c r="AF13" i="43"/>
  <c r="Z7" i="43"/>
  <c r="AE11" i="43"/>
  <c r="AE13" i="43"/>
  <c r="S3" i="43"/>
  <c r="M101" i="43"/>
  <c r="E101" i="43"/>
  <c r="AD11" i="43"/>
  <c r="AD13" i="43"/>
  <c r="S5" i="43"/>
  <c r="AC11" i="43"/>
  <c r="AC13" i="43"/>
  <c r="S7" i="43"/>
  <c r="B113" i="43"/>
  <c r="K101" i="43"/>
  <c r="J101" i="43"/>
  <c r="H22" i="43"/>
  <c r="AJ11" i="43"/>
  <c r="AJ13" i="43"/>
  <c r="S2" i="43"/>
  <c r="AB11" i="43"/>
  <c r="AB13" i="43"/>
  <c r="N104" i="46"/>
  <c r="AI11" i="43"/>
  <c r="AI13" i="43"/>
  <c r="S6" i="43"/>
  <c r="AA11" i="43"/>
  <c r="AA13" i="43"/>
  <c r="F101" i="43"/>
  <c r="J22" i="43"/>
  <c r="C23" i="43"/>
  <c r="C21" i="43"/>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c r="AZ57" i="3"/>
  <c r="AZ121" i="3"/>
  <c r="AZ182" i="3"/>
  <c r="AZ35" i="3"/>
  <c r="AZ336" i="3"/>
  <c r="AZ406" i="3"/>
  <c r="AZ128" i="3"/>
  <c r="AZ378" i="3"/>
  <c r="G15" i="3"/>
  <c r="G5" i="3"/>
  <c r="B3" i="3"/>
  <c r="E20" i="3"/>
  <c r="M133" i="9"/>
  <c r="H5" i="3"/>
  <c r="D58" i="71"/>
  <c r="C57" i="71"/>
  <c r="D57" i="71"/>
  <c r="D9" i="69"/>
  <c r="C9" i="69"/>
  <c r="D19" i="12"/>
  <c r="C19" i="12"/>
  <c r="D9" i="11"/>
  <c r="C9" i="1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c r="AB32" i="36"/>
  <c r="U32" i="36"/>
  <c r="AC23" i="36"/>
  <c r="W23" i="36"/>
  <c r="AB27" i="33"/>
  <c r="U27" i="33"/>
  <c r="AA46" i="21"/>
  <c r="S46" i="21"/>
  <c r="U30" i="21"/>
  <c r="AB30" i="21"/>
  <c r="AB12" i="40"/>
  <c r="U12" i="40"/>
  <c r="W27" i="21"/>
  <c r="AC27" i="21"/>
  <c r="F71" i="79"/>
  <c r="F69" i="79"/>
  <c r="C27" i="67"/>
  <c r="J6" i="67"/>
  <c r="F64" i="67"/>
  <c r="C18" i="67"/>
  <c r="C15" i="67"/>
  <c r="M7" i="79"/>
  <c r="J6" i="79"/>
  <c r="F50" i="79"/>
  <c r="C49" i="79"/>
  <c r="C6" i="79"/>
  <c r="F68" i="79"/>
  <c r="F51" i="67"/>
  <c r="C49" i="67"/>
  <c r="C6" i="67"/>
  <c r="F65" i="67"/>
  <c r="E65" i="39"/>
  <c r="E60" i="40"/>
  <c r="E61" i="39"/>
  <c r="E56" i="40"/>
  <c r="E62" i="39"/>
  <c r="E57" i="40"/>
  <c r="AB25" i="39"/>
  <c r="U25" i="39"/>
  <c r="F30" i="6"/>
  <c r="E21" i="3"/>
  <c r="M134" i="9"/>
  <c r="E19" i="3"/>
  <c r="M132" i="9"/>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C34" i="79"/>
  <c r="F62" i="79"/>
  <c r="C62" i="79"/>
  <c r="C26" i="66"/>
  <c r="D1" i="66"/>
  <c r="E6" i="66"/>
  <c r="C33" i="80"/>
  <c r="C31" i="80"/>
  <c r="E27" i="80"/>
  <c r="C5" i="43"/>
  <c r="D22" i="43"/>
  <c r="F49" i="71"/>
  <c r="Q50" i="71"/>
  <c r="C27" i="81"/>
  <c r="C43" i="71"/>
  <c r="D42" i="71"/>
  <c r="C35" i="71"/>
  <c r="D34" i="71"/>
  <c r="AB34" i="35"/>
  <c r="U34" i="35"/>
  <c r="U9" i="34"/>
  <c r="AB9" i="34"/>
  <c r="D6" i="71"/>
  <c r="C5" i="71"/>
  <c r="AB34" i="36"/>
  <c r="U34" i="36"/>
  <c r="AB36" i="35"/>
  <c r="U36" i="35"/>
  <c r="AB7" i="37"/>
  <c r="T42" i="37"/>
  <c r="G42" i="37"/>
  <c r="U7" i="37"/>
  <c r="W7" i="34"/>
  <c r="AC7" i="34"/>
  <c r="V49" i="34"/>
  <c r="I49" i="34"/>
  <c r="F58" i="21"/>
  <c r="J7" i="36"/>
  <c r="F48" i="35"/>
  <c r="S7" i="34"/>
  <c r="AA7" i="34"/>
  <c r="R49" i="34"/>
  <c r="C20" i="79"/>
  <c r="Q74" i="79"/>
  <c r="Q61" i="79"/>
  <c r="Q74" i="78"/>
  <c r="Q61" i="78"/>
  <c r="C49" i="78"/>
  <c r="C20" i="78"/>
  <c r="Q60" i="67"/>
  <c r="Q73" i="67"/>
  <c r="AC17" i="39"/>
  <c r="W17" i="39"/>
  <c r="AC25" i="39"/>
  <c r="W25" i="39"/>
  <c r="AA25" i="39"/>
  <c r="S25" i="39"/>
  <c r="BA5" i="3"/>
  <c r="E27" i="6"/>
  <c r="AZ13" i="3"/>
  <c r="E14" i="6"/>
  <c r="E56" i="39"/>
  <c r="F27" i="6"/>
  <c r="F31" i="6"/>
  <c r="E51" i="40"/>
  <c r="E10" i="6"/>
  <c r="E16" i="6"/>
  <c r="E29" i="6"/>
  <c r="K15" i="1"/>
  <c r="G28" i="6"/>
  <c r="G30" i="6"/>
  <c r="G31" i="6"/>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c r="AB7" i="34"/>
  <c r="T49" i="34"/>
  <c r="G49" i="34"/>
  <c r="AB7" i="36"/>
  <c r="T36" i="36"/>
  <c r="G36" i="36"/>
  <c r="C15" i="12"/>
  <c r="C12" i="12"/>
  <c r="AA7" i="37"/>
  <c r="R42" i="37"/>
  <c r="S7" i="37"/>
  <c r="Q66" i="79"/>
  <c r="Q57" i="79"/>
  <c r="Q73" i="79"/>
  <c r="Q60" i="79"/>
  <c r="Q73" i="78"/>
  <c r="Q60" i="78"/>
  <c r="F11" i="79"/>
  <c r="C53" i="79"/>
  <c r="M11" i="79"/>
  <c r="F11" i="78"/>
  <c r="M11" i="78"/>
  <c r="J10" i="78"/>
  <c r="J5" i="78"/>
  <c r="M11" i="67"/>
  <c r="J10" i="67"/>
  <c r="F11" i="67"/>
  <c r="P17" i="43"/>
  <c r="N17" i="43"/>
  <c r="O17" i="43"/>
  <c r="M17" i="43"/>
  <c r="Q61" i="67"/>
  <c r="Q74" i="67"/>
  <c r="M28" i="15"/>
  <c r="M27" i="15"/>
  <c r="C16" i="79"/>
  <c r="M23" i="15"/>
  <c r="J15" i="15"/>
  <c r="M22" i="15"/>
  <c r="M24" i="15"/>
  <c r="L47" i="15"/>
  <c r="M26" i="15"/>
  <c r="C76" i="15"/>
  <c r="M29" i="15"/>
  <c r="C17" i="79"/>
  <c r="Q66" i="78"/>
  <c r="AC7" i="33"/>
  <c r="V48" i="33"/>
  <c r="I48" i="33"/>
  <c r="W7" i="33"/>
  <c r="F1" i="78"/>
  <c r="G52" i="33"/>
  <c r="H52" i="33"/>
  <c r="E53" i="33"/>
  <c r="F53" i="33"/>
  <c r="K4" i="4"/>
  <c r="B46" i="48"/>
  <c r="B4" i="72"/>
  <c r="AC7" i="37"/>
  <c r="V42" i="37"/>
  <c r="I42" i="37"/>
  <c r="G47" i="37"/>
  <c r="H47" i="37"/>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c r="D118" i="43"/>
  <c r="E118" i="43"/>
  <c r="F118" i="43"/>
  <c r="D115" i="43"/>
  <c r="E115" i="43"/>
  <c r="F115" i="43"/>
  <c r="G115" i="43"/>
  <c r="H115" i="43"/>
  <c r="D116" i="43"/>
  <c r="E116" i="43"/>
  <c r="F116" i="43"/>
  <c r="G116" i="43"/>
  <c r="H116" i="43"/>
  <c r="D117" i="43"/>
  <c r="E117" i="43"/>
  <c r="F117" i="43"/>
  <c r="G117" i="43"/>
  <c r="H117" i="43"/>
  <c r="I118" i="43"/>
  <c r="J118" i="43"/>
  <c r="K118" i="43"/>
  <c r="L118" i="43"/>
  <c r="M118" i="43"/>
  <c r="I115" i="43"/>
  <c r="J115" i="43"/>
  <c r="K115" i="43"/>
  <c r="L115" i="43"/>
  <c r="M115" i="43"/>
  <c r="B117" i="43"/>
  <c r="C117" i="43"/>
  <c r="G118" i="43"/>
  <c r="H118" i="43"/>
  <c r="B116" i="43"/>
  <c r="C116" i="43"/>
  <c r="I117" i="43"/>
  <c r="J117" i="43"/>
  <c r="K117" i="43"/>
  <c r="L117" i="43"/>
  <c r="M117" i="43"/>
  <c r="I116" i="43"/>
  <c r="J116" i="43"/>
  <c r="K116" i="43"/>
  <c r="L116" i="43"/>
  <c r="M116" i="43"/>
  <c r="B118" i="43"/>
  <c r="C118" i="43"/>
  <c r="G105" i="43"/>
  <c r="G106" i="43"/>
  <c r="G107" i="43"/>
  <c r="G102" i="43"/>
  <c r="G103" i="43"/>
  <c r="G104" i="43"/>
  <c r="G109" i="43"/>
  <c r="L109" i="43"/>
  <c r="L103" i="43"/>
  <c r="L106" i="43"/>
  <c r="L107" i="43"/>
  <c r="L104" i="43"/>
  <c r="L105" i="43"/>
  <c r="L102" i="43"/>
  <c r="F22" i="11"/>
  <c r="C23" i="11"/>
  <c r="F24" i="67"/>
  <c r="C24" i="67"/>
  <c r="F24" i="78"/>
  <c r="C24" i="78"/>
  <c r="C26" i="79"/>
  <c r="F25" i="12"/>
  <c r="C26" i="12"/>
  <c r="D25" i="12"/>
  <c r="F22" i="69"/>
  <c r="C26" i="69"/>
  <c r="D22" i="69"/>
  <c r="F24" i="79"/>
  <c r="C24" i="79"/>
  <c r="C19" i="67"/>
  <c r="C20" i="67"/>
  <c r="Q71" i="15"/>
  <c r="F50" i="15"/>
  <c r="L56" i="15"/>
  <c r="I54" i="15"/>
  <c r="L60" i="15"/>
  <c r="L57" i="15"/>
  <c r="Q50" i="15"/>
  <c r="F66" i="15"/>
  <c r="F71" i="15"/>
  <c r="F51" i="15"/>
  <c r="C9" i="68"/>
  <c r="M59" i="15"/>
  <c r="N59" i="15"/>
  <c r="L59" i="15"/>
  <c r="L58" i="15"/>
  <c r="F68" i="15"/>
  <c r="F65" i="15"/>
  <c r="F64" i="15"/>
  <c r="J26" i="78"/>
  <c r="J29" i="78"/>
  <c r="J24" i="78"/>
  <c r="J18" i="78"/>
  <c r="C10" i="67"/>
  <c r="C5" i="67"/>
  <c r="C53" i="67"/>
  <c r="C48" i="67"/>
  <c r="C48" i="79"/>
  <c r="I46" i="37"/>
  <c r="J46" i="37"/>
  <c r="D39" i="71"/>
  <c r="T39" i="71"/>
  <c r="D27" i="71"/>
  <c r="T27" i="71"/>
  <c r="AZ5" i="3"/>
  <c r="C26" i="78"/>
  <c r="R50" i="34"/>
  <c r="E49" i="34"/>
  <c r="I54" i="34"/>
  <c r="J54" i="34"/>
  <c r="AC7" i="36"/>
  <c r="V36" i="36"/>
  <c r="I36" i="36"/>
  <c r="W7" i="36"/>
  <c r="G58" i="21"/>
  <c r="G46" i="37"/>
  <c r="H46" i="37"/>
  <c r="D35" i="71"/>
  <c r="T35" i="71"/>
  <c r="D43" i="71"/>
  <c r="T43" i="71"/>
  <c r="C10" i="79"/>
  <c r="C5" i="79"/>
  <c r="C10" i="78"/>
  <c r="C5" i="78"/>
  <c r="C53" i="78"/>
  <c r="C48" i="78"/>
  <c r="C53" i="15"/>
  <c r="E42" i="37"/>
  <c r="R43" i="37"/>
  <c r="G40" i="36"/>
  <c r="H40" i="36"/>
  <c r="G41" i="36"/>
  <c r="H41" i="36"/>
  <c r="G53" i="34"/>
  <c r="H53" i="34"/>
  <c r="G54" i="34"/>
  <c r="H54" i="34"/>
  <c r="R37" i="36"/>
  <c r="E36" i="36"/>
  <c r="P49" i="71"/>
  <c r="P48" i="71"/>
  <c r="C27" i="66"/>
  <c r="C29" i="66"/>
  <c r="C28" i="66"/>
  <c r="E23" i="66"/>
  <c r="U6" i="1"/>
  <c r="F27" i="69"/>
  <c r="F28" i="12"/>
  <c r="C29" i="12"/>
  <c r="D28" i="12"/>
  <c r="F27" i="11"/>
  <c r="E64" i="39"/>
  <c r="E59" i="40"/>
  <c r="G48" i="35"/>
  <c r="I53" i="34"/>
  <c r="J53" i="34"/>
  <c r="D5" i="71"/>
  <c r="M20" i="43"/>
  <c r="C19" i="43"/>
  <c r="C39" i="43"/>
  <c r="C30" i="81"/>
  <c r="C32" i="81"/>
  <c r="E26" i="81"/>
  <c r="E25" i="81"/>
  <c r="Q49" i="71"/>
  <c r="Q48" i="71"/>
  <c r="E63" i="39"/>
  <c r="E58" i="40"/>
  <c r="AC6" i="3"/>
  <c r="H6" i="3"/>
  <c r="E6" i="3"/>
  <c r="E28" i="6"/>
  <c r="J10" i="79"/>
  <c r="J5" i="79"/>
  <c r="J5" i="67"/>
  <c r="I53" i="33"/>
  <c r="J53" i="33"/>
  <c r="G53" i="33"/>
  <c r="H53" i="33"/>
  <c r="I52" i="33"/>
  <c r="J52" i="33"/>
  <c r="I47" i="37"/>
  <c r="J47" i="37"/>
  <c r="C26" i="11"/>
  <c r="D22" i="11"/>
  <c r="C49" i="15"/>
  <c r="C48" i="15"/>
  <c r="C44" i="69"/>
  <c r="D41" i="69"/>
  <c r="C44" i="11"/>
  <c r="D41" i="11"/>
  <c r="T2" i="43"/>
  <c r="V2" i="43"/>
  <c r="T12" i="43"/>
  <c r="V12" i="43"/>
  <c r="D113" i="43"/>
  <c r="T13" i="43"/>
  <c r="V13" i="43"/>
  <c r="T14" i="43"/>
  <c r="V14" i="43"/>
  <c r="C29" i="43"/>
  <c r="C30" i="43"/>
  <c r="E30" i="43"/>
  <c r="T5" i="43"/>
  <c r="V5" i="43"/>
  <c r="C37" i="43"/>
  <c r="G37" i="43"/>
  <c r="I37" i="43"/>
  <c r="E66" i="39"/>
  <c r="T9" i="43"/>
  <c r="V9" i="43"/>
  <c r="T10" i="43"/>
  <c r="V10" i="43"/>
  <c r="C38" i="43"/>
  <c r="G38" i="43"/>
  <c r="I38" i="43"/>
  <c r="F65" i="40"/>
  <c r="G63" i="40"/>
  <c r="C23" i="78"/>
  <c r="C29" i="78"/>
  <c r="C23" i="67"/>
  <c r="C26" i="67"/>
  <c r="C23" i="79"/>
  <c r="C29" i="79"/>
  <c r="G39" i="43"/>
  <c r="I39" i="43"/>
  <c r="E39" i="43"/>
  <c r="C60" i="78"/>
  <c r="C66" i="78"/>
  <c r="C32" i="79"/>
  <c r="C31" i="79"/>
  <c r="C38" i="79"/>
  <c r="J24" i="79"/>
  <c r="J26" i="79"/>
  <c r="J29" i="79"/>
  <c r="J18" i="79"/>
  <c r="C38" i="67"/>
  <c r="C32" i="67"/>
  <c r="K19" i="6"/>
  <c r="K14" i="1"/>
  <c r="K21" i="6"/>
  <c r="M21" i="6"/>
  <c r="I21" i="6"/>
  <c r="S21" i="6"/>
  <c r="E30" i="6"/>
  <c r="E31" i="6"/>
  <c r="K20" i="6"/>
  <c r="M20" i="6"/>
  <c r="I20" i="6"/>
  <c r="S20" i="6"/>
  <c r="K22" i="6"/>
  <c r="M22" i="6"/>
  <c r="I22" i="6"/>
  <c r="S22" i="6"/>
  <c r="K25" i="6"/>
  <c r="M25" i="6"/>
  <c r="I25" i="6"/>
  <c r="S25" i="6"/>
  <c r="K23" i="6"/>
  <c r="M23" i="6"/>
  <c r="I23" i="6"/>
  <c r="S23" i="6"/>
  <c r="K24" i="6"/>
  <c r="M24" i="6"/>
  <c r="I24" i="6"/>
  <c r="S24" i="6"/>
  <c r="K26" i="6"/>
  <c r="M26" i="6"/>
  <c r="I26" i="6"/>
  <c r="S26" i="6"/>
  <c r="T8" i="43"/>
  <c r="V8" i="43"/>
  <c r="T11" i="43"/>
  <c r="V11" i="43"/>
  <c r="T4" i="43"/>
  <c r="V4" i="43"/>
  <c r="T7" i="43"/>
  <c r="V7" i="43"/>
  <c r="T6" i="43"/>
  <c r="V6" i="43"/>
  <c r="T15" i="43"/>
  <c r="V15" i="43"/>
  <c r="T3" i="43"/>
  <c r="V3" i="43"/>
  <c r="T16" i="43"/>
  <c r="V16" i="43"/>
  <c r="E40" i="36"/>
  <c r="F40" i="36"/>
  <c r="E41" i="36"/>
  <c r="F41" i="36"/>
  <c r="C43" i="37"/>
  <c r="C42" i="37"/>
  <c r="C66" i="67"/>
  <c r="C60" i="67"/>
  <c r="H58" i="21"/>
  <c r="I58" i="21"/>
  <c r="J58" i="21"/>
  <c r="K58" i="21"/>
  <c r="L58" i="21"/>
  <c r="M58" i="21"/>
  <c r="N58" i="21"/>
  <c r="O58" i="21"/>
  <c r="I40" i="36"/>
  <c r="J40" i="36"/>
  <c r="I41" i="36"/>
  <c r="J41" i="36"/>
  <c r="C49" i="34"/>
  <c r="C50" i="34"/>
  <c r="Q74" i="15"/>
  <c r="Q61" i="15"/>
  <c r="Q66" i="15"/>
  <c r="Q57" i="15"/>
  <c r="J18" i="67"/>
  <c r="J26" i="67"/>
  <c r="J29" i="67"/>
  <c r="J24" i="67"/>
  <c r="C35" i="43"/>
  <c r="C36" i="43"/>
  <c r="C34" i="43"/>
  <c r="C33" i="43"/>
  <c r="H48" i="35"/>
  <c r="C47" i="11"/>
  <c r="D45" i="11"/>
  <c r="C29" i="11"/>
  <c r="D27" i="11"/>
  <c r="C47" i="69"/>
  <c r="D45" i="69"/>
  <c r="C29" i="69"/>
  <c r="D27" i="69"/>
  <c r="C36" i="36"/>
  <c r="C37" i="36"/>
  <c r="B2" i="36"/>
  <c r="B3" i="36"/>
  <c r="E47" i="37"/>
  <c r="F47" i="37"/>
  <c r="E46" i="37"/>
  <c r="F46" i="37"/>
  <c r="C38" i="78"/>
  <c r="C32" i="78"/>
  <c r="C33" i="78"/>
  <c r="E54" i="34"/>
  <c r="F54" i="34"/>
  <c r="E53" i="34"/>
  <c r="F53" i="34"/>
  <c r="AY6" i="3"/>
  <c r="E3" i="6"/>
  <c r="C60" i="79"/>
  <c r="C66" i="79"/>
  <c r="Q73" i="15"/>
  <c r="Q60" i="15"/>
  <c r="Q52" i="15"/>
  <c r="E29" i="43"/>
  <c r="F7" i="21"/>
  <c r="J7" i="21"/>
  <c r="H7" i="21"/>
  <c r="U7" i="21"/>
  <c r="E38" i="43"/>
  <c r="E37" i="43"/>
  <c r="H63" i="40"/>
  <c r="G65" i="40"/>
  <c r="C29" i="67"/>
  <c r="J19" i="67"/>
  <c r="J17" i="67"/>
  <c r="C36" i="78"/>
  <c r="J14" i="78"/>
  <c r="J22" i="78"/>
  <c r="C13" i="78"/>
  <c r="C37" i="78"/>
  <c r="J19" i="78"/>
  <c r="J17" i="78"/>
  <c r="Q49" i="78"/>
  <c r="C57" i="78"/>
  <c r="C61" i="78"/>
  <c r="C59" i="78"/>
  <c r="J14" i="79"/>
  <c r="Q49" i="79"/>
  <c r="C36" i="79"/>
  <c r="C57" i="79"/>
  <c r="C13" i="79"/>
  <c r="J19" i="79"/>
  <c r="J17" i="79"/>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c r="S7" i="21"/>
  <c r="C31" i="78"/>
  <c r="I48" i="35"/>
  <c r="G34" i="43"/>
  <c r="I34" i="43"/>
  <c r="E34" i="43"/>
  <c r="G35" i="43"/>
  <c r="I35" i="43"/>
  <c r="E35" i="43"/>
  <c r="B2" i="34"/>
  <c r="B3" i="34"/>
  <c r="AC7" i="21"/>
  <c r="V48" i="21"/>
  <c r="I48" i="21"/>
  <c r="W7" i="21"/>
  <c r="M19" i="6"/>
  <c r="K27" i="6"/>
  <c r="S6" i="1"/>
  <c r="M18" i="9"/>
  <c r="B118" i="9"/>
  <c r="B14" i="74"/>
  <c r="B1" i="74"/>
  <c r="E6" i="6"/>
  <c r="D3" i="21"/>
  <c r="D19" i="11"/>
  <c r="C19" i="11"/>
  <c r="D37" i="11"/>
  <c r="C37" i="11"/>
  <c r="D14" i="12"/>
  <c r="D3" i="34"/>
  <c r="C17" i="4"/>
  <c r="B4" i="52"/>
  <c r="B43" i="72"/>
  <c r="D3" i="37"/>
  <c r="B2" i="37"/>
  <c r="B3" i="37"/>
  <c r="D3" i="33"/>
  <c r="B2" i="33"/>
  <c r="B3" i="33"/>
  <c r="L18" i="9"/>
  <c r="G33" i="43"/>
  <c r="I33" i="43"/>
  <c r="E33" i="43"/>
  <c r="C26" i="43"/>
  <c r="G36" i="43"/>
  <c r="I36" i="43"/>
  <c r="E36" i="43"/>
  <c r="C27" i="43"/>
  <c r="M14" i="1"/>
  <c r="K16" i="1"/>
  <c r="C34" i="69"/>
  <c r="E6" i="76"/>
  <c r="C76" i="9"/>
  <c r="C56" i="78"/>
  <c r="C65" i="78"/>
  <c r="AB7" i="21"/>
  <c r="T48" i="21"/>
  <c r="G48" i="21"/>
  <c r="C64" i="78"/>
  <c r="Q49" i="67"/>
  <c r="C75" i="78"/>
  <c r="C33" i="67"/>
  <c r="C31" i="67"/>
  <c r="J13" i="78"/>
  <c r="J23" i="78"/>
  <c r="J16" i="78"/>
  <c r="J25" i="78"/>
  <c r="I63" i="40"/>
  <c r="H65" i="40"/>
  <c r="J59" i="67"/>
  <c r="J60" i="67"/>
  <c r="C13" i="67"/>
  <c r="J14" i="67"/>
  <c r="C36" i="67"/>
  <c r="C57" i="67"/>
  <c r="Q70" i="78"/>
  <c r="C75" i="79"/>
  <c r="C37" i="79"/>
  <c r="C30" i="79"/>
  <c r="C39" i="79"/>
  <c r="Q70" i="79"/>
  <c r="C56" i="79"/>
  <c r="C65" i="79"/>
  <c r="J13" i="79"/>
  <c r="J23" i="79"/>
  <c r="J22" i="79"/>
  <c r="C64" i="79"/>
  <c r="C61" i="79"/>
  <c r="C59" i="79"/>
  <c r="F69" i="15"/>
  <c r="E2" i="76"/>
  <c r="C10" i="68"/>
  <c r="B2" i="43"/>
  <c r="B29" i="1"/>
  <c r="C38" i="69"/>
  <c r="C35" i="69"/>
  <c r="M16" i="1"/>
  <c r="G52" i="21"/>
  <c r="H52" i="21"/>
  <c r="G53" i="21"/>
  <c r="H53" i="21"/>
  <c r="D17" i="12"/>
  <c r="C17" i="12"/>
  <c r="C14" i="12"/>
  <c r="C16" i="12"/>
  <c r="C20" i="11"/>
  <c r="C25" i="11"/>
  <c r="C24" i="11"/>
  <c r="C28" i="11"/>
  <c r="C27" i="11"/>
  <c r="D10" i="11"/>
  <c r="C10" i="11"/>
  <c r="D20" i="12"/>
  <c r="C20" i="12"/>
  <c r="C18" i="12"/>
  <c r="D10" i="69"/>
  <c r="T6" i="1"/>
  <c r="T16" i="1"/>
  <c r="AR6" i="1"/>
  <c r="AQ6" i="1"/>
  <c r="S16" i="1"/>
  <c r="E6" i="70"/>
  <c r="E2" i="70"/>
  <c r="I19" i="6"/>
  <c r="H19" i="6"/>
  <c r="M27" i="6"/>
  <c r="I52" i="21"/>
  <c r="J52" i="21"/>
  <c r="J48" i="35"/>
  <c r="D19" i="6"/>
  <c r="D21" i="6"/>
  <c r="D22" i="6"/>
  <c r="D23" i="6"/>
  <c r="D24" i="6"/>
  <c r="D25" i="6"/>
  <c r="D26" i="6"/>
  <c r="D28" i="6"/>
  <c r="D20" i="6"/>
  <c r="D29" i="6"/>
  <c r="H21" i="6"/>
  <c r="M19" i="9"/>
  <c r="C118" i="9"/>
  <c r="C14" i="74"/>
  <c r="B2" i="74"/>
  <c r="H20" i="6"/>
  <c r="C18" i="4"/>
  <c r="D14" i="6"/>
  <c r="D5" i="6"/>
  <c r="D12" i="6"/>
  <c r="D11" i="6"/>
  <c r="D13" i="6"/>
  <c r="E61" i="40"/>
  <c r="H23" i="6"/>
  <c r="H24" i="6"/>
  <c r="D8" i="6"/>
  <c r="D6" i="6"/>
  <c r="D10" i="6"/>
  <c r="H25" i="6"/>
  <c r="H26" i="6"/>
  <c r="L19" i="9"/>
  <c r="D15" i="6"/>
  <c r="D9" i="6"/>
  <c r="H22" i="6"/>
  <c r="C30" i="78"/>
  <c r="C39" i="78"/>
  <c r="E48" i="21"/>
  <c r="I53" i="21"/>
  <c r="J53" i="21"/>
  <c r="R49" i="21"/>
  <c r="B6" i="76"/>
  <c r="L51" i="79"/>
  <c r="C58" i="78"/>
  <c r="C67" i="78"/>
  <c r="C68" i="78"/>
  <c r="C71" i="78"/>
  <c r="R22" i="6"/>
  <c r="R24" i="6"/>
  <c r="H27" i="6"/>
  <c r="I65" i="40"/>
  <c r="J63" i="40"/>
  <c r="Q70" i="67"/>
  <c r="C37" i="67"/>
  <c r="C30" i="67"/>
  <c r="C39" i="67"/>
  <c r="C75" i="67"/>
  <c r="C56" i="67"/>
  <c r="C65" i="67"/>
  <c r="L46" i="67"/>
  <c r="Q48" i="67"/>
  <c r="C61" i="67"/>
  <c r="C59" i="67"/>
  <c r="C64" i="67"/>
  <c r="J13" i="67"/>
  <c r="J23" i="67"/>
  <c r="J22" i="67"/>
  <c r="J16" i="79"/>
  <c r="J25" i="79"/>
  <c r="C80" i="79"/>
  <c r="C79" i="79"/>
  <c r="Q69" i="79"/>
  <c r="Q68" i="79"/>
  <c r="C40" i="79"/>
  <c r="Q65" i="79"/>
  <c r="Q75" i="79"/>
  <c r="C58" i="79"/>
  <c r="C67" i="79"/>
  <c r="C68" i="79"/>
  <c r="B2" i="76"/>
  <c r="B3" i="76"/>
  <c r="Q67" i="79"/>
  <c r="C48" i="21"/>
  <c r="C49" i="21"/>
  <c r="B2" i="21"/>
  <c r="B3" i="21"/>
  <c r="C40" i="78"/>
  <c r="Q69" i="78"/>
  <c r="Q68" i="78"/>
  <c r="A7" i="51"/>
  <c r="B7" i="72"/>
  <c r="A10" i="51"/>
  <c r="B9" i="72"/>
  <c r="C4" i="52"/>
  <c r="B45" i="72"/>
  <c r="D30" i="6"/>
  <c r="R25" i="6"/>
  <c r="R23" i="6"/>
  <c r="R21" i="6"/>
  <c r="C22" i="11"/>
  <c r="C31" i="11"/>
  <c r="C21" i="12"/>
  <c r="L16" i="1"/>
  <c r="C34" i="11"/>
  <c r="B3" i="43"/>
  <c r="H9" i="68"/>
  <c r="C8" i="68"/>
  <c r="E52" i="21"/>
  <c r="F52" i="21"/>
  <c r="E53" i="21"/>
  <c r="F53" i="21"/>
  <c r="C80" i="78"/>
  <c r="C79" i="78"/>
  <c r="D16" i="6"/>
  <c r="R20" i="6"/>
  <c r="R26" i="6"/>
  <c r="R19" i="6"/>
  <c r="D27" i="6"/>
  <c r="D31" i="6"/>
  <c r="K48" i="35"/>
  <c r="L48" i="35"/>
  <c r="M48" i="35"/>
  <c r="N48" i="35"/>
  <c r="O48" i="35"/>
  <c r="F7" i="35"/>
  <c r="S19" i="6"/>
  <c r="S27" i="6"/>
  <c r="I27" i="6"/>
  <c r="C10" i="69"/>
  <c r="C8" i="69"/>
  <c r="C5" i="69"/>
  <c r="D19" i="69"/>
  <c r="L51" i="78"/>
  <c r="L51" i="67"/>
  <c r="H7" i="35"/>
  <c r="U7" i="35"/>
  <c r="C80" i="67"/>
  <c r="C79" i="67"/>
  <c r="C58" i="67"/>
  <c r="C67" i="67"/>
  <c r="C68" i="67"/>
  <c r="C71" i="67"/>
  <c r="J65" i="40"/>
  <c r="K63" i="40"/>
  <c r="L57" i="67"/>
  <c r="L60" i="67"/>
  <c r="Q66" i="67"/>
  <c r="Q67" i="67"/>
  <c r="Q69" i="67"/>
  <c r="Q68" i="67"/>
  <c r="C40" i="67"/>
  <c r="B2" i="79"/>
  <c r="B3" i="79"/>
  <c r="J16" i="67"/>
  <c r="J25" i="67"/>
  <c r="C83" i="79"/>
  <c r="C82" i="79"/>
  <c r="Q56" i="79"/>
  <c r="Q62" i="79"/>
  <c r="C43" i="79"/>
  <c r="Q47" i="79"/>
  <c r="Q53" i="79"/>
  <c r="C71" i="79"/>
  <c r="C46" i="79"/>
  <c r="Q67" i="78"/>
  <c r="AA7" i="35"/>
  <c r="R38" i="35"/>
  <c r="S7" i="35"/>
  <c r="C19" i="69"/>
  <c r="C24" i="69"/>
  <c r="D37" i="69"/>
  <c r="C37" i="69"/>
  <c r="C33" i="69"/>
  <c r="R27" i="6"/>
  <c r="F50" i="11"/>
  <c r="F50" i="69"/>
  <c r="C23" i="69"/>
  <c r="J7" i="35"/>
  <c r="I6" i="6"/>
  <c r="I5" i="6"/>
  <c r="C38" i="11"/>
  <c r="C35" i="11"/>
  <c r="C33" i="11"/>
  <c r="C22" i="12"/>
  <c r="C27" i="12"/>
  <c r="C25" i="12"/>
  <c r="B2" i="78"/>
  <c r="B3" i="78"/>
  <c r="Q65" i="78"/>
  <c r="Q75" i="78"/>
  <c r="C43" i="78"/>
  <c r="Q56" i="78"/>
  <c r="Q62" i="78"/>
  <c r="Q47" i="78"/>
  <c r="Q53" i="78"/>
  <c r="C83" i="78"/>
  <c r="C82" i="78"/>
  <c r="C46" i="78"/>
  <c r="M21" i="15"/>
  <c r="AB7" i="35"/>
  <c r="T38" i="35"/>
  <c r="G38" i="35"/>
  <c r="C20" i="69"/>
  <c r="C25" i="69"/>
  <c r="C22" i="69"/>
  <c r="Q57" i="67"/>
  <c r="L63" i="40"/>
  <c r="K65" i="40"/>
  <c r="C43" i="67"/>
  <c r="Q47" i="67"/>
  <c r="Q53" i="67"/>
  <c r="D2" i="67"/>
  <c r="Q65" i="67"/>
  <c r="Q75" i="67"/>
  <c r="Q56" i="67"/>
  <c r="C83" i="67"/>
  <c r="C82" i="67"/>
  <c r="C45" i="67"/>
  <c r="C46" i="67"/>
  <c r="J20" i="15"/>
  <c r="F63" i="15"/>
  <c r="C62" i="15"/>
  <c r="C30" i="12"/>
  <c r="C28" i="12"/>
  <c r="C32" i="12"/>
  <c r="B2" i="12"/>
  <c r="B3" i="12"/>
  <c r="G42" i="35"/>
  <c r="H42" i="35"/>
  <c r="C39" i="69"/>
  <c r="C43" i="69"/>
  <c r="C42" i="69"/>
  <c r="E38" i="35"/>
  <c r="R39" i="35"/>
  <c r="C39" i="11"/>
  <c r="C43" i="11"/>
  <c r="C42" i="11"/>
  <c r="W7" i="35"/>
  <c r="AC7" i="35"/>
  <c r="V38" i="35"/>
  <c r="I38" i="35"/>
  <c r="R16" i="1"/>
  <c r="C46" i="11"/>
  <c r="C45" i="11"/>
  <c r="C28" i="69"/>
  <c r="C27" i="69"/>
  <c r="C31" i="69"/>
  <c r="Q62" i="67"/>
  <c r="M63" i="40"/>
  <c r="L65" i="40"/>
  <c r="B2" i="67"/>
  <c r="B3" i="67"/>
  <c r="C57" i="15"/>
  <c r="C64" i="15"/>
  <c r="Q49" i="15"/>
  <c r="C46" i="69"/>
  <c r="C45" i="69"/>
  <c r="C41" i="11"/>
  <c r="C49" i="11"/>
  <c r="C51" i="11"/>
  <c r="C52" i="11"/>
  <c r="B2" i="11"/>
  <c r="B3" i="11"/>
  <c r="J19" i="15"/>
  <c r="J17" i="15"/>
  <c r="J14" i="15"/>
  <c r="J22" i="15"/>
  <c r="C39" i="35"/>
  <c r="B2" i="35"/>
  <c r="B3" i="35"/>
  <c r="C38" i="35"/>
  <c r="C41" i="69"/>
  <c r="I42" i="35"/>
  <c r="J42" i="35"/>
  <c r="I43" i="35"/>
  <c r="J43" i="35"/>
  <c r="E43" i="35"/>
  <c r="F43" i="35"/>
  <c r="E42" i="35"/>
  <c r="F42" i="35"/>
  <c r="G43" i="35"/>
  <c r="H43" i="35"/>
  <c r="Q70" i="15"/>
  <c r="C56" i="15"/>
  <c r="C65" i="15"/>
  <c r="C75" i="15"/>
  <c r="Q48" i="15"/>
  <c r="C61" i="15"/>
  <c r="C59" i="15"/>
  <c r="C58" i="15"/>
  <c r="C67" i="15"/>
  <c r="C68" i="15"/>
  <c r="N63" i="40"/>
  <c r="M65" i="40"/>
  <c r="J13" i="15"/>
  <c r="J23" i="15"/>
  <c r="J16" i="15"/>
  <c r="J25" i="15"/>
  <c r="C49" i="69"/>
  <c r="C51" i="69"/>
  <c r="C52" i="69"/>
  <c r="B2" i="69"/>
  <c r="B3" i="69"/>
  <c r="C56" i="11"/>
  <c r="C57" i="11"/>
  <c r="L51" i="15"/>
  <c r="C80" i="15"/>
  <c r="C79" i="15"/>
  <c r="Q69" i="15"/>
  <c r="Q68" i="15"/>
  <c r="O63" i="40"/>
  <c r="O65" i="40"/>
  <c r="N65" i="40"/>
  <c r="F7" i="40"/>
  <c r="C57" i="69"/>
  <c r="C56" i="69"/>
  <c r="Q67" i="15"/>
  <c r="C43" i="15"/>
  <c r="Q47" i="15"/>
  <c r="Q53" i="15"/>
  <c r="Q65" i="15"/>
  <c r="Q75" i="15"/>
  <c r="Q56" i="15"/>
  <c r="Q62" i="15"/>
  <c r="C83" i="15"/>
  <c r="C82" i="15"/>
  <c r="C71" i="15"/>
  <c r="C46" i="15"/>
  <c r="AO6" i="1"/>
  <c r="D102" i="85"/>
  <c r="K103" i="85"/>
  <c r="D21" i="85"/>
  <c r="J7" i="40"/>
  <c r="W7" i="40"/>
  <c r="H7" i="40"/>
  <c r="U7" i="40"/>
  <c r="S7" i="40"/>
  <c r="AA7" i="40"/>
  <c r="R42" i="40"/>
  <c r="D102" i="9"/>
  <c r="D21" i="9"/>
  <c r="B6" i="70"/>
  <c r="B2" i="70"/>
  <c r="B3" i="70"/>
  <c r="J7" i="39"/>
  <c r="H7" i="39"/>
  <c r="B3" i="15"/>
  <c r="D20" i="85"/>
  <c r="D20" i="9"/>
  <c r="D103" i="85"/>
  <c r="AB7" i="40"/>
  <c r="T42" i="40"/>
  <c r="G42" i="40"/>
  <c r="AC7" i="40"/>
  <c r="V42" i="40"/>
  <c r="I42" i="40"/>
  <c r="I46" i="40"/>
  <c r="J46" i="40"/>
  <c r="R43" i="40"/>
  <c r="E42" i="40"/>
  <c r="G46" i="40"/>
  <c r="H46" i="40"/>
  <c r="D103" i="9"/>
  <c r="AB7" i="39"/>
  <c r="U7" i="39"/>
  <c r="AC7" i="39"/>
  <c r="W7" i="39"/>
  <c r="S7" i="39"/>
  <c r="G47" i="40"/>
  <c r="H47" i="40"/>
  <c r="I47" i="40"/>
  <c r="J47" i="40"/>
  <c r="E47" i="40"/>
  <c r="F47" i="40"/>
  <c r="E46" i="40"/>
  <c r="F46" i="40"/>
  <c r="C43" i="40"/>
  <c r="C42" i="40"/>
  <c r="B55" i="40"/>
  <c r="F55" i="40"/>
  <c r="B57" i="40"/>
  <c r="F57" i="40"/>
  <c r="B58" i="40"/>
  <c r="F58" i="40"/>
  <c r="B53" i="40"/>
  <c r="F53" i="40"/>
  <c r="B59" i="40"/>
  <c r="F59" i="40"/>
  <c r="B51" i="40"/>
  <c r="F51" i="40"/>
  <c r="B60" i="40"/>
  <c r="F60" i="40"/>
  <c r="B56" i="40"/>
  <c r="F56" i="40"/>
  <c r="B52" i="40"/>
  <c r="F52" i="40"/>
  <c r="B54" i="40"/>
  <c r="F54" i="40"/>
  <c r="F61" i="40"/>
  <c r="B2" i="40"/>
  <c r="B3" i="40"/>
  <c r="H107" i="9"/>
  <c r="D122" i="9"/>
  <c r="H108" i="9"/>
  <c r="D15" i="53"/>
  <c r="B31" i="72"/>
  <c r="D13" i="53"/>
  <c r="B30" i="72"/>
  <c r="D14" i="53"/>
  <c r="B32" i="72"/>
  <c r="G14" i="74"/>
  <c r="D8" i="52"/>
  <c r="D123" i="9"/>
  <c r="D9" i="52"/>
  <c r="N61" i="85"/>
  <c r="H112" i="85"/>
  <c r="H111" i="85"/>
  <c r="D126" i="85"/>
  <c r="D127" i="85"/>
  <c r="F15" i="74"/>
  <c r="E15" i="74"/>
  <c r="B6" i="74"/>
  <c r="C6" i="74"/>
  <c r="D6" i="74"/>
  <c r="H111" i="9"/>
  <c r="N61" i="9"/>
  <c r="H112" i="9"/>
  <c r="D21" i="53"/>
  <c r="B39" i="72"/>
  <c r="D126" i="9"/>
  <c r="D19" i="53"/>
  <c r="B38" i="72"/>
  <c r="D20" i="53"/>
  <c r="B40" i="72"/>
  <c r="D12" i="52"/>
  <c r="D127" i="9"/>
  <c r="D13" i="52"/>
  <c r="B8" i="74"/>
  <c r="C8" i="74"/>
  <c r="D8" i="74"/>
  <c r="G16" i="1"/>
  <c r="F10" i="39"/>
  <c r="AA10" i="39"/>
  <c r="H10" i="39"/>
  <c r="AB10" i="39"/>
  <c r="J10" i="39"/>
  <c r="AC10" i="39"/>
  <c r="N60" i="9"/>
  <c r="P57" i="9"/>
  <c r="N58" i="9"/>
  <c r="H101" i="9"/>
  <c r="H109" i="9"/>
  <c r="D124" i="9"/>
  <c r="H14" i="74"/>
  <c r="B7" i="74"/>
  <c r="D7" i="74"/>
  <c r="C7" i="74"/>
  <c r="C85" i="9"/>
  <c r="C93" i="9"/>
  <c r="C86" i="9"/>
  <c r="C95" i="9"/>
  <c r="C96" i="9"/>
  <c r="C97" i="9"/>
  <c r="E80" i="9"/>
  <c r="E81" i="9"/>
  <c r="E96" i="9"/>
  <c r="E97" i="9"/>
  <c r="D14" i="74"/>
  <c r="B5" i="74"/>
  <c r="D5" i="74"/>
  <c r="C5" i="74"/>
  <c r="L63" i="9"/>
  <c r="M63" i="9"/>
  <c r="L64" i="9"/>
  <c r="M64" i="9"/>
  <c r="L65" i="9"/>
  <c r="M65" i="9"/>
  <c r="L66" i="9"/>
  <c r="M66" i="9"/>
  <c r="L67" i="9"/>
  <c r="M67" i="9"/>
  <c r="L68" i="9"/>
  <c r="M68" i="9"/>
  <c r="M69" i="9"/>
  <c r="N69" i="9"/>
  <c r="D53" i="9"/>
  <c r="D52" i="9"/>
  <c r="N60" i="85"/>
  <c r="S132" i="9"/>
  <c r="R132" i="9"/>
  <c r="P132" i="9"/>
  <c r="P133" i="9"/>
  <c r="P135" i="9"/>
  <c r="P136" i="9"/>
  <c r="Q135" i="9"/>
  <c r="P57" i="85"/>
  <c r="N58" i="85"/>
  <c r="D35" i="85"/>
  <c r="C35" i="85"/>
  <c r="F118" i="85"/>
  <c r="I118" i="85"/>
  <c r="S132" i="85"/>
  <c r="R132" i="85"/>
  <c r="P132" i="85"/>
  <c r="P133" i="85"/>
  <c r="P135" i="85"/>
  <c r="Q135" i="85"/>
  <c r="P136" i="85"/>
  <c r="R133" i="85"/>
  <c r="N133" i="85"/>
  <c r="N132" i="85"/>
  <c r="N135" i="85"/>
  <c r="N136" i="85"/>
  <c r="O135" i="85"/>
  <c r="S133" i="9"/>
  <c r="Q133" i="9"/>
  <c r="O133" i="9"/>
  <c r="R133" i="9"/>
  <c r="R135" i="9"/>
  <c r="R136" i="9"/>
  <c r="S135" i="9"/>
  <c r="N133" i="9"/>
  <c r="N132" i="9"/>
  <c r="N135" i="9"/>
  <c r="N136" i="9"/>
  <c r="O135" i="9"/>
  <c r="S133" i="85"/>
  <c r="Q133" i="85"/>
  <c r="O133" i="85"/>
  <c r="C85" i="85"/>
  <c r="C93" i="85"/>
  <c r="C86" i="85"/>
  <c r="C95" i="85"/>
  <c r="C96" i="85"/>
  <c r="C97" i="85"/>
  <c r="R135" i="85"/>
  <c r="S135" i="85"/>
  <c r="R136" i="85"/>
  <c r="Q132" i="9"/>
  <c r="O132" i="9"/>
  <c r="E96" i="85"/>
  <c r="E97" i="85"/>
  <c r="E80" i="85"/>
  <c r="E81" i="85"/>
  <c r="Q132" i="85"/>
  <c r="O132" i="85"/>
  <c r="L63" i="85"/>
  <c r="M63" i="85"/>
  <c r="L64" i="85"/>
  <c r="M64" i="85"/>
  <c r="L65" i="85"/>
  <c r="M65" i="85"/>
  <c r="L66" i="85"/>
  <c r="M66" i="85"/>
  <c r="L67" i="85"/>
  <c r="M67" i="85"/>
  <c r="L68" i="85"/>
  <c r="M68" i="85"/>
  <c r="M69" i="85"/>
  <c r="N69" i="85"/>
  <c r="D10" i="52"/>
  <c r="D16" i="53"/>
  <c r="B34" i="72"/>
  <c r="D5" i="53"/>
  <c r="B20" i="72"/>
  <c r="D6" i="53"/>
  <c r="B22" i="72"/>
  <c r="G118" i="9"/>
  <c r="E118" i="9"/>
  <c r="E4" i="52"/>
  <c r="B48" i="72"/>
  <c r="D125" i="9"/>
  <c r="D11" i="52"/>
  <c r="D17" i="53"/>
  <c r="B36" i="72"/>
  <c r="H110" i="9"/>
  <c r="D18" i="53"/>
  <c r="B35" i="72"/>
  <c r="D52" i="85"/>
  <c r="D53" i="85"/>
  <c r="H101" i="85"/>
  <c r="H109" i="85"/>
  <c r="D124" i="85"/>
  <c r="D125" i="85"/>
  <c r="H110" i="85"/>
  <c r="D119" i="9"/>
  <c r="D5" i="52"/>
  <c r="B49" i="72"/>
  <c r="D4" i="52"/>
  <c r="B47" i="72"/>
  <c r="F14" i="74"/>
  <c r="E14" i="74"/>
  <c r="C105" i="9"/>
  <c r="I4" i="52"/>
  <c r="H102" i="9"/>
  <c r="D7" i="53"/>
  <c r="B21" i="72"/>
  <c r="G4" i="52"/>
  <c r="B52" i="72"/>
  <c r="N118" i="85"/>
  <c r="O118" i="85"/>
  <c r="L118" i="85"/>
  <c r="M118" i="85"/>
  <c r="K118" i="85"/>
  <c r="H102" i="85"/>
  <c r="C105" i="85"/>
  <c r="G118" i="85"/>
  <c r="E118" i="85"/>
  <c r="C34" i="85"/>
  <c r="D118" i="85"/>
  <c r="D119" i="85"/>
  <c r="F119" i="9"/>
  <c r="F5" i="52"/>
  <c r="B53" i="72"/>
  <c r="F4" i="52"/>
  <c r="B51" i="72"/>
  <c r="C104" i="9"/>
  <c r="H119" i="9"/>
  <c r="H5" i="52"/>
  <c r="H4" i="52"/>
  <c r="F119" i="85"/>
  <c r="C104" i="85"/>
  <c r="H119" i="85"/>
  <c r="J118" i="85"/>
  <c r="G21" i="9"/>
  <c r="E40" i="9"/>
  <c r="M40" i="39"/>
  <c r="C20" i="9"/>
  <c r="G20" i="9"/>
  <c r="C103" i="9"/>
  <c r="E40" i="85"/>
  <c r="G21" i="85"/>
  <c r="C20" i="85"/>
  <c r="G20" i="85"/>
  <c r="C103" i="85"/>
  <c r="C56" i="68"/>
  <c r="D34" i="85"/>
  <c r="D34" i="9"/>
  <c r="C102" i="9"/>
  <c r="D22" i="9"/>
  <c r="C21" i="9"/>
  <c r="C102" i="85"/>
  <c r="J103" i="85"/>
  <c r="C21" i="85"/>
  <c r="D22" i="85"/>
  <c r="B3" i="39"/>
  <c r="E47" i="39"/>
  <c r="E51" i="39"/>
  <c r="F51" i="39"/>
  <c r="G47" i="39"/>
  <c r="E52" i="39"/>
  <c r="F52" i="39"/>
  <c r="C47" i="39"/>
  <c r="I47" i="39"/>
  <c r="I51" i="39"/>
  <c r="J51" i="39"/>
  <c r="G52" i="39"/>
  <c r="H52" i="39"/>
  <c r="G51" i="39"/>
  <c r="H51" i="39"/>
  <c r="I52" i="39"/>
  <c r="J52" i="39"/>
  <c r="U10" i="39"/>
  <c r="F10" i="40"/>
  <c r="S10" i="40"/>
  <c r="AA10" i="40"/>
  <c r="H10" i="40"/>
  <c r="U10" i="40"/>
  <c r="AB10" i="40"/>
  <c r="S10" i="39"/>
  <c r="W10" i="39"/>
  <c r="J10" i="40"/>
  <c r="AC10" i="40"/>
  <c r="W10" i="40"/>
  <c r="E32" i="74"/>
  <c r="G32" i="74"/>
  <c r="I32"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<sst xmlns="http://schemas.openxmlformats.org/spreadsheetml/2006/main" count="9019" uniqueCount="3315">
  <si>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</si>
  <si>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</si>
  <si>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</si>
  <si>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</si>
  <si>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</si>
  <si>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</si>
  <si>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</si>
  <si>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</si>
  <si>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</si>
  <si>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</si>
  <si>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</si>
  <si>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</si>
  <si>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</si>
  <si>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</si>
  <si>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</si>
  <si>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</si>
  <si>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</si>
  <si>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</si>
  <si>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</si>
  <si>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</si>
  <si>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</si>
  <si>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</si>
  <si>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</si>
  <si>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</si>
  <si>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</si>
  <si>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</si>
  <si>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</si>
  <si>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</si>
  <si>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</si>
  <si>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</si>
  <si>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</si>
  <si>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</si>
  <si>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</si>
  <si>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</si>
  <si>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</si>
  <si>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</si>
  <si>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</si>
  <si>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</si>
  <si>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</si>
  <si>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</si>
  <si>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</si>
  <si>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</si>
  <si>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</si>
  <si>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</si>
  <si>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</si>
  <si>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</si>
  <si>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</si>
  <si>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</si>
  <si>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</si>
  <si>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</si>
  <si>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</si>
  <si>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</si>
  <si>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</si>
  <si>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</si>
  <si>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</si>
  <si>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</si>
  <si>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</si>
  <si>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</si>
  <si>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</si>
  <si>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</si>
  <si>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</si>
  <si>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</si>
  <si>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</si>
  <si>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</si>
  <si>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</si>
  <si>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</si>
  <si>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</si>
  <si>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</si>
  <si>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</si>
  <si>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</si>
  <si>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</si>
  <si>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</si>
  <si>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</si>
  <si>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</si>
  <si>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</si>
  <si>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</si>
  <si>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</si>
  <si>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</si>
  <si>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</si>
  <si>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</si>
  <si>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</si>
  <si>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</si>
  <si>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</si>
  <si>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</si>
  <si>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</si>
  <si>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</si>
  <si>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</si>
  <si>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</si>
  <si>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</si>
  <si>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</si>
  <si>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</si>
  <si>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</si>
  <si>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</si>
  <si>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</si>
  <si>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</si>
  <si>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</si>
  <si>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</si>
  <si>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</si>
  <si>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</si>
  <si>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</si>
  <si>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</si>
  <si>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</si>
  <si>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</si>
  <si>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</si>
  <si>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</si>
  <si>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</si>
  <si>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</si>
  <si>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</si>
  <si>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</si>
  <si>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</si>
  <si>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</si>
  <si>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</si>
  <si>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</si>
  <si>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</si>
  <si>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</si>
  <si>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</si>
  <si>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</si>
  <si>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</si>
  <si>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</si>
  <si>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</si>
  <si>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</si>
  <si>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</si>
  <si>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</si>
  <si>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</si>
  <si>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</si>
  <si>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</si>
  <si>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</si>
  <si>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</si>
  <si>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</si>
  <si>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</si>
  <si>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</si>
  <si>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</si>
  <si>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</si>
  <si>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</si>
  <si>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</si>
  <si>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</si>
  <si>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</si>
  <si>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</si>
  <si>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</si>
  <si>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</si>
  <si>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</si>
  <si>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</si>
  <si>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</si>
  <si>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</si>
  <si>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</si>
  <si>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</si>
  <si>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</si>
  <si>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</si>
  <si>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</si>
  <si>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</si>
  <si>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</si>
  <si>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</si>
  <si>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</si>
  <si>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</si>
  <si>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</si>
  <si>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</si>
  <si>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</si>
  <si>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</si>
  <si>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</si>
  <si>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</si>
  <si>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</si>
  <si>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</si>
  <si>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</si>
  <si>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</si>
  <si>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</si>
  <si>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</si>
  <si>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</si>
  <si>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</si>
  <si>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</si>
  <si>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</si>
  <si>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</si>
  <si>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</si>
  <si>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</si>
  <si>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</si>
  <si>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</si>
  <si>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</si>
  <si>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</si>
  <si>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</si>
  <si>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</si>
  <si>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</si>
  <si>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</si>
  <si>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</si>
  <si>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</si>
  <si>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</si>
  <si>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</si>
  <si>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</si>
  <si>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</si>
  <si>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</si>
  <si>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</si>
  <si>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</si>
  <si>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</si>
  <si>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</si>
  <si>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</si>
  <si>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</si>
  <si>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</si>
  <si>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</si>
  <si>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</si>
  <si>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</si>
  <si>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</si>
  <si>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</si>
  <si>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</si>
  <si>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</si>
  <si>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</si>
  <si>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</si>
  <si>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</si>
  <si>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</si>
  <si>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</si>
  <si>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</si>
  <si>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</si>
  <si>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</si>
  <si>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</si>
  <si>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</si>
  <si>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</si>
  <si>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</si>
  <si>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</si>
  <si>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</si>
  <si>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</si>
  <si>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</si>
  <si>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</si>
  <si>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</si>
  <si>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</si>
  <si>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</si>
  <si>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</si>
  <si>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</si>
  <si>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</si>
  <si>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</si>
  <si>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</si>
  <si>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</si>
  <si>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</si>
  <si>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</si>
  <si>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</si>
  <si>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</si>
  <si>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</si>
  <si>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</si>
  <si>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</si>
  <si>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</si>
  <si>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</si>
  <si>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</si>
  <si>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</si>
  <si>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</si>
  <si>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</si>
  <si>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</si>
  <si>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</si>
  <si>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</si>
  <si>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</si>
  <si>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</si>
  <si>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</si>
  <si>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</si>
  <si>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</si>
  <si>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</si>
  <si>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</si>
  <si>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</si>
  <si>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</si>
  <si>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</si>
  <si>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</si>
  <si>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</si>
  <si>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</si>
  <si>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</si>
  <si>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</si>
  <si>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</si>
  <si>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</si>
  <si>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</si>
  <si>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</si>
  <si>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</si>
  <si>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</si>
  <si>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</si>
  <si>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</si>
  <si>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</si>
  <si>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</si>
  <si>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</si>
  <si>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</si>
  <si>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</si>
  <si>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</si>
  <si>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</si>
  <si>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</si>
  <si>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</si>
  <si>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</si>
  <si>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</si>
  <si>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</si>
  <si>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</si>
  <si>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</si>
  <si>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</si>
  <si>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</si>
  <si>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</si>
  <si>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</si>
  <si>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</si>
  <si>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</si>
  <si>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</si>
  <si>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</si>
  <si>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</si>
  <si>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</si>
  <si>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</si>
  <si>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</si>
  <si>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</si>
  <si>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</si>
  <si>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</si>
  <si>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</si>
  <si>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</si>
  <si>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</si>
  <si>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</si>
  <si>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</si>
  <si>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</si>
  <si>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</si>
  <si>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</si>
  <si>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</si>
  <si>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</si>
  <si>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</si>
  <si>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</si>
  <si>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</si>
  <si>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</si>
  <si>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</si>
  <si>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</si>
  <si>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</si>
  <si>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</si>
  <si>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</si>
  <si>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</si>
  <si>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</si>
  <si>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</si>
  <si>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</si>
  <si>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</si>
  <si>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</si>
  <si>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</si>
  <si>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</si>
  <si>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</si>
  <si>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</si>
  <si>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</si>
  <si>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</si>
  <si>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</si>
  <si>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</si>
  <si>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</si>
  <si>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</si>
  <si>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</si>
  <si>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</si>
  <si>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</si>
  <si>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</si>
  <si>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</si>
  <si>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</si>
  <si>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</si>
  <si>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</si>
  <si>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</si>
  <si>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</si>
  <si>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</si>
  <si>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</si>
  <si>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</si>
  <si>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</si>
  <si>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</si>
  <si>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</si>
  <si>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</si>
  <si>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</si>
  <si>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</si>
  <si>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</si>
  <si>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</si>
  <si>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</si>
  <si>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</si>
  <si>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</si>
  <si>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</si>
  <si>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</si>
  <si>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</si>
  <si>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</si>
  <si>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</si>
  <si>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</si>
  <si>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</si>
  <si>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</si>
  <si>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</si>
  <si>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</si>
  <si>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</si>
  <si>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</si>
  <si>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</si>
  <si>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</si>
  <si>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</si>
  <si>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</si>
  <si>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</si>
  <si>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</si>
  <si>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</si>
  <si>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</si>
  <si>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</si>
  <si>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</si>
  <si>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</si>
  <si>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</si>
  <si>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</si>
  <si>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</si>
  <si>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</si>
  <si>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</si>
  <si>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</si>
  <si>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</si>
  <si>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</si>
  <si>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</si>
  <si>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</si>
  <si>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</si>
  <si>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</si>
  <si>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</si>
  <si>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</si>
  <si>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</si>
  <si>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</si>
  <si>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</si>
  <si>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</si>
  <si>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</si>
  <si>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</si>
  <si>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</si>
  <si>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</si>
  <si>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</si>
  <si>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</si>
  <si>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</si>
  <si>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</si>
  <si>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</si>
  <si>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</si>
  <si>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</si>
  <si>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</si>
  <si>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</si>
  <si>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</si>
  <si>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</si>
  <si>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</si>
  <si>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</si>
  <si>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</si>
  <si>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</si>
  <si>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</si>
  <si>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</si>
  <si>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</si>
  <si>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</si>
  <si>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</si>
  <si>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</si>
  <si>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</si>
  <si>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</si>
  <si>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</si>
  <si>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</si>
  <si>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</si>
  <si>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</si>
  <si>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</si>
  <si>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</si>
  <si>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</si>
  <si>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</si>
  <si>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</si>
  <si>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</si>
  <si>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</si>
  <si>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</si>
  <si>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</si>
  <si>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</si>
  <si>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</si>
  <si>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</si>
  <si>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</si>
  <si>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</si>
  <si>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</si>
  <si>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</si>
  <si>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</si>
  <si>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</si>
  <si>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</si>
  <si>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</si>
  <si>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</si>
  <si>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</si>
  <si>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</si>
  <si>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</si>
  <si>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</si>
  <si>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</si>
  <si>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</si>
  <si>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</si>
  <si>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</si>
  <si>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</si>
  <si>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</si>
  <si>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</si>
  <si>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</si>
  <si>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</si>
  <si>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</si>
  <si>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</si>
  <si>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</si>
  <si>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</si>
  <si>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</si>
  <si>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</si>
  <si>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</si>
  <si>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</si>
  <si>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</si>
  <si>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</si>
  <si>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</si>
  <si>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</si>
  <si>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</si>
  <si>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</si>
  <si>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</si>
  <si>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</si>
  <si>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</si>
  <si>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</si>
  <si>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</si>
  <si>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</si>
  <si>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</si>
  <si>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</si>
  <si>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</si>
  <si>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</si>
  <si>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</si>
  <si>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</si>
  <si>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</si>
  <si>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</si>
  <si>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</si>
  <si>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</si>
  <si>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</si>
  <si>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</si>
  <si>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</si>
  <si>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</si>
  <si>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</si>
  <si>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</si>
  <si>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</si>
  <si>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</si>
  <si>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</si>
  <si>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</si>
  <si>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</si>
  <si>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</si>
  <si>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</si>
  <si>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</si>
  <si>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</si>
  <si>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</si>
  <si>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</si>
  <si>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</si>
  <si>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</si>
  <si>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</si>
  <si>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</si>
  <si>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</si>
  <si>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</si>
  <si>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</si>
  <si>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</si>
  <si>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</si>
  <si>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</si>
  <si>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</si>
  <si>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</si>
  <si>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</si>
  <si>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</si>
  <si>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</si>
  <si>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</si>
  <si>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</si>
  <si>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</si>
  <si>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</si>
  <si>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</si>
  <si>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</si>
  <si>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</si>
  <si>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</si>
  <si>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</si>
  <si>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</si>
  <si>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</si>
  <si>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</si>
  <si>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</si>
  <si>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</si>
  <si>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</si>
  <si>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</si>
  <si>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</si>
  <si>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</si>
  <si>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</si>
  <si>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</si>
  <si>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</si>
  <si>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</si>
  <si>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</si>
  <si>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</si>
  <si>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</si>
  <si>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</si>
  <si>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</si>
  <si>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</si>
  <si>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</si>
  <si>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</si>
  <si>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</si>
  <si>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</si>
  <si>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</si>
  <si>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</si>
  <si>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</si>
  <si>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</si>
  <si>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</si>
  <si>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</si>
  <si>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</si>
  <si>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</si>
  <si>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</si>
  <si>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</si>
  <si>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</si>
  <si>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</si>
  <si>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</si>
  <si>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</si>
  <si>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</si>
  <si>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</si>
  <si>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</si>
  <si>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</si>
  <si>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</si>
  <si>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</si>
  <si>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</si>
  <si>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</si>
  <si>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</si>
  <si>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</si>
  <si>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</si>
  <si>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</si>
  <si>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</si>
  <si>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</si>
  <si>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</si>
  <si>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</si>
  <si>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</si>
  <si>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</si>
  <si>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</si>
  <si>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</si>
  <si>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</si>
  <si>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</si>
  <si>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</si>
  <si>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</si>
  <si>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</si>
  <si>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</si>
  <si>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</si>
  <si>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</si>
  <si>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</si>
  <si>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</si>
  <si>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</si>
  <si>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</si>
  <si>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</si>
  <si>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</si>
  <si>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</si>
  <si>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</si>
  <si>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</si>
  <si>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</si>
  <si>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</si>
  <si>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</si>
  <si>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</si>
  <si>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</si>
  <si>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</si>
  <si>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</si>
  <si>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</si>
  <si>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</si>
  <si>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</si>
  <si>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</si>
  <si>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</si>
  <si>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</si>
  <si>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</si>
  <si>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</si>
  <si>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</si>
  <si>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</si>
  <si>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</si>
  <si>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</si>
  <si>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</si>
  <si>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</si>
  <si>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</si>
  <si>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</si>
  <si>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</si>
  <si>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</si>
  <si>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</si>
  <si>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</si>
  <si>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</si>
  <si>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</si>
  <si>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</si>
  <si>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</si>
  <si>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</si>
  <si>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</si>
  <si>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</si>
  <si>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</si>
  <si>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</si>
  <si>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</si>
  <si>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</si>
  <si>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</si>
  <si>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</si>
  <si>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</si>
  <si>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</si>
  <si>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</si>
  <si>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</si>
  <si>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</si>
  <si>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</si>
  <si>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</si>
  <si>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</si>
  <si>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</si>
  <si>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</si>
  <si>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</si>
  <si>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</si>
  <si>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</si>
  <si>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</si>
  <si>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</si>
  <si>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</si>
  <si>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</si>
  <si>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</si>
  <si>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</si>
  <si>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</si>
  <si>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</si>
  <si>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</si>
  <si>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</si>
  <si>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</si>
  <si>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</si>
  <si>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</si>
  <si>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</si>
  <si>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</si>
  <si>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</si>
  <si>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</si>
  <si>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</si>
  <si>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</si>
  <si>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</si>
  <si>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</si>
  <si>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</si>
  <si>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</si>
  <si>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</si>
  <si>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</si>
  <si>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</si>
  <si>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</si>
  <si>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</si>
  <si>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</si>
  <si>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</si>
  <si>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</si>
  <si>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</si>
  <si>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</si>
  <si>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</si>
  <si>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</si>
  <si>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</si>
  <si>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</si>
  <si>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</si>
  <si>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</si>
  <si>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</si>
  <si>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</si>
  <si>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</si>
  <si>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</si>
  <si>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</si>
  <si>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</si>
  <si>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</si>
  <si>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</si>
  <si>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</si>
  <si>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</si>
  <si>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</si>
  <si>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</si>
  <si>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</si>
  <si>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</si>
  <si>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</si>
  <si>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</si>
  <si>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</si>
  <si>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</si>
  <si>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</si>
  <si>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</si>
  <si>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</si>
  <si>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</si>
  <si>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</si>
  <si>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</si>
  <si>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</si>
  <si>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</si>
  <si>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</si>
  <si>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</si>
  <si>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</si>
  <si>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</si>
  <si>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</si>
  <si>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</si>
  <si>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</si>
  <si>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</si>
  <si>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</si>
  <si>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</si>
  <si>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</si>
  <si>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</si>
  <si>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</si>
  <si>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</si>
  <si>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</si>
  <si>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</si>
  <si>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</si>
  <si>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</si>
  <si>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</si>
  <si>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</si>
  <si>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</si>
  <si>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</si>
  <si>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</si>
  <si>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</si>
  <si>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</si>
  <si>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</si>
  <si>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</si>
  <si>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</si>
  <si>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</si>
  <si>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</si>
  <si>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</si>
  <si>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</si>
  <si>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</si>
  <si>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</si>
  <si>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</si>
  <si>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</si>
  <si>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</si>
  <si>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</si>
  <si>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</si>
  <si>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</si>
  <si>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</si>
  <si>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</si>
  <si>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</si>
  <si>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</si>
  <si>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</si>
  <si>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</si>
  <si>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</si>
  <si>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</si>
  <si>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</si>
  <si>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</si>
  <si>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</si>
  <si>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</si>
  <si>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</si>
  <si>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</si>
  <si>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</si>
  <si>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</si>
  <si>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</si>
  <si>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</si>
  <si>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</si>
  <si>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</si>
  <si>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</si>
  <si>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</si>
  <si>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</si>
  <si>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</si>
  <si>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</si>
  <si>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</si>
  <si>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</si>
  <si>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</si>
  <si>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</si>
  <si>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</si>
  <si>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</si>
  <si>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</si>
  <si>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</si>
  <si>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</si>
  <si>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</si>
  <si>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</si>
  <si>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</si>
  <si>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</si>
  <si>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</si>
  <si>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</si>
  <si>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</si>
  <si>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</si>
  <si>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</si>
  <si>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</si>
  <si>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</si>
  <si>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</si>
  <si>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</si>
  <si>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</si>
  <si>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</si>
  <si>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</si>
  <si>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</si>
  <si>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</si>
  <si>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</si>
  <si>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</si>
  <si>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</si>
  <si>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</si>
  <si>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</si>
  <si>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</si>
  <si>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</si>
  <si>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</si>
  <si>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</si>
  <si>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</si>
  <si>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</si>
  <si>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</si>
  <si>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</si>
  <si>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</si>
  <si>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</si>
  <si>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</si>
  <si>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</si>
  <si>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</si>
  <si>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</si>
  <si>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</si>
  <si>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</si>
  <si>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</si>
  <si>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</si>
  <si>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</si>
  <si>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</si>
  <si>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</si>
  <si>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</si>
  <si>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</si>
  <si>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</si>
  <si>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</si>
  <si>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</si>
  <si>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</si>
  <si>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</si>
  <si>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</si>
  <si>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</si>
  <si>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</si>
  <si>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</si>
  <si>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</si>
  <si>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</si>
  <si>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</si>
  <si>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</si>
  <si>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</si>
  <si>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</si>
  <si>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</si>
  <si>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</si>
  <si>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</si>
  <si>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</si>
  <si>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</si>
  <si>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</si>
  <si>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</si>
  <si>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</si>
  <si>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</si>
  <si>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</si>
  <si>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</si>
  <si>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</si>
  <si>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</si>
  <si>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</si>
  <si>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</si>
  <si>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</si>
  <si>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</si>
  <si>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</si>
  <si>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</si>
  <si>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</si>
  <si>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</si>
  <si>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</si>
  <si>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</si>
  <si>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</si>
  <si>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</si>
  <si>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</si>
  <si>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</si>
  <si>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</si>
  <si>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</si>
  <si>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</si>
  <si>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</si>
  <si>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</si>
  <si>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</si>
  <si>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</si>
  <si>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</si>
  <si>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</si>
  <si>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</si>
  <si>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</si>
  <si>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</si>
  <si>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</si>
  <si>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</si>
  <si>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</si>
  <si>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</si>
  <si>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</si>
  <si>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</si>
  <si>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</si>
  <si>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</si>
  <si>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</si>
  <si>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</si>
  <si>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</si>
  <si>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</si>
  <si>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</si>
  <si>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</si>
  <si>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</si>
  <si>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</si>
  <si>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</si>
  <si>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</si>
  <si>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</si>
  <si>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</si>
  <si>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</si>
  <si>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</si>
  <si>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</si>
  <si>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</si>
  <si>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</si>
  <si>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</si>
  <si>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</si>
  <si>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</si>
  <si>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</si>
  <si>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</si>
  <si>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</si>
  <si>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</si>
  <si>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</si>
  <si>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</si>
  <si>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</si>
  <si>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</si>
  <si>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</si>
  <si>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</si>
  <si>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</si>
  <si>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</si>
  <si>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</si>
  <si>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</si>
  <si>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</si>
  <si>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</si>
  <si>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</si>
  <si>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</si>
  <si>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</si>
  <si>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</si>
  <si>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</si>
  <si>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</si>
  <si>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</si>
  <si>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</si>
  <si>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</si>
  <si>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</si>
  <si>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</si>
  <si>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</si>
  <si>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</si>
  <si>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</si>
  <si>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</si>
  <si>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</si>
  <si>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</si>
  <si>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</si>
  <si>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</si>
  <si>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</si>
  <si>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</si>
  <si>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</si>
  <si>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</si>
  <si>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</si>
  <si>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</si>
  <si>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</si>
  <si>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</si>
  <si>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</si>
  <si>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</si>
  <si>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</si>
  <si>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</si>
  <si>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</si>
  <si>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</si>
  <si>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</si>
  <si>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</si>
  <si>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</si>
  <si>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</si>
  <si>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</si>
  <si>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</si>
  <si>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</si>
  <si>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</si>
  <si>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</si>
  <si>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</si>
  <si>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</si>
  <si>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</si>
  <si>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</si>
  <si>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</si>
  <si>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</si>
  <si>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</si>
  <si>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</si>
  <si>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</si>
  <si>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</si>
  <si>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</si>
  <si>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</si>
  <si>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</si>
  <si>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</si>
  <si>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</si>
  <si>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</si>
  <si>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</si>
  <si>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</si>
  <si>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</si>
  <si>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</si>
  <si>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</si>
  <si>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</si>
  <si>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</si>
  <si>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</si>
  <si>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</si>
  <si>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</si>
  <si>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</si>
  <si>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</si>
  <si>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</si>
  <si>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</si>
  <si>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</si>
  <si>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</si>
  <si>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</si>
  <si>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</si>
  <si>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</si>
  <si>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</si>
  <si>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</si>
  <si>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</si>
  <si>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</si>
  <si>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</si>
  <si>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</si>
  <si>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</si>
  <si>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</si>
  <si>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</si>
  <si>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</si>
  <si>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</si>
  <si>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</si>
  <si>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</si>
  <si>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</si>
  <si>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</si>
  <si>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</si>
  <si>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</si>
  <si>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</si>
  <si>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</si>
  <si>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</si>
  <si>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</si>
  <si>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</si>
  <si>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</si>
  <si>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</si>
  <si>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</si>
  <si>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</si>
  <si>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</si>
  <si>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</si>
  <si>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</si>
  <si>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</si>
  <si>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</si>
  <si>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</si>
  <si>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</si>
  <si>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</si>
  <si>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</si>
  <si>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</si>
  <si>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</si>
  <si>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</si>
  <si>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</si>
  <si>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</si>
  <si>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</si>
  <si>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</si>
  <si>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</si>
  <si>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</si>
  <si>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</si>
  <si>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</si>
  <si>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</si>
  <si>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</si>
  <si>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</si>
  <si>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</si>
  <si>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</si>
  <si>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</si>
  <si>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</si>
  <si>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</si>
  <si>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</si>
  <si>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</si>
  <si>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</si>
  <si>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</si>
  <si>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</si>
  <si>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</si>
  <si>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</si>
  <si>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</si>
  <si>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</si>
  <si>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</si>
  <si>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</si>
  <si>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</si>
  <si>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</si>
  <si>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</si>
  <si>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</si>
  <si>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</si>
  <si>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</si>
  <si>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</si>
  <si>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</si>
  <si>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</si>
  <si>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</si>
  <si>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</si>
  <si>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</si>
  <si>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</si>
  <si>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</si>
  <si>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</si>
  <si>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</si>
  <si>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</si>
  <si>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</si>
  <si>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</si>
  <si>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</si>
  <si>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</si>
  <si>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</si>
  <si>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</si>
  <si>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</si>
  <si>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</si>
  <si>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</si>
  <si>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</si>
  <si>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</si>
  <si>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</si>
  <si>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</si>
  <si>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</si>
  <si>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</si>
  <si>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</si>
  <si>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</si>
  <si>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</si>
  <si>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</si>
  <si>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</si>
  <si>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</si>
  <si>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</si>
  <si>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</si>
  <si>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</si>
  <si>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</si>
  <si>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</si>
  <si>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</si>
  <si>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</si>
  <si>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</si>
  <si>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</si>
  <si>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</si>
  <si>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</si>
  <si>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</si>
  <si>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</si>
  <si>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</si>
  <si>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</si>
  <si>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</si>
  <si>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</si>
  <si>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</si>
  <si>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</si>
  <si>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</si>
  <si>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</si>
  <si>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</si>
  <si>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</si>
  <si>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</si>
  <si>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</si>
  <si>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</si>
  <si>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</si>
  <si>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</si>
  <si>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</si>
  <si>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</si>
  <si>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</si>
  <si>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</si>
  <si>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</si>
  <si>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</si>
  <si>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</si>
  <si>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</si>
  <si>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</si>
  <si>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</si>
  <si>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</si>
  <si>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</si>
  <si>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</si>
  <si>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</si>
  <si>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</si>
  <si>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</si>
  <si>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</si>
  <si>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</si>
  <si>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</si>
  <si>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</si>
  <si>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</si>
  <si>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</si>
  <si>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</si>
  <si>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</si>
  <si>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</si>
  <si>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</si>
  <si>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</si>
  <si>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</si>
  <si>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</si>
  <si>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</si>
  <si>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</si>
  <si>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</si>
  <si>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</si>
  <si>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</si>
  <si>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</si>
  <si>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</si>
  <si>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</si>
  <si>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</si>
  <si>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</si>
  <si>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</si>
  <si>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</si>
  <si>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</si>
  <si>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</si>
  <si>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</si>
  <si>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</si>
  <si>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</si>
  <si>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</si>
  <si>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</si>
  <si>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</si>
  <si>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</si>
  <si>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</si>
  <si>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</si>
  <si>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</si>
  <si>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</si>
  <si>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</si>
  <si>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</si>
  <si>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</si>
  <si>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</si>
  <si>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</si>
  <si>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</si>
  <si>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</si>
  <si>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</si>
  <si>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</si>
  <si>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</si>
  <si>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</si>
  <si>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</si>
  <si>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</si>
  <si>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</si>
  <si>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</si>
  <si>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</si>
  <si>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</si>
  <si>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</si>
  <si>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</si>
  <si>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</si>
  <si>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</si>
  <si>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</si>
  <si>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</si>
  <si>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</si>
  <si>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</si>
  <si>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</si>
  <si>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</si>
  <si>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</si>
  <si>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</si>
  <si>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</si>
  <si>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</si>
  <si>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</si>
  <si>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</si>
  <si>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</si>
  <si>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</si>
  <si>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</si>
  <si>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</si>
  <si>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</si>
  <si>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</si>
  <si>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</si>
  <si>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</si>
  <si>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</si>
  <si>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</si>
  <si>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</si>
  <si>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</si>
  <si>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</si>
  <si>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</si>
  <si>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</si>
  <si>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</si>
  <si>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</si>
  <si>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</si>
  <si>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</si>
  <si>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</si>
  <si>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</si>
  <si>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</si>
  <si>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</si>
  <si>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</si>
  <si>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</si>
  <si>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</si>
  <si>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</si>
  <si>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</si>
  <si>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</si>
  <si>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</si>
  <si>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</si>
  <si>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</si>
  <si>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</si>
  <si>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</si>
  <si>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</si>
  <si>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</si>
  <si>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</si>
  <si>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</si>
  <si>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</si>
  <si>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</si>
  <si>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</si>
  <si>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</si>
  <si>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</si>
  <si>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</si>
  <si>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</si>
  <si>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</si>
  <si>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</si>
  <si>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</si>
  <si>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</si>
  <si>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</si>
  <si>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</si>
  <si>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</si>
  <si>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</si>
  <si>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</si>
  <si>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</si>
  <si>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</si>
  <si>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</si>
  <si>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</si>
  <si>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</si>
  <si>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</si>
  <si>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</si>
  <si>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</si>
  <si>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</si>
  <si>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</si>
  <si>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</si>
  <si>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</si>
  <si>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</si>
  <si>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</si>
  <si>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</si>
  <si>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</si>
  <si>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</si>
  <si>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</si>
  <si>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</si>
  <si>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</si>
  <si>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</si>
  <si>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</si>
  <si>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</si>
  <si>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</si>
  <si>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</si>
  <si>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</si>
  <si>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</si>
  <si>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</si>
  <si>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</si>
  <si>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</si>
  <si>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</si>
  <si>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</si>
  <si>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</si>
  <si>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</si>
  <si>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</si>
  <si>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</si>
  <si>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</si>
  <si>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</si>
  <si>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</si>
  <si>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</si>
  <si>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</si>
  <si>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</si>
  <si>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</si>
  <si>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</si>
  <si>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</si>
  <si>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</si>
  <si>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</si>
  <si>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</si>
  <si>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</si>
  <si>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</si>
  <si>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</si>
  <si>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</si>
  <si>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</si>
  <si>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</si>
  <si>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</si>
  <si>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</si>
  <si>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</si>
  <si>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</si>
  <si>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</si>
  <si>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</si>
  <si>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</si>
  <si>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</si>
  <si>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</si>
  <si>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</si>
  <si>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</si>
  <si>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</si>
  <si>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</si>
  <si>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</si>
  <si>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</si>
  <si>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</si>
  <si>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</si>
  <si>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</si>
  <si>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</si>
  <si>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</si>
  <si>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</si>
  <si>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</si>
  <si>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</si>
  <si>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</si>
  <si>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</si>
  <si>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</si>
  <si>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</si>
  <si>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</si>
  <si>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</si>
  <si>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</si>
  <si>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</si>
  <si>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</si>
  <si>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</si>
  <si>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</si>
  <si>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</si>
  <si>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</si>
  <si>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</si>
  <si>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</si>
  <si>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</si>
  <si>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</si>
  <si>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</si>
  <si>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</si>
  <si>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</si>
  <si>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</si>
  <si>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</si>
  <si>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</si>
  <si>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</si>
  <si>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</si>
  <si>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</si>
  <si>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</si>
  <si>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</si>
  <si>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</si>
  <si>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</si>
  <si>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</si>
  <si>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</si>
  <si>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</si>
  <si>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</si>
  <si>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</si>
  <si>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</si>
  <si>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</si>
  <si>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</si>
  <si>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</si>
  <si>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</si>
  <si>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</si>
  <si>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</si>
  <si>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</si>
  <si>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</si>
  <si>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</si>
  <si>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</si>
  <si>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</si>
  <si>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</si>
  <si>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</si>
  <si>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</si>
  <si>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</si>
  <si>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</si>
  <si>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</si>
  <si>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</si>
  <si>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</si>
  <si>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</si>
  <si>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</si>
  <si>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</si>
  <si>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</si>
  <si>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</si>
  <si>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</si>
  <si>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</si>
  <si>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</si>
  <si>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</si>
  <si>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</si>
  <si>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</si>
  <si>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</si>
  <si>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</si>
  <si>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</si>
  <si>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</si>
  <si>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</si>
  <si>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</si>
  <si>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</si>
  <si>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</si>
  <si>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</si>
  <si>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</si>
  <si>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</si>
  <si>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</si>
  <si>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</si>
  <si>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</si>
  <si>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</si>
  <si>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</si>
  <si>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</si>
  <si>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</si>
  <si>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</si>
  <si>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</si>
  <si>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</si>
  <si>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</si>
  <si>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</si>
  <si>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</si>
  <si>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</si>
  <si>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</si>
  <si>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</si>
  <si>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</si>
  <si>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</si>
  <si>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</si>
  <si>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</si>
  <si>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</si>
  <si>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</si>
  <si>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</si>
  <si>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</si>
  <si>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</si>
  <si>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</si>
  <si>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</si>
  <si>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</si>
  <si>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</si>
  <si>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</si>
  <si>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</si>
  <si>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</si>
  <si>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</si>
  <si>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</si>
  <si>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</si>
  <si>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</si>
  <si>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</si>
  <si>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</si>
  <si>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</si>
  <si>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</si>
  <si>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</si>
  <si>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</si>
  <si>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</si>
  <si>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</si>
  <si>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</si>
  <si>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</si>
  <si>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</si>
  <si>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</si>
  <si>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</si>
  <si>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</si>
  <si>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</si>
  <si>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</si>
  <si>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</si>
  <si>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</si>
  <si>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</si>
  <si>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</si>
  <si>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</si>
  <si>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</si>
  <si>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</si>
  <si>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</si>
  <si>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</si>
  <si>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</si>
  <si>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</si>
  <si>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</si>
  <si>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</si>
  <si>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</si>
  <si>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</si>
  <si>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</si>
  <si>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</si>
  <si>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</si>
  <si>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</si>
  <si>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</si>
  <si>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</si>
  <si>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</si>
  <si>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</si>
  <si>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</si>
  <si>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</si>
  <si>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</si>
  <si>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</si>
  <si>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</si>
  <si>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</si>
  <si>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</si>
  <si>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</si>
  <si>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</si>
  <si>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</si>
  <si>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</si>
  <si>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</si>
  <si>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</si>
  <si>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</si>
  <si>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</si>
  <si>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</si>
  <si>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</si>
  <si>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</si>
  <si>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</si>
  <si>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</si>
  <si>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</si>
  <si>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</si>
  <si>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</si>
  <si>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</si>
  <si>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</si>
  <si>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</si>
  <si>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</si>
  <si>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</si>
  <si>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</si>
  <si>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</si>
  <si>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</si>
  <si>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</si>
  <si>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</si>
  <si>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</si>
  <si>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</si>
  <si>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</si>
  <si>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</si>
  <si>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</si>
  <si>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</si>
  <si>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</si>
  <si>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</si>
  <si>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</si>
  <si>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</si>
  <si>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</si>
  <si>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</si>
  <si>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</si>
  <si>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</si>
  <si>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</si>
  <si>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</si>
  <si>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</si>
  <si>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</si>
  <si>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</si>
  <si>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</si>
  <si>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</si>
  <si>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</si>
  <si>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</si>
  <si>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</si>
  <si>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</si>
  <si>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</si>
  <si>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</si>
  <si>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</si>
  <si>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</si>
  <si>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</si>
  <si>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</si>
  <si>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</si>
  <si>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</si>
  <si>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</si>
  <si>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</si>
  <si>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</si>
  <si>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</si>
  <si>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</si>
  <si>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</si>
  <si>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</si>
  <si>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</si>
  <si>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</si>
  <si>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</si>
  <si>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</si>
  <si>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</si>
  <si>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</si>
  <si>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</si>
  <si>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</si>
  <si>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</si>
  <si>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</si>
  <si>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</si>
  <si>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</si>
  <si>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</si>
  <si>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</si>
  <si>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</si>
  <si>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</si>
  <si>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</si>
  <si>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</si>
  <si>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</si>
  <si>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</si>
  <si>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</si>
  <si>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</si>
  <si>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</si>
  <si>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</si>
  <si>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</si>
  <si>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</si>
  <si>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</si>
  <si>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</si>
  <si>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</si>
  <si>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</si>
  <si>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</si>
  <si>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</si>
  <si>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</si>
  <si>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</si>
  <si>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</si>
  <si>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</si>
  <si>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</si>
  <si>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</si>
  <si>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</si>
  <si>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</si>
  <si>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</si>
  <si>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</si>
  <si>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</si>
  <si>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</si>
  <si>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</si>
  <si>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</si>
  <si>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</si>
  <si>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</si>
  <si>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</si>
  <si>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</si>
  <si>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</si>
  <si>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</si>
  <si>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</si>
  <si>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</si>
  <si>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</si>
  <si>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</si>
  <si>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</si>
  <si>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</si>
  <si>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</si>
  <si>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</si>
  <si>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</si>
  <si>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</si>
  <si>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</si>
  <si>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</si>
  <si>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</si>
  <si>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</si>
  <si>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</si>
  <si>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</si>
  <si>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</si>
  <si>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</si>
  <si>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</si>
  <si>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</si>
  <si>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</si>
  <si>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</si>
  <si>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</si>
  <si>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</si>
  <si>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</si>
  <si>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</si>
  <si>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</si>
  <si>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</si>
  <si>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</si>
  <si>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</si>
  <si>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</si>
  <si>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</si>
  <si>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</si>
  <si>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</si>
  <si>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</si>
  <si>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</si>
  <si>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</si>
  <si>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</si>
  <si>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</si>
  <si>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</si>
  <si>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</si>
  <si>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</si>
  <si>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</si>
  <si>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</si>
  <si>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</si>
  <si>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</si>
  <si>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</si>
  <si>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</si>
  <si>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</si>
  <si>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</si>
  <si>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</si>
  <si>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</si>
  <si>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</si>
  <si>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</si>
  <si>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</si>
  <si>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</si>
  <si>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</si>
  <si>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</si>
  <si>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</si>
  <si>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</si>
  <si>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</si>
  <si>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</si>
  <si>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</si>
  <si>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</si>
  <si>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</si>
  <si>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</si>
  <si>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</si>
  <si>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</si>
  <si>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</si>
  <si>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</si>
  <si>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</si>
  <si>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</si>
  <si>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</si>
  <si>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</si>
  <si>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</si>
  <si>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</si>
  <si>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</si>
  <si>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</si>
  <si>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</si>
  <si>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</si>
  <si>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</si>
  <si>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</si>
  <si>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</si>
  <si>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</si>
  <si>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</si>
  <si>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</si>
  <si>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</si>
  <si>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</si>
  <si>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</si>
  <si>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</si>
  <si>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</si>
  <si>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</si>
  <si>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</si>
  <si>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</si>
  <si>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</si>
  <si>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</si>
  <si>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</si>
  <si>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</si>
  <si>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</si>
  <si>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</si>
  <si>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</si>
  <si>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</si>
  <si>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</si>
  <si>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</si>
  <si>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</si>
  <si>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</si>
  <si>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</si>
  <si>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</si>
  <si>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</si>
  <si>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</si>
  <si>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</si>
  <si>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</si>
  <si>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</si>
  <si>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</si>
  <si>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</si>
  <si>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</si>
  <si>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</si>
  <si>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</si>
  <si>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</si>
  <si>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</si>
  <si>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</si>
  <si>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</si>
  <si>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</si>
  <si>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</si>
  <si>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</si>
  <si>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</si>
  <si>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</si>
  <si>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</si>
  <si>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</si>
  <si>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</si>
  <si>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</si>
  <si>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</si>
  <si>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</si>
  <si>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</si>
  <si>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</si>
  <si>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</si>
  <si>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</si>
  <si>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</si>
  <si>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</si>
  <si>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</si>
  <si>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</si>
  <si>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</si>
  <si>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</si>
  <si>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</si>
  <si>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</si>
  <si>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</si>
  <si>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</si>
  <si>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</si>
  <si>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</si>
  <si>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</si>
  <si>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</si>
  <si>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</si>
  <si>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</si>
  <si>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</si>
  <si>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</si>
  <si>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</si>
  <si>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</si>
  <si>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</si>
  <si>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</si>
  <si>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</si>
  <si>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</si>
  <si>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</si>
  <si>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</si>
  <si>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</si>
  <si>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</si>
  <si>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</si>
  <si>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</si>
  <si>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</si>
  <si>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</si>
  <si>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</si>
  <si>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</si>
  <si>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</si>
  <si>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</si>
  <si>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</si>
  <si>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</si>
  <si>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</si>
  <si>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</si>
  <si>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</si>
  <si>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</si>
  <si>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</si>
  <si>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</si>
  <si>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</si>
  <si>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</si>
  <si>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</si>
  <si>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</si>
  <si>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</si>
  <si>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</si>
  <si>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</si>
  <si>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</si>
  <si>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</si>
  <si>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</si>
  <si>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</si>
  <si>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</si>
  <si>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</si>
  <si>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</si>
  <si>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</si>
  <si>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</si>
  <si>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</si>
  <si>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</si>
  <si>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</si>
  <si>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</si>
  <si>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</si>
  <si>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</si>
  <si>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</si>
  <si>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</si>
  <si>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</si>
  <si>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</si>
  <si>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</si>
  <si>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</si>
  <si>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</si>
  <si>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</si>
  <si>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</si>
  <si>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</si>
  <si>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</si>
  <si>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</si>
  <si>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</si>
  <si>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</si>
  <si>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</si>
  <si>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</si>
  <si>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</si>
  <si>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</si>
  <si>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</si>
  <si>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</si>
  <si>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</si>
  <si>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</si>
  <si>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</si>
  <si>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</si>
  <si>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</si>
  <si>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</si>
  <si>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</si>
  <si>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</si>
  <si>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</si>
  <si>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</si>
  <si>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</si>
  <si>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</si>
  <si>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</si>
  <si>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</si>
  <si>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</si>
  <si>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</si>
  <si>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</si>
  <si>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</si>
  <si>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</si>
  <si>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</si>
  <si>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</si>
  <si>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</si>
  <si>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</si>
  <si>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</si>
  <si>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</si>
  <si>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</si>
  <si>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</si>
  <si>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</si>
  <si>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</si>
  <si>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</si>
  <si>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</si>
  <si>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</si>
  <si>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</si>
  <si>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</si>
  <si>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</si>
  <si>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</si>
  <si>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</si>
  <si>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</si>
  <si>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</si>
  <si>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</si>
  <si>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</si>
  <si>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</si>
  <si>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</si>
  <si>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</si>
  <si>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</si>
  <si>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</si>
  <si>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</si>
  <si>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</si>
  <si>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</si>
  <si>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</si>
  <si>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</si>
  <si>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</si>
  <si>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</si>
  <si>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</si>
  <si>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</si>
  <si>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</si>
  <si>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</si>
  <si>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</si>
  <si>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</si>
  <si>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</si>
  <si>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</si>
  <si>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</si>
  <si>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</si>
  <si>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</si>
  <si>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</si>
  <si>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</si>
  <si>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</si>
  <si>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</si>
  <si>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</si>
  <si>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</si>
  <si>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</si>
  <si>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</si>
  <si>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</si>
  <si>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</si>
  <si>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</si>
  <si>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</si>
  <si>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</si>
  <si>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</si>
  <si>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</si>
  <si>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</si>
  <si>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</si>
  <si>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</si>
  <si>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</si>
  <si>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</si>
  <si>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</si>
  <si>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</si>
  <si>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</si>
  <si>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</si>
  <si>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</si>
  <si>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</si>
  <si>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</si>
  <si>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</si>
  <si>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</si>
  <si>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</si>
  <si>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</si>
  <si>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</si>
  <si>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</si>
  <si>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</si>
  <si>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</si>
  <si>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</si>
  <si>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</si>
  <si>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</si>
  <si>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</si>
  <si>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</si>
  <si>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</si>
  <si>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</si>
  <si>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</si>
  <si>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</si>
  <si>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</si>
  <si>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</si>
  <si>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</si>
  <si>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</si>
  <si>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</si>
  <si>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</si>
  <si>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</si>
  <si>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</si>
  <si>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</si>
  <si>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</si>
  <si>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</si>
  <si>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</si>
  <si>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</si>
  <si>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</si>
  <si>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</si>
  <si>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</si>
  <si>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</si>
  <si>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</si>
  <si>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</si>
  <si>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</si>
  <si>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</si>
  <si>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</si>
  <si>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</si>
  <si>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</si>
  <si>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</si>
  <si>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</si>
  <si>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</si>
  <si>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</si>
  <si>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</si>
  <si>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</si>
  <si>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</si>
  <si>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</si>
  <si>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</si>
  <si>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</si>
  <si>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</si>
  <si>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</si>
  <si>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</si>
  <si>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</si>
  <si>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</si>
  <si>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</si>
  <si>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</si>
  <si>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</si>
  <si>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</si>
  <si>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</si>
  <si>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</si>
  <si>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</si>
  <si>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</si>
  <si>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</si>
  <si>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</si>
  <si>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</si>
  <si>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</si>
  <si>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</si>
  <si>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</si>
  <si>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</si>
  <si>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</si>
  <si>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</si>
  <si>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</si>
  <si>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</si>
  <si>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</si>
  <si>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</si>
  <si>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</si>
  <si>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</si>
  <si>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</si>
  <si>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</si>
  <si>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</si>
  <si>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</si>
  <si>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</si>
  <si>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</si>
  <si>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</si>
  <si>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</si>
  <si>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</si>
  <si>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</si>
  <si>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</si>
  <si>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</si>
  <si>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</si>
  <si>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</si>
  <si>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</si>
  <si>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</si>
  <si>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</si>
  <si>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</si>
  <si>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</si>
  <si>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</si>
  <si>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</si>
  <si>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</si>
  <si>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</si>
  <si>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</si>
  <si>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</si>
  <si>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</si>
  <si>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</si>
  <si>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</si>
  <si>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</si>
  <si>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</si>
  <si>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</si>
  <si>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</si>
  <si>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</si>
  <si>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</si>
  <si>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</si>
  <si>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</si>
  <si>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</si>
  <si>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</si>
  <si>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</si>
  <si>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</si>
  <si>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</si>
  <si>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</si>
  <si>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</si>
  <si>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</si>
  <si>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</si>
  <si>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</si>
  <si>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</si>
  <si>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</si>
  <si>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</si>
  <si>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</si>
  <si>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</si>
  <si>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</si>
  <si>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</si>
  <si>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</si>
  <si>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</si>
  <si>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</si>
  <si>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</si>
  <si>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</si>
  <si>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</si>
  <si>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</si>
  <si>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</si>
  <si>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</si>
  <si>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</si>
  <si>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</si>
  <si>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</si>
  <si>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</si>
  <si>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</si>
  <si>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</si>
  <si>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</si>
  <si>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</si>
  <si>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</si>
  <si>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</si>
  <si>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</si>
  <si>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</si>
  <si>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</si>
  <si>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</si>
  <si>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</si>
  <si>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</si>
  <si>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</si>
  <si>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</si>
  <si>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</si>
  <si>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</si>
  <si>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</si>
  <si>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</si>
  <si>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</si>
  <si>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</si>
  <si>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</si>
  <si>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</si>
  <si>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</si>
  <si>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</si>
  <si>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</si>
  <si>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</si>
  <si>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</si>
  <si>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</si>
  <si>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</si>
  <si>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</si>
  <si>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</si>
  <si>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</si>
  <si>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</si>
  <si>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</si>
  <si>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</si>
  <si>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</si>
  <si>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</si>
  <si>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</si>
  <si>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</si>
  <si>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</si>
  <si>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</si>
  <si>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</si>
  <si>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</si>
  <si>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</si>
  <si>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</si>
  <si>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</si>
  <si>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</si>
  <si>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</si>
  <si>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</si>
  <si>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</si>
  <si>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</si>
  <si>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</si>
  <si>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</si>
  <si>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</si>
  <si>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</si>
  <si>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</si>
  <si>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</si>
  <si>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</si>
  <si>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</si>
  <si>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</si>
  <si>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</si>
  <si>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</si>
  <si>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</si>
  <si>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</si>
  <si>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</si>
  <si>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</si>
  <si>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</si>
  <si>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</si>
  <si>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</si>
  <si>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</si>
  <si>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</si>
  <si>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</si>
  <si>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</si>
  <si>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</si>
  <si>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</si>
  <si>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</si>
  <si>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</si>
  <si>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</si>
  <si>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</si>
  <si>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</si>
  <si>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</si>
  <si>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</si>
  <si>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</si>
  <si>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</si>
  <si>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</si>
  <si>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</si>
  <si>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</si>
  <si>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</si>
  <si>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</si>
  <si>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</si>
  <si>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</si>
  <si>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</si>
  <si>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</si>
  <si>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</si>
  <si>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</si>
  <si>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</si>
  <si>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</si>
  <si>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</si>
  <si>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</si>
  <si>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</si>
  <si>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</si>
  <si>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</si>
  <si>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</si>
  <si>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</si>
  <si>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</si>
  <si>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</si>
  <si>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</si>
  <si>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</si>
  <si>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</si>
  <si>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</si>
  <si>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</si>
  <si>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</si>
  <si>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</si>
  <si>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</si>
  <si>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</si>
  <si>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</si>
  <si>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</si>
  <si>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</si>
  <si>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</si>
  <si>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</si>
  <si>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</si>
  <si>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</si>
  <si>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</si>
  <si>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</si>
  <si>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</si>
  <si>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</si>
  <si>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</si>
  <si>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</si>
  <si>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</si>
  <si>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</si>
  <si>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</si>
  <si>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</si>
  <si>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</si>
  <si>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</si>
  <si>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</si>
  <si>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</si>
  <si>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</si>
  <si>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</si>
  <si>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</si>
  <si>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</si>
  <si>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</si>
  <si>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</si>
  <si>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</si>
  <si>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</si>
  <si>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</si>
  <si>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</si>
  <si>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</si>
  <si>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</si>
  <si>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</si>
  <si>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</si>
  <si>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</si>
  <si>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</si>
  <si>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</si>
  <si>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</si>
  <si>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</si>
  <si>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</si>
  <si>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</si>
  <si>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</si>
  <si>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</si>
  <si>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</si>
  <si>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</si>
  <si>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</si>
  <si>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</si>
  <si>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</si>
  <si>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</si>
  <si>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</si>
  <si>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</si>
  <si>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</si>
  <si>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</si>
  <si>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</si>
  <si>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</si>
  <si>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</si>
  <si>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</si>
  <si>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</si>
  <si>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</si>
  <si>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</si>
  <si>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</si>
  <si>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</si>
  <si>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</si>
  <si>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</si>
  <si>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</si>
  <si>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</si>
  <si>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</si>
  <si>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</si>
  <si>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</si>
  <si>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</si>
  <si>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</si>
  <si>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</si>
  <si>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</si>
  <si>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</si>
  <si>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</si>
  <si>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</si>
  <si>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</si>
  <si>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</si>
  <si>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</si>
  <si>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</si>
  <si>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</si>
  <si>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</si>
  <si>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</si>
  <si>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</si>
  <si>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</si>
  <si>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</si>
  <si>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</si>
  <si>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</si>
  <si>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</si>
  <si>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</si>
  <si>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</si>
  <si>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</si>
  <si>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</si>
  <si>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</si>
  <si>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</si>
  <si>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</si>
  <si>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</si>
  <si>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</si>
  <si>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</si>
  <si>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</si>
  <si>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</si>
  <si>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</si>
  <si>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</si>
  <si>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</si>
  <si>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</si>
  <si>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</si>
  <si>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</si>
  <si>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</si>
  <si>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</si>
  <si>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</si>
  <si>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</si>
  <si>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</si>
  <si>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</si>
  <si>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</si>
  <si>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</si>
  <si>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</si>
  <si>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</si>
  <si>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</si>
  <si>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</si>
  <si>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</si>
  <si>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</si>
  <si>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</si>
  <si>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</si>
  <si>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</si>
  <si>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</si>
  <si>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</si>
  <si>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</si>
  <si>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</si>
  <si>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</si>
  <si>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</si>
  <si>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</si>
  <si>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</si>
  <si>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</si>
  <si>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</si>
  <si>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</si>
  <si>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</si>
  <si>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</si>
  <si>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</si>
  <si>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</si>
  <si>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</si>
  <si>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</si>
  <si>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</si>
  <si>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</si>
  <si>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</si>
  <si>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</si>
  <si>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</si>
  <si>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</si>
  <si>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</si>
  <si>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</si>
  <si>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</si>
  <si>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</si>
  <si>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</si>
  <si>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</si>
  <si>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</si>
  <si>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</si>
  <si>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</si>
  <si>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</si>
  <si>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</si>
  <si>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</si>
  <si>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</si>
  <si>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</si>
  <si>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</si>
  <si>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</si>
  <si>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</si>
  <si>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</si>
  <si>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</si>
  <si>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</si>
  <si>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</si>
  <si>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</si>
  <si>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</si>
  <si>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</si>
  <si>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</si>
  <si>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</si>
  <si>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</si>
  <si>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</si>
  <si>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</si>
  <si>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</si>
  <si>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</si>
  <si>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</si>
  <si>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</si>
  <si>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</si>
  <si>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</si>
  <si>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</si>
  <si>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</si>
  <si>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</si>
  <si>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</si>
  <si>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</si>
  <si>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</si>
  <si>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</si>
  <si>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</si>
  <si>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</si>
  <si>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</si>
  <si>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</si>
  <si>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</si>
  <si>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</si>
  <si>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</si>
  <si>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</si>
  <si>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</si>
  <si>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</si>
  <si>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</si>
  <si>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</si>
  <si>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</si>
  <si>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</si>
  <si>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</si>
  <si>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</si>
  <si>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</si>
  <si>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</si>
  <si>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</si>
  <si>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</si>
  <si>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</si>
  <si>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</si>
  <si>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</si>
  <si>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</si>
  <si>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</si>
  <si>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</si>
  <si>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</si>
  <si>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</si>
  <si>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</si>
  <si>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</si>
  <si>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</si>
  <si>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</si>
  <si>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</si>
  <si>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</si>
  <si>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</si>
  <si>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</si>
  <si>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</si>
  <si>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</si>
  <si>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</si>
  <si>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</si>
  <si>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</si>
  <si>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</si>
  <si>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</si>
  <si>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</si>
  <si>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</si>
  <si>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</si>
  <si>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</si>
  <si>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</si>
  <si>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</si>
  <si>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</si>
  <si>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</si>
  <si>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</si>
  <si>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</si>
  <si>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</si>
  <si>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</si>
  <si>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</si>
  <si>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</si>
  <si>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</si>
  <si>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</si>
  <si>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</si>
  <si>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</si>
  <si>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</si>
  <si>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</si>
  <si>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</si>
  <si>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</si>
  <si>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</si>
  <si>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</si>
  <si>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</si>
  <si>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</si>
  <si>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</si>
  <si>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</si>
  <si>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</si>
  <si>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</si>
  <si>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</si>
  <si>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</si>
  <si>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</si>
  <si>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</si>
  <si>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</si>
  <si>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</si>
  <si>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</si>
  <si>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</si>
  <si>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</si>
  <si>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</si>
  <si>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</si>
  <si>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</si>
  <si>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</si>
  <si>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</si>
  <si>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</si>
  <si>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</si>
  <si>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</si>
  <si>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</si>
  <si>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</si>
  <si>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</si>
  <si>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</si>
  <si>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</si>
  <si>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</si>
  <si>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</si>
  <si>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</si>
  <si>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</si>
  <si>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</si>
  <si>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</si>
  <si>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</si>
  <si>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</si>
  <si>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</si>
  <si>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</si>
  <si>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</si>
  <si>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</si>
  <si>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</si>
  <si>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</si>
  <si>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</si>
  <si>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</si>
  <si>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</si>
  <si>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</si>
  <si>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</si>
  <si>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</si>
  <si>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</si>
  <si>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</si>
  <si>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</si>
  <si>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</si>
  <si>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</si>
  <si>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</si>
  <si>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</si>
  <si>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</si>
  <si>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</si>
  <si>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</si>
  <si>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</si>
  <si>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</si>
  <si>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</si>
  <si>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</si>
  <si>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</si>
  <si>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</si>
  <si>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</si>
  <si>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</si>
  <si>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</si>
  <si>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</si>
  <si>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</si>
  <si>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</si>
  <si>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</si>
  <si>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</si>
  <si>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</si>
  <si>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</si>
  <si>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</si>
  <si>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</si>
  <si>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</si>
  <si>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</si>
  <si>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</si>
  <si>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</si>
  <si>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</si>
  <si>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</si>
  <si>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</si>
  <si>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</si>
  <si>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</si>
  <si>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</si>
  <si>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</si>
  <si>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</si>
  <si>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</si>
  <si>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</si>
  <si>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</si>
  <si>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</si>
  <si>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</si>
  <si>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</si>
  <si>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</si>
  <si>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</si>
  <si>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</si>
  <si>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</si>
  <si>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</si>
  <si>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</si>
  <si>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</si>
  <si>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</si>
  <si>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</si>
  <si>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</si>
  <si>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</si>
  <si>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</si>
  <si>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</si>
  <si>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</si>
  <si>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</si>
  <si>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</si>
  <si>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</si>
  <si>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</si>
  <si>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</si>
  <si>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</si>
  <si>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</si>
  <si>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</si>
  <si>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</si>
  <si>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</si>
  <si>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</si>
  <si>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</si>
  <si>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</si>
  <si>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</si>
  <si>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</si>
  <si>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</si>
  <si>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</si>
  <si>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</si>
  <si>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</si>
  <si>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</si>
  <si>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</si>
  <si>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</si>
  <si>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</si>
  <si>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</si>
  <si>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</si>
  <si>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</si>
  <si>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</si>
  <si>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</si>
  <si>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</si>
  <si>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</si>
  <si>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</si>
  <si>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</si>
  <si>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</si>
  <si>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</si>
  <si>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</si>
  <si>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</si>
  <si>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</si>
  <si>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</si>
  <si>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</si>
  <si>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</si>
  <si>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</si>
  <si>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</si>
  <si>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</si>
  <si>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</si>
  <si>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</si>
  <si>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</si>
  <si>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</si>
  <si>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</si>
  <si>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</si>
  <si>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</si>
  <si>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</si>
  <si>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</si>
  <si>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</si>
  <si>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</si>
  <si>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</si>
  <si>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</si>
  <si>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</si>
  <si>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</si>
  <si>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</si>
  <si>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</si>
  <si>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</si>
  <si>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</si>
  <si>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</si>
  <si>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</si>
  <si>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</si>
  <si>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</si>
  <si>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</si>
  <si>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</si>
  <si>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</si>
  <si>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</si>
  <si>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</si>
  <si>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</si>
  <si>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</si>
  <si>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</si>
  <si>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</si>
  <si>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</si>
  <si>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</si>
  <si>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</si>
  <si>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</si>
  <si>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</si>
  <si>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</si>
  <si>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</si>
  <si>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</si>
  <si>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</si>
  <si>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</si>
  <si>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</si>
  <si>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</si>
  <si>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</si>
  <si>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</si>
  <si>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</si>
  <si>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</si>
  <si>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</si>
  <si>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</si>
  <si>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</si>
  <si>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</si>
  <si>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</si>
  <si>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</si>
  <si>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</si>
  <si>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</si>
  <si>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</si>
  <si>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</si>
  <si>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</si>
  <si>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</si>
  <si>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</si>
  <si>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</si>
  <si>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</si>
  <si>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</si>
  <si>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</si>
  <si>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</si>
  <si>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</si>
  <si>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</si>
  <si>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</si>
  <si>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</si>
  <si>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</si>
  <si>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</si>
  <si>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</si>
  <si>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</si>
  <si>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</si>
  <si>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</si>
  <si>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</si>
  <si>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</si>
  <si>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</si>
  <si>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</si>
  <si>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</si>
  <si>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</si>
  <si>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</si>
  <si>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</si>
  <si>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</si>
  <si>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</si>
  <si>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</si>
  <si>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</si>
  <si>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</si>
  <si>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</si>
  <si>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</si>
  <si>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</si>
  <si>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</si>
  <si>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</si>
  <si>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</si>
  <si>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</si>
  <si>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</si>
  <si>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</si>
  <si>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</si>
  <si>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</si>
  <si>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</si>
  <si>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</si>
  <si>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</si>
  <si>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</si>
  <si>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</si>
  <si>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</si>
  <si>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</si>
  <si>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</si>
  <si>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</si>
  <si>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</si>
  <si>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</si>
  <si>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</si>
  <si>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</si>
  <si>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</si>
  <si>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</si>
  <si>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</si>
  <si>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</si>
  <si>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</si>
  <si>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</si>
  <si>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</si>
  <si>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</si>
  <si>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</si>
  <si>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</si>
  <si>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</si>
  <si>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</si>
  <si>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</si>
  <si>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</si>
  <si>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</si>
  <si>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</si>
  <si>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</si>
  <si>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</si>
  <si>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</si>
  <si>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</si>
  <si>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</si>
  <si>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</si>
  <si>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</si>
  <si>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</si>
  <si>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</si>
  <si>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</si>
  <si>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</si>
  <si>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</si>
  <si>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</si>
  <si>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</si>
  <si>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</si>
  <si>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</si>
  <si>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</si>
  <si>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</si>
  <si>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</si>
  <si>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</si>
  <si>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</si>
  <si>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</si>
  <si>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</si>
  <si>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</si>
  <si>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</si>
  <si>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</si>
  <si>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</si>
  <si>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</si>
  <si>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</si>
  <si>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</si>
  <si>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</si>
  <si>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</si>
  <si>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</si>
  <si>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</si>
  <si>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</si>
  <si>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</si>
  <si>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</si>
  <si>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</si>
  <si>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</si>
  <si>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</si>
  <si>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</si>
  <si>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</si>
  <si>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</si>
  <si>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</si>
  <si>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</si>
  <si>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</si>
  <si>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</si>
  <si>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</si>
  <si>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</si>
  <si>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</si>
  <si>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</si>
  <si>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</si>
  <si>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</si>
  <si>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</si>
  <si>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</si>
  <si>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</si>
  <si>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</si>
  <si>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</si>
  <si>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</si>
  <si>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</si>
  <si>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</si>
  <si>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</si>
  <si>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</si>
  <si>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</si>
  <si>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</si>
  <si>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</si>
  <si>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</si>
  <si>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</si>
  <si>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</si>
  <si>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</si>
  <si>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</si>
  <si>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</si>
  <si>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</si>
  <si>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</si>
  <si>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</si>
  <si>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</si>
  <si>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</si>
  <si>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</si>
  <si>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</si>
  <si>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</si>
  <si>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</si>
  <si>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</si>
  <si>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</si>
  <si>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</si>
  <si>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</si>
  <si>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</si>
  <si>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</si>
  <si>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</si>
  <si>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</si>
  <si>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</si>
  <si>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</si>
  <si>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</si>
  <si>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</si>
  <si>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</si>
  <si>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</si>
  <si>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</si>
  <si>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</si>
  <si>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</si>
  <si>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</si>
  <si>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</si>
  <si>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</si>
  <si>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</si>
  <si>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</si>
  <si>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</si>
  <si>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</si>
  <si>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</si>
  <si>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</si>
  <si>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</si>
  <si>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</si>
  <si>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</si>
  <si>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</si>
  <si>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</si>
  <si>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</si>
  <si>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</si>
  <si>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</si>
  <si>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</si>
  <si>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</si>
  <si>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</si>
  <si>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</si>
  <si>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</si>
  <si>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</si>
  <si>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</si>
  <si>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</si>
  <si>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</si>
  <si>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</si>
  <si>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</si>
  <si>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</si>
  <si>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</si>
  <si>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</si>
  <si>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</si>
  <si>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</si>
  <si>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</si>
  <si>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</si>
  <si>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</si>
  <si>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</si>
  <si>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</si>
  <si>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</si>
  <si>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</si>
  <si>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</si>
  <si>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</si>
  <si>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</si>
  <si>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</si>
  <si>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</si>
  <si>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</si>
  <si>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</si>
  <si>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</si>
  <si>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</si>
  <si>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</si>
  <si>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</si>
  <si>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</si>
  <si>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</si>
  <si>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</si>
  <si>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</si>
  <si>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</si>
  <si>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</si>
  <si>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</si>
  <si>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</si>
  <si>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</si>
  <si>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</si>
  <si>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</si>
  <si>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</si>
  <si>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</si>
  <si>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</si>
  <si>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</si>
  <si>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</si>
  <si>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</si>
  <si>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</si>
  <si>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</si>
  <si>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</si>
  <si>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</si>
  <si>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</si>
  <si>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</si>
  <si>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</si>
  <si>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</si>
  <si>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</si>
  <si>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</si>
  <si>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</si>
  <si>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</si>
  <si>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</si>
  <si>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</si>
  <si>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</si>
  <si>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</si>
  <si>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</si>
  <si>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</si>
  <si>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</si>
  <si>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</si>
  <si>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</si>
  <si>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</si>
  <si>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</si>
  <si>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</si>
  <si>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</si>
  <si>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</si>
  <si>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</si>
  <si>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</si>
  <si>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</si>
  <si>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</si>
  <si>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</si>
  <si>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</si>
  <si>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</si>
  <si>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</si>
  <si>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</si>
  <si>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</si>
  <si>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</si>
  <si>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</si>
  <si>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</si>
  <si>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</si>
  <si>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</si>
  <si>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</si>
  <si>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</si>
  <si>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</si>
  <si>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</si>
  <si>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</si>
  <si>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</si>
  <si>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</si>
  <si>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</si>
  <si>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</si>
  <si>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</si>
  <si>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</si>
  <si>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</si>
  <si>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</si>
  <si>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</si>
  <si>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</si>
  <si>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</si>
  <si>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</si>
  <si>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</si>
  <si>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</si>
  <si>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</si>
  <si>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</si>
  <si>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</si>
  <si>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</si>
  <si>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</si>
  <si>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</si>
  <si>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</si>
  <si>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</si>
  <si>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</si>
  <si>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</si>
  <si>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</si>
  <si>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</si>
  <si>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</si>
  <si>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</si>
  <si>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</si>
  <si>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</si>
  <si>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</si>
  <si>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</si>
  <si>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</si>
  <si>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</si>
  <si>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</si>
  <si>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</si>
  <si>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</si>
  <si>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</si>
  <si>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</si>
  <si>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</si>
  <si>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</si>
  <si>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</si>
  <si>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</si>
  <si>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</si>
  <si>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</si>
  <si>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</si>
  <si>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</si>
  <si>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</si>
  <si>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</si>
  <si>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</si>
  <si>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</si>
  <si>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</si>
  <si>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</si>
  <si>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</si>
  <si>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</si>
  <si>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</si>
  <si>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</si>
  <si>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</si>
  <si>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</si>
  <si>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</si>
  <si>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</si>
  <si>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</si>
  <si>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</si>
  <si>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</si>
  <si>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</si>
  <si>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</si>
  <si>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</si>
  <si>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</si>
  <si>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</si>
  <si>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</si>
  <si>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</si>
  <si>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</si>
  <si>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</si>
  <si>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</si>
  <si>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</si>
  <si>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</si>
  <si>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</si>
  <si>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</si>
  <si>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</si>
  <si>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</si>
  <si>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</si>
  <si>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</si>
  <si>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</si>
  <si>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</si>
  <si>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</si>
  <si>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</si>
  <si>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</si>
  <si>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</si>
  <si>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</si>
  <si>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</si>
  <si>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</si>
  <si>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</si>
  <si>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</si>
  <si>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</si>
  <si>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</si>
  <si>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</si>
  <si>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</si>
  <si>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</si>
  <si>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</si>
  <si>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</si>
  <si>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</si>
  <si>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</si>
  <si>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</si>
  <si>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</si>
  <si>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</si>
  <si>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</si>
  <si>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</si>
  <si>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</si>
  <si>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</si>
  <si>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</si>
  <si>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</si>
  <si>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</si>
  <si>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</si>
  <si>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</si>
  <si>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</si>
  <si>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</si>
  <si>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</si>
  <si>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</si>
  <si>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南岸区茶园组团F分区F09-2/02号宗地</t>
  </si>
  <si>
    <t>商业/办公用地</t>
  </si>
  <si>
    <t>挂牌</t>
  </si>
  <si>
    <t>加油站用地</t>
  </si>
  <si>
    <t>≤1.5</t>
  </si>
  <si>
    <t>2018-01-04</t>
  </si>
  <si>
    <t>重庆渝平加油站有限公司</t>
  </si>
  <si>
    <t>南岸区茶园新城区A24(部分)号宗地</t>
  </si>
  <si>
    <t>商业用地</t>
  </si>
  <si>
    <t>＞1并且≤2.4</t>
  </si>
  <si>
    <t>2017-09-08</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</si>
  <si>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</si>
  <si>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</si>
  <si>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</si>
  <si>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</si>
  <si>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2017-05-16</t>
  </si>
  <si>
    <t>重庆城市综合交通枢纽(集团)有限公司</t>
  </si>
  <si>
    <t>商业用地、商务用地</t>
  </si>
  <si>
    <t>拍卖</t>
  </si>
  <si>
    <t>中国石油天然气股份有限公司重庆销售分公司</t>
  </si>
  <si>
    <t>≤2.5</t>
  </si>
  <si>
    <t>40</t>
    <phoneticPr fontId="31" type="noConversion"/>
  </si>
  <si>
    <t>重庆龙湖地产发展有限公司</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</si>
  <si>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</si>
  <si>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</si>
  <si>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</si>
  <si>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</si>
  <si>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</si>
  <si>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</si>
  <si>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</si>
  <si>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</si>
  <si>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</si>
  <si>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</si>
  <si>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</si>
  <si>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</si>
  <si>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</si>
  <si>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</si>
  <si>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</si>
  <si>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</si>
  <si>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</si>
  <si>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</si>
  <si>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</si>
  <si>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</si>
  <si>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</si>
  <si>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</si>
  <si>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</si>
  <si>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</si>
  <si>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</si>
  <si>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</si>
  <si>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</si>
  <si>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</si>
  <si>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</si>
  <si>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</si>
  <si>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</si>
  <si>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</si>
  <si>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</si>
  <si>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</si>
  <si>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</si>
  <si>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</si>
  <si>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</si>
  <si>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</si>
  <si>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</si>
  <si>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</si>
  <si>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</si>
  <si>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</si>
  <si>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</si>
  <si>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</si>
  <si>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</si>
  <si>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</si>
  <si>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</si>
  <si>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</si>
  <si>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</si>
  <si>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</si>
  <si>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</si>
  <si>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</si>
  <si>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</si>
  <si>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</si>
  <si>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</si>
  <si>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</si>
  <si>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</si>
  <si>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</si>
  <si>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</si>
  <si>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</si>
  <si>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</si>
  <si>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</si>
  <si>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</si>
  <si>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</si>
  <si>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</si>
  <si>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</si>
  <si>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</si>
  <si>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</si>
  <si>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</si>
  <si>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</si>
  <si>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</si>
  <si>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</si>
  <si>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</si>
  <si>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</si>
  <si>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</si>
  <si>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</si>
  <si>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</si>
  <si>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</si>
  <si>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</si>
  <si>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</si>
  <si>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</si>
  <si>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</si>
  <si>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</si>
  <si>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</si>
  <si>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</si>
  <si>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</si>
  <si>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</si>
  <si>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</si>
  <si>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</si>
  <si>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</si>
  <si>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</si>
  <si>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</si>
  <si>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</si>
  <si>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</si>
  <si>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</si>
  <si>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</si>
  <si>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</si>
  <si>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</si>
  <si>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</si>
  <si>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</si>
  <si>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</si>
  <si>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</si>
  <si>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</si>
  <si>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</si>
  <si>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</si>
  <si>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</si>
  <si>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</si>
  <si>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</si>
  <si>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</si>
  <si>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</si>
  <si>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</si>
  <si>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</si>
  <si>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</si>
  <si>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</si>
  <si>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</si>
  <si>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</si>
  <si>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</si>
  <si>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</si>
  <si>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</si>
  <si>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</si>
  <si>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</si>
  <si>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</si>
  <si>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</si>
  <si>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</si>
  <si>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</si>
  <si>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</si>
  <si>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</si>
  <si>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</si>
  <si>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</si>
  <si>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</si>
  <si>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</si>
  <si>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</si>
  <si>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</si>
  <si>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</si>
  <si>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</si>
  <si>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</si>
  <si>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</si>
  <si>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</si>
  <si>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</si>
  <si>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</si>
  <si>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</si>
  <si>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</si>
  <si>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</si>
  <si>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</si>
  <si>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</si>
  <si>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</si>
  <si>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</si>
  <si>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</si>
  <si>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</si>
  <si>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</si>
  <si>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</si>
  <si>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</si>
  <si>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</si>
  <si>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</si>
  <si>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</si>
  <si>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</si>
  <si>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</si>
  <si>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</si>
  <si>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</si>
  <si>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</si>
  <si>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</si>
  <si>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</si>
  <si>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</si>
  <si>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</si>
  <si>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</si>
  <si>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</si>
  <si>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</si>
  <si>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</si>
  <si>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</si>
  <si>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</si>
  <si>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</si>
  <si>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</si>
  <si>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已注销</t>
  </si>
  <si>
    <t>昆仑信托有限责任公司</t>
    <phoneticPr fontId="6" type="noConversion"/>
  </si>
  <si>
    <t>渝中区渝中组团C分区C11-3/04地块</t>
  </si>
  <si>
    <t>≤7.5</t>
  </si>
  <si>
    <t>2020-06-22</t>
  </si>
  <si>
    <t>重庆捷程置业有限公司</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</si>
  <si>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</si>
  <si>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总价</t>
  </si>
  <si>
    <r>
      <t>总</t>
    </r>
    <r>
      <rPr>
        <sz val="9"/>
        <color theme="1"/>
        <rFont val="Arial"/>
        <family val="2"/>
      </rPr>
      <t xml:space="preserve"> </t>
    </r>
    <r>
      <rPr>
        <sz val="9"/>
        <color theme="1"/>
        <rFont val="华文细黑"/>
        <family val="3"/>
        <charset val="134"/>
      </rPr>
      <t>价</t>
    </r>
  </si>
  <si>
    <r>
      <t>重庆市南岸区南坪街道南坪南路</t>
    </r>
    <r>
      <rPr>
        <sz val="9"/>
        <color theme="1"/>
        <rFont val="Arial"/>
        <family val="2"/>
      </rPr>
      <t>318</t>
    </r>
    <r>
      <rPr>
        <sz val="9"/>
        <color theme="1"/>
        <rFont val="华文细黑"/>
        <family val="3"/>
        <charset val="134"/>
      </rPr>
      <t>号商业用房房地产</t>
    </r>
  </si>
  <si>
    <t>大写金额</t>
  </si>
  <si>
    <t>估价师知悉的法定优先受偿款</t>
  </si>
  <si>
    <t>零元整</t>
  </si>
  <si>
    <t>酒店</t>
    <phoneticPr fontId="143" type="noConversion"/>
  </si>
  <si>
    <t>公寓</t>
    <phoneticPr fontId="143" type="noConversion"/>
  </si>
  <si>
    <t>兴业银行</t>
    <phoneticPr fontId="6" type="noConversion"/>
  </si>
  <si>
    <t>土地星级</t>
  </si>
  <si>
    <t>南岸区南坪组团C分区C14-3/03地块</t>
  </si>
  <si>
    <t>≤3</t>
  </si>
  <si>
    <t>城市轨道交通用地、公共交通场站用地、商业用地、商务用地</t>
  </si>
  <si>
    <t>2020-12-29</t>
  </si>
  <si>
    <t>5星</t>
  </si>
  <si>
    <t>其他商务用地</t>
  </si>
  <si>
    <t>4星</t>
  </si>
  <si>
    <t>渝中区渝中组团C分区C30-2/03地块</t>
  </si>
  <si>
    <t>重庆渝中国有资产经营管理有限公司</t>
  </si>
  <si>
    <t>商业用地、商务用地、公共交通场站用地、供电用地</t>
  </si>
  <si>
    <t>2017-3</t>
    <phoneticPr fontId="31" type="noConversion"/>
  </si>
  <si>
    <t>2017-2</t>
    <phoneticPr fontId="31" type="noConversion"/>
  </si>
  <si>
    <t>叁亿玖仟零肆拾万元整</t>
    <phoneticPr fontId="143" type="noConversion"/>
  </si>
  <si>
    <t>估价方法</t>
  </si>
  <si>
    <t>壹亿玖仟伍佰壹拾玖万元整</t>
    <phoneticPr fontId="143" type="noConversion"/>
  </si>
  <si>
    <t>壹亿玖仟伍佰贰拾壹万元整</t>
    <phoneticPr fontId="143" type="noConversion"/>
  </si>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</sst>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17" fontId="47" fillId="6" borderId="30" xfId="0" applyNumberFormat="1" applyFont="1" applyFill="1" applyBorder="1" applyAlignment="1" applyProtection="1">
      <alignment horizontal="center" vertical="center" wrapText="1"/>
      <protection locked="0"/>
    </xf>
    <xf numFmtId="0" fontId="56" fillId="0" borderId="0" xfId="13"/>
    <xf numFmtId="0" fontId="47" fillId="7" borderId="24" xfId="0" applyFont="1" applyFill="1" applyBorder="1" applyAlignment="1" applyProtection="1">
      <alignment horizontal="center" vertical="center"/>
      <protection locked="0"/>
    </xf>
    <xf numFmtId="0" fontId="254" fillId="0" borderId="159" xfId="0" applyFont="1" applyBorder="1" applyAlignment="1">
      <alignment vertical="center" wrapText="1"/>
    </xf>
    <xf numFmtId="0" fontId="254" fillId="0" borderId="157" xfId="0" applyFont="1" applyBorder="1" applyAlignment="1">
      <alignment vertical="center" wrapText="1"/>
    </xf>
    <xf numFmtId="0" fontId="255" fillId="0" borderId="159" xfId="0" applyFont="1" applyBorder="1" applyAlignment="1">
      <alignment vertical="center" wrapText="1"/>
    </xf>
    <xf numFmtId="0" fontId="190" fillId="7" borderId="5" xfId="0" applyFont="1" applyFill="1" applyBorder="1" applyAlignment="1" applyProtection="1">
      <alignment vertical="center"/>
      <protection locked="0"/>
    </xf>
    <xf numFmtId="0" fontId="56" fillId="0" borderId="0" xfId="13"/>
    <xf numFmtId="0" fontId="56" fillId="0" borderId="0" xfId="13"/>
    <xf numFmtId="10" fontId="120" fillId="18" borderId="6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1" xfId="0" applyFont="1" applyBorder="1" applyAlignment="1">
      <alignment vertical="center" wrapText="1"/>
    </xf>
    <xf numFmtId="0" fontId="257" fillId="0" borderId="162" xfId="0" applyFont="1" applyBorder="1" applyAlignment="1">
      <alignment vertical="center" wrapText="1"/>
    </xf>
    <xf numFmtId="0" fontId="257"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1" xfId="0" applyFont="1" applyBorder="1" applyAlignment="1"/>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11</xdr:row>
      <xdr:rowOff>19050</xdr:rowOff>
    </xdr:from>
    <xdr:to>
      <xdr:col>12</xdr:col>
      <xdr:colOff>237159</xdr:colOff>
      <xdr:row>46</xdr:row>
      <xdr:rowOff>65919</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905000"/>
          <a:ext cx="7733334" cy="6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42688</xdr:colOff>
      <xdr:row>15</xdr:row>
      <xdr:rowOff>22226</xdr:rowOff>
    </xdr:from>
    <xdr:to>
      <xdr:col>11</xdr:col>
      <xdr:colOff>487707</xdr:colOff>
      <xdr:row>39</xdr:row>
      <xdr:rowOff>66676</xdr:rowOff>
    </xdr:to>
    <xdr:pic>
      <xdr:nvPicPr>
        <xdr:cNvPr id="2" name="图片 1">
          <a:extLst>
            <a:ext uri="{FF2B5EF4-FFF2-40B4-BE49-F238E27FC236}">
              <a16:creationId xmlns:a16="http://schemas.microsoft.com/office/drawing/2014/main" xmlns="" id="{1DE2D7FC-30BA-4CD3-8B5A-5C03214176AD}"/>
            </a:ext>
          </a:extLst>
        </xdr:cNvPr>
        <xdr:cNvPicPr>
          <a:picLocks noChangeAspect="1"/>
        </xdr:cNvPicPr>
      </xdr:nvPicPr>
      <xdr:blipFill>
        <a:blip xmlns:r="http://schemas.openxmlformats.org/officeDocument/2006/relationships" r:embed="rId1"/>
        <a:stretch>
          <a:fillRect/>
        </a:stretch>
      </xdr:blipFill>
      <xdr:spPr>
        <a:xfrm>
          <a:off x="1176163" y="2593976"/>
          <a:ext cx="7303019" cy="415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a16="http://schemas.microsoft.com/office/drawing/2014/main" xmlns=""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4503;&#37202;&#24215;-&#20844;&#23507;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ng&amp;han/Desktop/&#37325;&#24198;&#37202;&#24215;/P01&#12289;P02&#12289;P03&#12289;F01/F01/2018-1-0661&#28023;&#24503;&#37202;&#24215;-&#20844;&#235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3"/>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cell r="C14">
            <v>1545.35</v>
          </cell>
          <cell r="D14">
            <v>6964</v>
          </cell>
          <cell r="G14" t="str">
            <v>——</v>
          </cell>
          <cell r="H14">
            <v>6964</v>
          </cell>
          <cell r="I14">
            <v>6949</v>
          </cell>
        </row>
      </sheetData>
      <sheetData sheetId="17">
        <row r="118">
          <cell r="D118">
            <v>4467</v>
          </cell>
          <cell r="F118">
            <v>2497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row>
      </sheetData>
      <sheetData sheetId="17">
        <row r="118">
          <cell r="D118">
            <v>4243</v>
          </cell>
          <cell r="F118">
            <v>2543</v>
          </cell>
          <cell r="H118">
            <v>6786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重庆市南岸区江南大道69号（南坪街道南坪南路318号）房地产房地产抵押价值预评估</v>
      </c>
    </row>
    <row r="3" spans="1:2" s="1588" customFormat="1">
      <c r="A3" s="1586" t="s">
        <v>1220</v>
      </c>
      <c r="B3" s="1587" t="str">
        <f>'预评函-封皮'!B40</f>
        <v>昆仑信托有限责任公司</v>
      </c>
    </row>
    <row r="4" spans="1:2" s="1588" customFormat="1">
      <c r="A4" s="1586" t="s">
        <v>1221</v>
      </c>
      <c r="B4" s="1587" t="str">
        <f ca="1">'预评函-封皮'!B46</f>
        <v>王鹏（注册号：1120050019)、郑燚（注册号：0)</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受贵公司委托，我公司对重庆市南岸区江南大道69号（南坪街道南坪南路318号）房地产房地产抵押价值进行了预评估。</v>
      </c>
    </row>
    <row r="7" spans="1:2" s="1588" customFormat="1">
      <c r="A7" s="1586" t="s">
        <v>1263</v>
      </c>
      <c r="B7" s="1587"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为估价委托人在向兴业银行办理贷款手续过程中，确定房地产抵押贷款额度提供参考依据而评估房地产抵押价值。</v>
      </c>
    </row>
    <row r="12" spans="1:2" s="1588" customFormat="1">
      <c r="A12" s="1586" t="s">
        <v>1225</v>
      </c>
      <c r="B12" s="1587" t="str">
        <f>'预评函-1'!A15</f>
        <v>2021年4月26日</v>
      </c>
    </row>
    <row r="13" spans="1:2" s="1588" customFormat="1">
      <c r="A13" s="1586" t="s">
        <v>1226</v>
      </c>
      <c r="B13" s="1587" t="str">
        <f>'预评函-1'!A18</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1231</v>
      </c>
      <c r="B18" s="1590" t="str">
        <f>'预评函-1'!A24</f>
        <v>本次评估采用的主估价方法为成本法和收益法。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32076</v>
      </c>
    </row>
    <row r="21" spans="1:2" s="1588" customFormat="1">
      <c r="A21" s="1586" t="s">
        <v>1234</v>
      </c>
      <c r="B21" s="1587">
        <f ca="1">'预评函-2'!D7</f>
        <v>11762</v>
      </c>
    </row>
    <row r="22" spans="1:2" s="1588" customFormat="1">
      <c r="A22" s="1586" t="s">
        <v>1235</v>
      </c>
      <c r="B22" s="1587" t="str">
        <f ca="1">'预评函-2'!D6</f>
        <v>叁亿贰仟零柒拾陆万元整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t="str">
        <f>'预评函-2'!D10</f>
        <v>（未扣减，详见特别提示）</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32076</v>
      </c>
    </row>
    <row r="35" spans="1:2" s="1588" customFormat="1">
      <c r="A35" s="1586" t="s">
        <v>1274</v>
      </c>
      <c r="B35" s="1587">
        <f ca="1">'预评函-2'!D18</f>
        <v>11762</v>
      </c>
    </row>
    <row r="36" spans="1:2" s="1588" customFormat="1">
      <c r="A36" s="1586" t="s">
        <v>1241</v>
      </c>
      <c r="B36" s="1587" t="str">
        <f ca="1">'预评函-2'!D17</f>
        <v>叁亿贰仟零柒拾陆万元整</v>
      </c>
    </row>
    <row r="37" spans="1:2" s="1588" customFormat="1">
      <c r="A37" s="1586" t="s">
        <v>1276</v>
      </c>
      <c r="B37" s="1587" t="str">
        <f>'预评函-2'!B19</f>
        <v>4.抵押净值</v>
      </c>
    </row>
    <row r="38" spans="1:2" s="1588" customFormat="1">
      <c r="A38" s="1586" t="s">
        <v>1294</v>
      </c>
      <c r="B38" s="1587">
        <f ca="1">'预评函-2'!D19</f>
        <v>25589</v>
      </c>
    </row>
    <row r="39" spans="1:2" s="1588" customFormat="1">
      <c r="A39" s="1586" t="s">
        <v>1242</v>
      </c>
      <c r="B39" s="1587">
        <f ca="1">'预评函-2'!D21</f>
        <v>10947</v>
      </c>
    </row>
    <row r="40" spans="1:2" s="1588" customFormat="1">
      <c r="A40" s="1586" t="s">
        <v>1243</v>
      </c>
      <c r="B40" s="1587" t="str">
        <f ca="1">'预评函-2'!D20</f>
        <v>贰亿伍仟伍佰捌拾玖万元整</v>
      </c>
    </row>
    <row r="41" spans="1:2" s="1588" customFormat="1">
      <c r="A41" s="1586" t="s">
        <v>1289</v>
      </c>
      <c r="B41" s="1587" t="str">
        <f>'预评函-3'!A4</f>
        <v>重庆市南岸区江南大道69号（南坪街道南坪南路318号）房地产房地产</v>
      </c>
    </row>
    <row r="42" spans="1:2" s="1588" customFormat="1">
      <c r="A42" s="1586" t="s">
        <v>1287</v>
      </c>
      <c r="B42" s="1587" t="str">
        <f>'预评函-3'!B2</f>
        <v>建筑面积</v>
      </c>
    </row>
    <row r="43" spans="1:2" s="1588" customFormat="1">
      <c r="A43" s="1586" t="s">
        <v>1288</v>
      </c>
      <c r="B43" s="1587">
        <f>'预评函-3'!B4</f>
        <v>27271.82</v>
      </c>
    </row>
    <row r="44" spans="1:2" s="1588" customFormat="1">
      <c r="A44" s="1586" t="s">
        <v>1272</v>
      </c>
      <c r="B44" s="1587" t="str">
        <f>'预评函-3'!C2</f>
        <v>(分摊)土地面积</v>
      </c>
    </row>
    <row r="45" spans="1:2" s="1588" customFormat="1">
      <c r="A45" s="1586" t="s">
        <v>1244</v>
      </c>
      <c r="B45" s="1587">
        <f>'预评函-3'!C4</f>
        <v>5686.65</v>
      </c>
    </row>
    <row r="46" spans="1:2" s="1588" customFormat="1">
      <c r="A46" s="1586" t="s">
        <v>1270</v>
      </c>
      <c r="B46" s="1587" t="str">
        <f>'预评函-3'!D2</f>
        <v>出让国有建设用地使用权价值</v>
      </c>
    </row>
    <row r="47" spans="1:2" s="1588" customFormat="1">
      <c r="A47" s="1586" t="s">
        <v>1245</v>
      </c>
      <c r="B47" s="1587">
        <f ca="1">'预评函-3'!D4</f>
        <v>15052</v>
      </c>
    </row>
    <row r="48" spans="1:2" s="1588" customFormat="1">
      <c r="A48" s="1586" t="s">
        <v>1246</v>
      </c>
      <c r="B48" s="1587">
        <f ca="1">'预评函-3'!E4</f>
        <v>5519</v>
      </c>
    </row>
    <row r="49" spans="1:2" s="1588" customFormat="1">
      <c r="A49" s="1586" t="s">
        <v>1247</v>
      </c>
      <c r="B49" s="1587" t="str">
        <f ca="1">'预评函-3'!D5</f>
        <v>壹亿伍仟零伍拾贰万元整</v>
      </c>
    </row>
    <row r="50" spans="1:2" s="1588" customFormat="1">
      <c r="A50" s="1586" t="s">
        <v>1271</v>
      </c>
      <c r="B50" s="1587" t="str">
        <f>'预评函-3'!F2</f>
        <v>建筑物价值</v>
      </c>
    </row>
    <row r="51" spans="1:2" s="1588" customFormat="1">
      <c r="A51" s="1586" t="s">
        <v>1248</v>
      </c>
      <c r="B51" s="1587">
        <f ca="1">'预评函-3'!F4</f>
        <v>17024</v>
      </c>
    </row>
    <row r="52" spans="1:2" s="1588" customFormat="1">
      <c r="A52" s="1586" t="s">
        <v>1249</v>
      </c>
      <c r="B52" s="1587">
        <f ca="1">'预评函-3'!G4</f>
        <v>6242</v>
      </c>
    </row>
    <row r="53" spans="1:2" s="1588" customFormat="1">
      <c r="A53" s="1586" t="s">
        <v>1277</v>
      </c>
      <c r="B53" s="1587" t="str">
        <f ca="1">'预评函-3'!F5</f>
        <v>壹亿柒仟零贰拾肆万元整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抵押净值</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王鹏</v>
      </c>
    </row>
    <row r="71" spans="1:2">
      <c r="A71" s="1586" t="s">
        <v>1260</v>
      </c>
      <c r="B71" s="1587">
        <f ca="1">'预评函-4'!B4</f>
        <v>1120050019</v>
      </c>
    </row>
    <row r="72" spans="1:2">
      <c r="A72" s="1586" t="s">
        <v>1261</v>
      </c>
      <c r="B72" s="1595" t="str">
        <f>'预评函-4'!A5</f>
        <v>郑燚</v>
      </c>
    </row>
    <row r="73" spans="1:2" s="1582" customFormat="1" ht="15" thickBot="1">
      <c r="A73" s="1589" t="s">
        <v>1262</v>
      </c>
      <c r="B73" s="1590">
        <f ca="1">'预评函-4'!B5</f>
        <v>0</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759</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1144</v>
      </c>
      <c r="R1" s="2005" t="s">
        <v>1138</v>
      </c>
      <c r="S1" s="2005" t="s">
        <v>1702</v>
      </c>
      <c r="T1" s="2007" t="s">
        <v>1703</v>
      </c>
      <c r="U1" s="2005" t="s">
        <v>1704</v>
      </c>
      <c r="V1" s="2005" t="s">
        <v>1705</v>
      </c>
      <c r="W1" s="2005" t="s">
        <v>755</v>
      </c>
    </row>
    <row r="2" spans="1:23">
      <c r="A2" s="2009" t="s">
        <v>22</v>
      </c>
      <c r="B2" s="2012" t="s">
        <v>3137</v>
      </c>
      <c r="C2" s="2010" t="s">
        <v>760</v>
      </c>
      <c r="D2" s="2011" t="s">
        <v>1706</v>
      </c>
      <c r="E2" s="2011" t="s">
        <v>1707</v>
      </c>
      <c r="F2" s="2011" t="s">
        <v>1708</v>
      </c>
      <c r="G2" s="2011">
        <v>40</v>
      </c>
      <c r="H2" s="2011" t="s">
        <v>1708</v>
      </c>
      <c r="I2" s="2011" t="s">
        <v>1709</v>
      </c>
      <c r="J2" s="2011" t="s">
        <v>1710</v>
      </c>
      <c r="K2" s="2011" t="s">
        <v>1711</v>
      </c>
      <c r="L2" s="2011" t="s">
        <v>1711</v>
      </c>
      <c r="M2" s="2011" t="s">
        <v>1711</v>
      </c>
      <c r="N2" s="2011" t="s">
        <v>1711</v>
      </c>
      <c r="O2" s="2011" t="s">
        <v>1711</v>
      </c>
      <c r="P2" s="2011" t="s">
        <v>1711</v>
      </c>
      <c r="Q2" s="2011" t="s">
        <v>1711</v>
      </c>
      <c r="R2" s="2011" t="s">
        <v>1140</v>
      </c>
      <c r="S2" s="2011" t="s">
        <v>1711</v>
      </c>
      <c r="T2" s="2011" t="s">
        <v>1712</v>
      </c>
      <c r="U2" s="2011" t="s">
        <v>1711</v>
      </c>
      <c r="V2" s="2011" t="s">
        <v>1713</v>
      </c>
      <c r="W2" s="2011" t="s">
        <v>1711</v>
      </c>
    </row>
    <row r="3" spans="1:23">
      <c r="A3" s="2012" t="s">
        <v>3059</v>
      </c>
      <c r="B3" s="2012" t="s">
        <v>3139</v>
      </c>
      <c r="C3" s="2013" t="s">
        <v>761</v>
      </c>
      <c r="D3" s="2011" t="s">
        <v>1714</v>
      </c>
      <c r="E3" s="2011" t="s">
        <v>16</v>
      </c>
      <c r="F3" s="2011" t="s">
        <v>1715</v>
      </c>
      <c r="G3" s="2011">
        <v>50</v>
      </c>
      <c r="H3" s="2011" t="s">
        <v>1715</v>
      </c>
      <c r="I3" s="2011" t="s">
        <v>1716</v>
      </c>
      <c r="J3" s="2011" t="s">
        <v>1717</v>
      </c>
      <c r="K3" s="2011" t="s">
        <v>1718</v>
      </c>
      <c r="L3" s="2011" t="s">
        <v>1718</v>
      </c>
      <c r="M3" s="2011" t="s">
        <v>1718</v>
      </c>
      <c r="N3" s="2011" t="s">
        <v>1718</v>
      </c>
      <c r="O3" s="2011" t="s">
        <v>1718</v>
      </c>
      <c r="P3" s="2011" t="s">
        <v>1718</v>
      </c>
      <c r="Q3" s="2011" t="s">
        <v>1718</v>
      </c>
      <c r="R3" s="2011" t="s">
        <v>1139</v>
      </c>
      <c r="S3" s="2011" t="s">
        <v>1718</v>
      </c>
      <c r="T3" s="2011" t="s">
        <v>1719</v>
      </c>
      <c r="U3" s="2011" t="s">
        <v>1718</v>
      </c>
      <c r="V3" s="2011" t="s">
        <v>1720</v>
      </c>
      <c r="W3" s="2011" t="s">
        <v>1718</v>
      </c>
    </row>
    <row r="4" spans="1:23">
      <c r="A4" s="2009" t="s">
        <v>3061</v>
      </c>
      <c r="B4" s="2012" t="s">
        <v>3138</v>
      </c>
      <c r="C4" s="2010" t="s">
        <v>762</v>
      </c>
      <c r="D4" s="2011" t="s">
        <v>868</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1141</v>
      </c>
      <c r="S4" s="2011" t="s">
        <v>1724</v>
      </c>
      <c r="T4" s="2011" t="s">
        <v>1725</v>
      </c>
      <c r="U4" s="2011" t="s">
        <v>1724</v>
      </c>
      <c r="W4" s="2011" t="s">
        <v>1724</v>
      </c>
    </row>
    <row r="5" spans="1:23">
      <c r="A5" s="2012" t="s">
        <v>3063</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1142</v>
      </c>
      <c r="S5" s="2011" t="s">
        <v>1730</v>
      </c>
      <c r="T5" s="2011" t="s">
        <v>1731</v>
      </c>
      <c r="U5" s="2011" t="s">
        <v>1730</v>
      </c>
      <c r="W5" s="2011" t="s">
        <v>1730</v>
      </c>
    </row>
    <row r="6" spans="1:23">
      <c r="A6" s="2009" t="s">
        <v>1732</v>
      </c>
      <c r="B6" s="2012" t="s">
        <v>1145</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1143</v>
      </c>
      <c r="S6" s="2011" t="s">
        <v>1735</v>
      </c>
      <c r="T6" s="2011"/>
      <c r="U6" s="2011" t="s">
        <v>1735</v>
      </c>
      <c r="W6" s="2011" t="s">
        <v>1735</v>
      </c>
    </row>
    <row r="7" spans="1:23">
      <c r="A7" s="2009" t="s">
        <v>1736</v>
      </c>
      <c r="B7" s="2012" t="s">
        <v>1146</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3142</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3059</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兴业银行办理贷款手续。兴业银行特委托北京康正宏基房地产评估有限公司对上述抵押物进行评估。本次评估为确定房地产抵押贷款额度提供参考依据而评估房地产抵押价值。</v>
      </c>
      <c r="D51" s="2017" t="s">
        <v>1283</v>
      </c>
    </row>
    <row r="52" spans="1:4">
      <c r="A52" s="2016" t="s">
        <v>858</v>
      </c>
      <c r="B52" s="2016" t="s">
        <v>859</v>
      </c>
      <c r="C52" s="2014" t="s">
        <v>860</v>
      </c>
      <c r="D52" s="2014" t="s">
        <v>861</v>
      </c>
    </row>
    <row r="53" spans="1:4">
      <c r="A53" s="305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26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58"/>
      <c r="B54" s="2017" t="s">
        <v>864</v>
      </c>
      <c r="C54" s="2014" t="s">
        <v>1280</v>
      </c>
    </row>
    <row r="55" spans="1:4">
      <c r="A55" s="3058"/>
      <c r="B55" s="2017" t="s">
        <v>865</v>
      </c>
      <c r="C55" s="2014" t="s">
        <v>1281</v>
      </c>
    </row>
    <row r="56" spans="1:4">
      <c r="A56" s="3058"/>
      <c r="B56" s="2017" t="s">
        <v>866</v>
      </c>
      <c r="C56" s="2014" t="s">
        <v>1285</v>
      </c>
    </row>
    <row r="57" spans="1:4">
      <c r="A57" s="3058"/>
      <c r="B57" s="2017" t="s">
        <v>867</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7" customWidth="1"/>
    <col min="2" max="2" width="11.75" style="2027" customWidth="1"/>
    <col min="3" max="3" width="11.5" style="2027" customWidth="1"/>
    <col min="4" max="4" width="13.5" style="2027" customWidth="1"/>
    <col min="5" max="6" width="10" style="2027" customWidth="1"/>
    <col min="7" max="7" width="10.75" style="2027" customWidth="1"/>
    <col min="8" max="8" width="10" style="2027" customWidth="1"/>
    <col min="9" max="9" width="11.125" style="2150" customWidth="1"/>
    <col min="10" max="10" width="10" style="2027" customWidth="1"/>
    <col min="11" max="11" width="10" style="2151" customWidth="1"/>
    <col min="12" max="13" width="10" style="2152" customWidth="1"/>
    <col min="14" max="14" width="10" style="2027" customWidth="1"/>
    <col min="15" max="15" width="10" style="2150" customWidth="1"/>
    <col min="16" max="17" width="10" style="2027"/>
    <col min="18" max="18" width="10" style="2027" customWidth="1"/>
    <col min="19" max="16384" width="10" style="2027"/>
  </cols>
  <sheetData>
    <row r="1" spans="1:19" ht="38.25" customHeight="1" thickBot="1">
      <c r="A1" s="2020" t="s">
        <v>1770</v>
      </c>
      <c r="B1" s="3059"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60"/>
      <c r="D1" s="3060"/>
      <c r="E1" s="3060"/>
      <c r="F1" s="3060"/>
      <c r="G1" s="3060"/>
      <c r="H1" s="3060"/>
      <c r="I1" s="306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1" t="s">
        <v>1771</v>
      </c>
      <c r="B2" s="294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0" t="s">
        <v>1772</v>
      </c>
      <c r="B3" s="2031"/>
      <c r="C3" s="2032" t="s">
        <v>1773</v>
      </c>
      <c r="D3" s="2031">
        <v>44312</v>
      </c>
      <c r="E3" s="2021"/>
      <c r="F3" s="2021"/>
      <c r="G3" s="2021"/>
      <c r="H3" s="2021"/>
      <c r="I3" s="2021"/>
      <c r="J3" s="2021"/>
      <c r="K3" s="2022"/>
      <c r="L3" s="2023"/>
      <c r="M3" s="2023"/>
      <c r="N3" s="2024"/>
      <c r="O3" s="2025"/>
      <c r="P3" s="2024"/>
      <c r="Q3" s="2024"/>
      <c r="R3" s="2024"/>
      <c r="S3" s="2026"/>
    </row>
    <row r="4" spans="1:19" ht="18" customHeight="1" thickBot="1">
      <c r="A4" s="2033" t="s">
        <v>1774</v>
      </c>
      <c r="B4" s="2034" t="s">
        <v>3175</v>
      </c>
      <c r="C4" s="1036">
        <f ca="1">SUMIF(注册房地产估价师,B4,估价师及机构信息!B3:B24)</f>
        <v>1120050019</v>
      </c>
      <c r="D4" s="2034" t="s">
        <v>3277</v>
      </c>
      <c r="E4" s="1037">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王鹏（注册号：1120050019)、郑燚（注册号：0)</v>
      </c>
      <c r="L4" s="2023"/>
      <c r="M4" s="2023"/>
      <c r="N4" s="2024"/>
      <c r="O4" s="2025"/>
      <c r="P4" s="2024"/>
      <c r="Q4" s="2024"/>
      <c r="R4" s="2024"/>
      <c r="S4" s="2026"/>
    </row>
    <row r="5" spans="1:19" ht="18" customHeight="1" thickTop="1">
      <c r="A5" s="2039" t="s">
        <v>1775</v>
      </c>
      <c r="B5" s="2947" t="s">
        <v>3282</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1776</v>
      </c>
      <c r="B6" s="3011" t="s">
        <v>3296</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1777</v>
      </c>
      <c r="B7" s="2948" t="s">
        <v>3030</v>
      </c>
      <c r="C7" s="2043"/>
      <c r="D7" s="2044"/>
      <c r="E7" s="2029"/>
      <c r="F7" s="2037"/>
      <c r="G7" s="2037"/>
      <c r="H7" s="2037"/>
      <c r="I7" s="2037"/>
      <c r="J7" s="2037"/>
      <c r="K7" s="2046"/>
      <c r="L7" s="2023"/>
      <c r="M7" s="2023"/>
      <c r="N7" s="2024"/>
      <c r="O7" s="2025"/>
      <c r="P7" s="2024"/>
      <c r="Q7" s="2024"/>
      <c r="R7" s="2024"/>
    </row>
    <row r="8" spans="1:19" ht="18" customHeight="1">
      <c r="A8" s="2042" t="s">
        <v>1778</v>
      </c>
      <c r="B8" s="2047" t="s">
        <v>3031</v>
      </c>
      <c r="C8" s="2048"/>
      <c r="D8" s="3062" t="s">
        <v>1779</v>
      </c>
      <c r="E8" s="2049" t="s">
        <v>3281</v>
      </c>
      <c r="F8" s="2050"/>
      <c r="G8" s="2021"/>
      <c r="H8" s="2021"/>
      <c r="I8" s="2021"/>
      <c r="J8" s="2037"/>
      <c r="K8" s="2038"/>
      <c r="L8" s="2023"/>
      <c r="M8" s="2023"/>
      <c r="N8" s="2024"/>
      <c r="O8" s="2025"/>
      <c r="P8" s="2024"/>
      <c r="Q8" s="2024"/>
      <c r="R8" s="2024"/>
    </row>
    <row r="9" spans="1:19" ht="18" customHeight="1" thickBot="1">
      <c r="A9" s="2035" t="s">
        <v>1780</v>
      </c>
      <c r="B9" s="2051" t="s">
        <v>3032</v>
      </c>
      <c r="C9" s="2052"/>
      <c r="D9" s="3063"/>
      <c r="E9" s="2051" t="s">
        <v>1284</v>
      </c>
      <c r="F9" s="2053"/>
      <c r="G9" s="2054"/>
      <c r="H9" s="2054"/>
      <c r="I9" s="2054"/>
      <c r="J9" s="2037"/>
      <c r="K9" s="2046"/>
      <c r="L9" s="2023"/>
      <c r="M9" s="2023"/>
      <c r="N9" s="2024"/>
      <c r="O9" s="2025"/>
      <c r="P9" s="2024"/>
      <c r="Q9" s="2024"/>
      <c r="R9" s="2024"/>
    </row>
    <row r="10" spans="1:19" ht="18" customHeight="1" thickTop="1">
      <c r="A10" s="2055" t="s">
        <v>1781</v>
      </c>
      <c r="B10" s="2056" t="s">
        <v>3033</v>
      </c>
      <c r="C10" s="2949" t="s">
        <v>3035</v>
      </c>
      <c r="D10" s="2041"/>
      <c r="E10" s="2057" t="s">
        <v>1782</v>
      </c>
      <c r="F10" s="2058" t="s">
        <v>3036</v>
      </c>
      <c r="G10" s="2059"/>
      <c r="H10" s="2060"/>
      <c r="I10" s="2041"/>
      <c r="J10" s="2037"/>
      <c r="K10" s="2046"/>
      <c r="L10" s="2023"/>
      <c r="M10" s="2023"/>
      <c r="N10" s="2024"/>
      <c r="O10" s="2025"/>
      <c r="P10" s="2024"/>
      <c r="Q10" s="2024"/>
      <c r="R10" s="2024"/>
    </row>
    <row r="11" spans="1:19" ht="18" customHeight="1">
      <c r="A11" s="2061" t="s">
        <v>1783</v>
      </c>
      <c r="B11" s="2062" t="s">
        <v>3037</v>
      </c>
      <c r="C11" s="2063" t="str">
        <f>B7</f>
        <v>重庆海德实业有限公司</v>
      </c>
      <c r="D11" s="2064"/>
      <c r="E11" s="2037"/>
      <c r="F11" s="2037"/>
      <c r="G11" s="2037"/>
      <c r="H11" s="2037"/>
      <c r="I11" s="2037"/>
      <c r="J11" s="2037"/>
      <c r="K11" s="2046"/>
      <c r="L11" s="2023"/>
      <c r="M11" s="2023"/>
      <c r="N11" s="2024"/>
      <c r="O11" s="2025"/>
      <c r="P11" s="2024"/>
      <c r="Q11" s="2024"/>
      <c r="R11" s="2024"/>
    </row>
    <row r="12" spans="1:19" ht="18" customHeight="1">
      <c r="A12" s="2065" t="s">
        <v>1784</v>
      </c>
      <c r="B12" s="2062" t="s">
        <v>3038</v>
      </c>
      <c r="C12" s="2066" t="s">
        <v>1785</v>
      </c>
      <c r="D12" s="2067" t="s">
        <v>1786</v>
      </c>
      <c r="E12" s="2067" t="s">
        <v>1787</v>
      </c>
      <c r="F12" s="2067" t="s">
        <v>1788</v>
      </c>
      <c r="G12" s="2067" t="s">
        <v>1789</v>
      </c>
      <c r="H12" s="2067" t="s">
        <v>1790</v>
      </c>
      <c r="I12" s="2067" t="s">
        <v>1791</v>
      </c>
      <c r="J12" s="2037"/>
      <c r="K12" s="2046"/>
      <c r="L12" s="2023"/>
      <c r="M12" s="2023"/>
      <c r="N12" s="2024"/>
      <c r="O12" s="2025"/>
      <c r="P12" s="2024"/>
      <c r="Q12" s="2024"/>
      <c r="R12" s="2024"/>
    </row>
    <row r="13" spans="1:19" ht="18" customHeight="1">
      <c r="A13" s="2068"/>
      <c r="B13" s="2069"/>
      <c r="C13" s="2070" t="s">
        <v>1792</v>
      </c>
      <c r="D13" s="2071"/>
      <c r="E13" s="2071">
        <v>52199</v>
      </c>
      <c r="F13" s="2071"/>
      <c r="G13" s="2071"/>
      <c r="H13" s="2071"/>
      <c r="I13" s="1045"/>
      <c r="J13" s="2037"/>
      <c r="K13" s="2046"/>
      <c r="L13" s="2023"/>
      <c r="M13" s="2023"/>
      <c r="N13" s="2024"/>
      <c r="O13" s="2025"/>
      <c r="P13" s="2024"/>
      <c r="Q13" s="2024"/>
      <c r="R13" s="2024"/>
    </row>
    <row r="14" spans="1:19" ht="18" customHeight="1">
      <c r="A14" s="2068"/>
      <c r="B14" s="2069"/>
      <c r="C14" s="2070" t="s">
        <v>1793</v>
      </c>
      <c r="D14" s="1048"/>
      <c r="E14" s="1048">
        <v>40</v>
      </c>
      <c r="F14" s="1048"/>
      <c r="G14" s="1048"/>
      <c r="H14" s="1048"/>
      <c r="I14" s="1048"/>
      <c r="J14" s="2037"/>
      <c r="K14" s="2072"/>
      <c r="L14" s="2023"/>
      <c r="M14" s="2023"/>
      <c r="N14" s="2024"/>
      <c r="O14" s="2025"/>
      <c r="P14" s="2024"/>
      <c r="Q14" s="2024"/>
      <c r="R14" s="2024"/>
    </row>
    <row r="15" spans="1:19" ht="18" customHeight="1">
      <c r="A15" s="2055"/>
      <c r="B15" s="2073"/>
      <c r="C15" s="2070" t="s">
        <v>1794</v>
      </c>
      <c r="D15" s="1047" t="str">
        <f>IF(B12="出让",IF(D13="","",ROUNDDOWN(MIN((D13-$D$3)/365,D14),2)),D14)</f>
        <v/>
      </c>
      <c r="E15" s="1047">
        <f>IF(B12="出让",IF(E13="","",ROUNDDOWN(MIN((E13-$D$3)/365,E14),2)),E14)</f>
        <v>21.6</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7"/>
      <c r="K15" s="2074"/>
      <c r="L15" s="2075"/>
      <c r="M15" s="2075"/>
      <c r="N15" s="2076"/>
      <c r="O15" s="2075"/>
      <c r="P15" s="2076"/>
      <c r="Q15" s="2024"/>
      <c r="R15" s="2024"/>
    </row>
    <row r="16" spans="1:19" ht="30.75" customHeight="1">
      <c r="A16" s="2057" t="s">
        <v>1795</v>
      </c>
      <c r="B16" s="3069" t="s">
        <v>3039</v>
      </c>
      <c r="C16" s="3070"/>
      <c r="D16" s="3071"/>
      <c r="E16" s="2077" t="s">
        <v>1796</v>
      </c>
      <c r="F16" s="3072"/>
      <c r="G16" s="3073"/>
      <c r="H16" s="3073"/>
      <c r="I16" s="3074"/>
      <c r="J16" s="2024"/>
      <c r="K16" s="2074"/>
      <c r="L16" s="2075"/>
      <c r="M16" s="2075"/>
      <c r="N16" s="2076"/>
      <c r="O16" s="2075"/>
      <c r="P16" s="2076"/>
      <c r="Q16" s="2024"/>
      <c r="R16" s="2024"/>
    </row>
    <row r="17" spans="1:22" ht="18" customHeight="1">
      <c r="A17" s="2078" t="s">
        <v>1797</v>
      </c>
      <c r="B17" s="2030" t="s">
        <v>1798</v>
      </c>
      <c r="C17" s="1052">
        <f>'数据-汇总表'!E3</f>
        <v>27271.82</v>
      </c>
      <c r="D17" s="2079" t="s">
        <v>1799</v>
      </c>
      <c r="E17" s="3075" t="s">
        <v>3040</v>
      </c>
      <c r="F17" s="3076"/>
      <c r="G17" s="3076"/>
      <c r="H17" s="3076"/>
      <c r="I17" s="3077"/>
      <c r="J17" s="2024"/>
      <c r="K17" s="2080"/>
      <c r="L17" s="2075"/>
      <c r="M17" s="2075"/>
      <c r="N17" s="2076"/>
      <c r="O17" s="2075"/>
      <c r="P17" s="2076"/>
      <c r="Q17" s="2024"/>
      <c r="R17" s="2024"/>
      <c r="S17" s="2024"/>
      <c r="T17" s="2024"/>
      <c r="U17" s="2024"/>
      <c r="V17" s="2024"/>
    </row>
    <row r="18" spans="1:22" ht="36" customHeight="1" thickBot="1">
      <c r="A18" s="2081" t="s">
        <v>70</v>
      </c>
      <c r="B18" s="2033" t="s">
        <v>1800</v>
      </c>
      <c r="C18" s="1440">
        <f>'数据-汇总表'!D3</f>
        <v>5686.65</v>
      </c>
      <c r="D18" s="2082" t="s">
        <v>1799</v>
      </c>
      <c r="E18" s="3078" t="s">
        <v>3041</v>
      </c>
      <c r="F18" s="3079"/>
      <c r="G18" s="3079"/>
      <c r="H18" s="3079"/>
      <c r="I18" s="3080"/>
      <c r="J18" s="2024"/>
      <c r="K18" s="2080"/>
      <c r="L18" s="2075"/>
      <c r="M18" s="2075"/>
      <c r="N18" s="2076"/>
      <c r="O18" s="2075"/>
      <c r="P18" s="2076"/>
      <c r="Q18" s="2024"/>
      <c r="R18" s="2024"/>
      <c r="S18" s="2024"/>
      <c r="T18" s="2024"/>
      <c r="U18" s="2024"/>
      <c r="V18" s="2024"/>
    </row>
    <row r="19" spans="1:22" ht="37.5" customHeight="1" thickTop="1" thickBot="1">
      <c r="A19" s="372" t="s">
        <v>1801</v>
      </c>
      <c r="B19" s="351" t="s">
        <v>1802</v>
      </c>
      <c r="C19" s="2083" t="s">
        <v>3042</v>
      </c>
      <c r="D19" s="2084" t="s">
        <v>1803</v>
      </c>
      <c r="E19" s="2085" t="s">
        <v>3042</v>
      </c>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1804</v>
      </c>
      <c r="B20" s="3065" t="s">
        <v>1805</v>
      </c>
      <c r="C20" s="3066"/>
      <c r="D20" s="3067" t="s">
        <v>1806</v>
      </c>
      <c r="E20" s="3068"/>
      <c r="F20" s="2089" t="s">
        <v>1807</v>
      </c>
      <c r="G20" s="2037"/>
      <c r="H20" s="2037"/>
      <c r="I20" s="2037"/>
      <c r="J20" s="2037"/>
      <c r="K20" s="3064"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6"/>
      <c r="O20" s="2075"/>
      <c r="P20" s="2076"/>
      <c r="Q20" s="2024"/>
      <c r="R20" s="2024"/>
      <c r="S20" s="2024"/>
      <c r="T20" s="2024"/>
      <c r="U20" s="2024"/>
      <c r="V20" s="2024"/>
    </row>
    <row r="21" spans="1:22" ht="24.75" customHeight="1">
      <c r="A21" s="2088"/>
      <c r="B21" s="2090" t="s">
        <v>1809</v>
      </c>
      <c r="C21" s="2950" t="s">
        <v>3043</v>
      </c>
      <c r="D21" s="2091" t="s">
        <v>1810</v>
      </c>
      <c r="E21" s="2092" t="s">
        <v>3043</v>
      </c>
      <c r="F21" s="2093"/>
      <c r="G21" s="2037"/>
      <c r="H21" s="2037"/>
      <c r="I21" s="2037"/>
      <c r="J21" s="2037"/>
      <c r="K21" s="306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6"/>
      <c r="O21" s="2075"/>
      <c r="P21" s="2076"/>
      <c r="Q21" s="2024"/>
      <c r="R21" s="2024"/>
      <c r="S21" s="2024"/>
      <c r="T21" s="2024"/>
      <c r="U21" s="2024"/>
      <c r="V21" s="2024"/>
    </row>
    <row r="22" spans="1:22" ht="24.75" customHeight="1" thickBot="1">
      <c r="A22" s="2088"/>
      <c r="B22" s="2094" t="s">
        <v>1811</v>
      </c>
      <c r="C22" s="2950" t="s">
        <v>3043</v>
      </c>
      <c r="D22" s="2021"/>
      <c r="E22" s="2021"/>
      <c r="F22" s="2095"/>
      <c r="G22" s="2037"/>
      <c r="H22" s="2037"/>
      <c r="I22" s="2037"/>
      <c r="J22" s="2037"/>
      <c r="K22" s="306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3"/>
      <c r="N22" s="2076"/>
      <c r="O22" s="2075"/>
      <c r="P22" s="2076"/>
      <c r="Q22" s="2024"/>
      <c r="R22" s="2024"/>
      <c r="S22" s="2024"/>
      <c r="T22" s="2024"/>
      <c r="U22" s="2024"/>
      <c r="V22" s="2024"/>
    </row>
    <row r="23" spans="1:22" ht="18" customHeight="1">
      <c r="A23" s="2096" t="s">
        <v>1812</v>
      </c>
      <c r="B23" s="182" t="s">
        <v>1813</v>
      </c>
      <c r="C23" s="2097"/>
      <c r="D23" s="2098" t="s">
        <v>1813</v>
      </c>
      <c r="E23" s="2099">
        <v>42667</v>
      </c>
      <c r="F23" s="2095"/>
      <c r="G23" s="2037"/>
      <c r="H23" s="2037"/>
      <c r="I23" s="2037"/>
      <c r="J23" s="2037"/>
      <c r="K23" s="2100"/>
      <c r="L23" s="747"/>
      <c r="M23" s="2023"/>
      <c r="N23" s="2076"/>
      <c r="O23" s="2075"/>
      <c r="P23" s="2076"/>
      <c r="Q23" s="2024"/>
      <c r="R23" s="2024"/>
      <c r="S23" s="2024"/>
      <c r="T23" s="2024"/>
      <c r="U23" s="2024"/>
      <c r="V23" s="2024"/>
    </row>
    <row r="24" spans="1:22" ht="18" customHeight="1">
      <c r="A24" s="2101"/>
      <c r="B24" s="182" t="s">
        <v>1814</v>
      </c>
      <c r="C24" s="2102"/>
      <c r="D24" s="2096" t="s">
        <v>1814</v>
      </c>
      <c r="E24" s="2951" t="s">
        <v>3029</v>
      </c>
      <c r="F24" s="2095"/>
      <c r="G24" s="2037"/>
      <c r="H24" s="2037"/>
      <c r="I24" s="2037"/>
      <c r="J24" s="2037"/>
      <c r="K24" s="2100"/>
      <c r="L24" s="747"/>
      <c r="M24" s="2023"/>
      <c r="N24" s="2076"/>
      <c r="O24" s="2075"/>
      <c r="P24" s="2076"/>
      <c r="Q24" s="2024"/>
      <c r="R24" s="2024"/>
      <c r="S24" s="2024"/>
      <c r="T24" s="2024"/>
      <c r="U24" s="2024"/>
      <c r="V24" s="2024"/>
    </row>
    <row r="25" spans="1:22" ht="18" customHeight="1">
      <c r="A25" s="2101"/>
      <c r="B25" s="182" t="s">
        <v>1815</v>
      </c>
      <c r="C25" s="2102"/>
      <c r="D25" s="2096" t="s">
        <v>1815</v>
      </c>
      <c r="E25" s="2103"/>
      <c r="F25" s="2095"/>
      <c r="G25" s="2037"/>
      <c r="H25" s="2037"/>
      <c r="I25" s="2037"/>
      <c r="J25" s="2037"/>
      <c r="K25" s="2046"/>
      <c r="L25" s="2023"/>
      <c r="M25" s="2023"/>
      <c r="N25" s="2076"/>
      <c r="O25" s="2075"/>
      <c r="P25" s="2076"/>
      <c r="Q25" s="2024"/>
      <c r="R25" s="2024"/>
      <c r="S25" s="2024"/>
      <c r="T25" s="2024"/>
      <c r="U25" s="2024"/>
      <c r="V25" s="2024"/>
    </row>
    <row r="26" spans="1:22" ht="18" customHeight="1" thickBot="1">
      <c r="A26" s="2104"/>
      <c r="B26" s="2105" t="s">
        <v>1816</v>
      </c>
      <c r="C26" s="2106"/>
      <c r="D26" s="2107" t="s">
        <v>1817</v>
      </c>
      <c r="E26" s="2108" t="s">
        <v>3044</v>
      </c>
      <c r="F26" s="2109"/>
      <c r="G26" s="2054"/>
      <c r="H26" s="2054"/>
      <c r="I26" s="2054"/>
      <c r="J26" s="2037"/>
      <c r="K26" s="2046"/>
      <c r="L26" s="2023"/>
      <c r="M26" s="2023"/>
      <c r="N26" s="2076"/>
      <c r="O26" s="2075"/>
      <c r="P26" s="2076"/>
      <c r="Q26" s="2024"/>
      <c r="R26" s="2024"/>
      <c r="S26" s="2024"/>
      <c r="T26" s="2024"/>
      <c r="U26" s="2024"/>
      <c r="V26" s="2024"/>
    </row>
    <row r="27" spans="1:22" ht="18" customHeight="1" thickTop="1">
      <c r="A27" s="3082" t="s">
        <v>1818</v>
      </c>
      <c r="B27" s="2055" t="s">
        <v>1819</v>
      </c>
      <c r="C27" s="2110" t="s">
        <v>3045</v>
      </c>
      <c r="D27" s="2111"/>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82"/>
      <c r="B28" s="2030" t="s">
        <v>1820</v>
      </c>
      <c r="C28" s="2112" t="s">
        <v>3046</v>
      </c>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082"/>
      <c r="B29" s="2030" t="s">
        <v>1821</v>
      </c>
      <c r="C29" s="2115" t="s">
        <v>3047</v>
      </c>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083"/>
      <c r="B30" s="2030" t="s">
        <v>1822</v>
      </c>
      <c r="C30" s="3084"/>
      <c r="D30" s="3085"/>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086" t="s">
        <v>1823</v>
      </c>
      <c r="B31" s="2117" t="s">
        <v>3048</v>
      </c>
      <c r="C31" s="2118" t="str">
        <f>IF(B31="现房","成新及维护状况正常否",IF(B31="在建","工程状态是否正常",IF(B31="土地","是否闲置","-")))</f>
        <v>成新及维护状况正常否</v>
      </c>
      <c r="D31" s="2119"/>
      <c r="E31" s="2120"/>
      <c r="F31" s="2037"/>
      <c r="G31" s="2037"/>
      <c r="H31" s="2037"/>
      <c r="I31" s="2037"/>
      <c r="J31" s="2037"/>
      <c r="K31" s="2045"/>
      <c r="L31" s="2023"/>
      <c r="M31" s="2023"/>
      <c r="N31" s="2024"/>
      <c r="O31" s="2025"/>
      <c r="P31" s="2024"/>
      <c r="Q31" s="2024"/>
      <c r="R31" s="2024"/>
      <c r="S31" s="2024"/>
      <c r="T31" s="2024"/>
      <c r="U31" s="2024"/>
      <c r="V31" s="2024"/>
    </row>
    <row r="32" spans="1:22" ht="18" customHeight="1">
      <c r="A32" s="3087"/>
      <c r="B32" s="2117"/>
      <c r="C32" s="2118" t="str">
        <f>IF(B32="现房","成新及维护状况是否正常",IF(B32="在建","工程状态是否正常",IF(B32="土地","是否闲置","-")))</f>
        <v>-</v>
      </c>
      <c r="D32" s="2119"/>
      <c r="E32" s="2120"/>
      <c r="F32" s="2037"/>
      <c r="G32" s="2037"/>
      <c r="H32" s="2037"/>
      <c r="I32" s="2037"/>
      <c r="J32" s="2037"/>
      <c r="K32" s="2046"/>
      <c r="L32" s="2023"/>
      <c r="M32" s="2023"/>
      <c r="N32" s="2024"/>
      <c r="O32" s="2025"/>
      <c r="P32" s="2024"/>
      <c r="Q32" s="2024"/>
      <c r="R32" s="2024"/>
      <c r="S32" s="2024"/>
      <c r="T32" s="2024"/>
      <c r="U32" s="2024"/>
      <c r="V32" s="2024"/>
    </row>
    <row r="33" spans="1:22" ht="18" customHeight="1">
      <c r="A33" s="3087"/>
      <c r="B33" s="2121"/>
      <c r="C33" s="2061" t="str">
        <f>IF(B33="现房","成新及维护状况是否正常",IF(B33="在建","工程状态是否正常",IF(B33="土地","是否闲置","-")))</f>
        <v>-</v>
      </c>
      <c r="D33" s="2122"/>
      <c r="E33" s="2123"/>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4" t="s">
        <v>3049</v>
      </c>
      <c r="C34" s="2124" t="s">
        <v>3050</v>
      </c>
      <c r="D34" s="2124" t="s">
        <v>3051</v>
      </c>
      <c r="E34" s="2124" t="s">
        <v>3052</v>
      </c>
      <c r="F34" s="2124" t="s">
        <v>3053</v>
      </c>
      <c r="G34" s="2124" t="s">
        <v>3054</v>
      </c>
      <c r="H34" s="2124"/>
      <c r="I34" s="2037"/>
      <c r="J34" s="2037"/>
      <c r="K34" s="1790">
        <f>COUNTIF(B34:H34,"——")</f>
        <v>0</v>
      </c>
      <c r="L34" s="2066" t="s">
        <v>1825</v>
      </c>
      <c r="M34" s="2066" t="s">
        <v>1826</v>
      </c>
      <c r="N34" s="2066" t="s">
        <v>1827</v>
      </c>
      <c r="O34" s="2066" t="s">
        <v>1828</v>
      </c>
      <c r="P34" s="2066" t="s">
        <v>1829</v>
      </c>
      <c r="Q34" s="2066" t="s">
        <v>1830</v>
      </c>
      <c r="R34" s="2066" t="s">
        <v>1831</v>
      </c>
      <c r="S34" s="3081" t="s">
        <v>1832</v>
      </c>
      <c r="T34" s="2125" t="str">
        <f>NUMBERSTRING(7-K34,1)&amp;"通"</f>
        <v>七通</v>
      </c>
      <c r="U34" s="2024"/>
      <c r="V34" s="2024"/>
    </row>
    <row r="35" spans="1:22" ht="18" customHeight="1">
      <c r="A35" s="2126"/>
      <c r="B35" s="3088" t="s">
        <v>1833</v>
      </c>
      <c r="C35" s="3088"/>
      <c r="D35" s="3088"/>
      <c r="E35" s="3088"/>
      <c r="F35" s="2127" t="str">
        <f>C10</f>
        <v>重庆市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1"/>
      <c r="T35" s="48" t="str">
        <f>IF(T34="一通",L35,IF(T34="二通",M35,IF(T34="三通",N35,IF(T34="四通",O35,IF(T34="五通",P35,IF(T34="六通",Q35,R35))))))</f>
        <v>通路、通电、通讯、通上水、通下水、燃气、</v>
      </c>
      <c r="U35" s="2024"/>
      <c r="V35" s="2024"/>
    </row>
    <row r="36" spans="1:22" ht="18" customHeight="1">
      <c r="A36" s="2128"/>
      <c r="B36" s="2127" t="s">
        <v>1834</v>
      </c>
      <c r="C36" s="2127" t="s">
        <v>1835</v>
      </c>
      <c r="D36" s="2127" t="s">
        <v>1836</v>
      </c>
      <c r="E36" s="2127" t="s">
        <v>1837</v>
      </c>
      <c r="F36" s="2129"/>
      <c r="G36" s="2037"/>
      <c r="H36" s="2037"/>
      <c r="I36" s="2037"/>
      <c r="J36" s="2037"/>
      <c r="K36" s="2046"/>
      <c r="L36" s="2023"/>
      <c r="M36" s="2023"/>
      <c r="N36" s="2024"/>
      <c r="O36" s="2025"/>
      <c r="P36" s="2024"/>
      <c r="Q36" s="2024"/>
      <c r="R36" s="2024"/>
      <c r="S36" s="2024"/>
      <c r="T36" s="2024"/>
      <c r="U36" s="2024"/>
      <c r="V36" s="2024"/>
    </row>
    <row r="37" spans="1:22" ht="18" customHeight="1">
      <c r="A37" s="2130" t="s">
        <v>1838</v>
      </c>
      <c r="B37" s="2131"/>
      <c r="C37" s="2131"/>
      <c r="D37" s="2131"/>
      <c r="E37" s="2131"/>
      <c r="F37" s="2129"/>
      <c r="G37" s="2037"/>
      <c r="H37" s="2037"/>
      <c r="I37" s="2037"/>
      <c r="J37" s="2037"/>
      <c r="K37" s="2046"/>
      <c r="L37" s="2023"/>
      <c r="M37" s="2023"/>
      <c r="N37" s="2024"/>
      <c r="O37" s="2025"/>
      <c r="P37" s="2024"/>
      <c r="Q37" s="2024"/>
      <c r="R37" s="2024"/>
      <c r="S37" s="2024"/>
      <c r="T37" s="2024"/>
      <c r="U37" s="2024"/>
      <c r="V37" s="2024"/>
    </row>
    <row r="38" spans="1:22" ht="18" customHeight="1" thickBot="1">
      <c r="A38" s="2132" t="s">
        <v>1839</v>
      </c>
      <c r="B38" s="2133"/>
      <c r="C38" s="2133"/>
      <c r="D38" s="2133"/>
      <c r="E38" s="2133"/>
      <c r="F38" s="2134"/>
      <c r="G38" s="2054"/>
      <c r="H38" s="2054"/>
      <c r="I38" s="2054"/>
      <c r="J38" s="2037"/>
      <c r="K38" s="2046"/>
      <c r="L38" s="2023"/>
      <c r="M38" s="2023"/>
      <c r="N38" s="2024"/>
      <c r="O38" s="2025"/>
      <c r="P38" s="2024"/>
      <c r="Q38" s="2024"/>
      <c r="R38" s="2024"/>
      <c r="S38" s="2024"/>
      <c r="T38" s="2024"/>
      <c r="U38" s="2024"/>
      <c r="V38" s="2024"/>
    </row>
    <row r="39" spans="1:22" s="2139" customFormat="1" ht="18" customHeight="1" thickTop="1" thickBot="1">
      <c r="A39" s="2135" t="s">
        <v>1840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4"/>
      <c r="B40" s="2024"/>
      <c r="C40" s="2024"/>
      <c r="D40" s="2024"/>
      <c r="E40" s="2024"/>
      <c r="F40" s="2024"/>
      <c r="G40" s="2024"/>
      <c r="H40" s="2024"/>
      <c r="I40" s="2140"/>
      <c r="J40" s="2076"/>
      <c r="K40" s="665"/>
      <c r="L40" s="2075"/>
      <c r="M40" s="2075"/>
      <c r="N40" s="2076"/>
      <c r="O40" s="2075"/>
      <c r="P40" s="2024"/>
      <c r="Q40" s="2024"/>
      <c r="R40" s="2024"/>
      <c r="S40" s="2024"/>
      <c r="T40" s="2024"/>
      <c r="U40" s="2024"/>
      <c r="V40" s="2024"/>
    </row>
    <row r="41" spans="1:22" ht="18" customHeight="1">
      <c r="A41" s="8" t="s">
        <v>1841</v>
      </c>
      <c r="B41" s="2141"/>
      <c r="C41" s="2142"/>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6" t="s">
        <v>1842</v>
      </c>
      <c r="B42" s="1790" t="s">
        <v>1843</v>
      </c>
      <c r="C42" s="1790" t="s">
        <v>1844</v>
      </c>
      <c r="D42" s="1790" t="s">
        <v>1845</v>
      </c>
      <c r="E42" s="1790" t="s">
        <v>1846</v>
      </c>
      <c r="F42" s="1790" t="s">
        <v>1847</v>
      </c>
      <c r="G42" s="1790" t="s">
        <v>1848</v>
      </c>
      <c r="H42" s="1790" t="s">
        <v>1849</v>
      </c>
      <c r="I42" s="1790" t="s">
        <v>1850</v>
      </c>
      <c r="J42" s="2143" t="s">
        <v>1851</v>
      </c>
      <c r="K42" s="2067" t="s">
        <v>1852</v>
      </c>
      <c r="L42" s="2067" t="s">
        <v>1853</v>
      </c>
      <c r="M42" s="2067" t="s">
        <v>1854</v>
      </c>
      <c r="N42" s="1790" t="s">
        <v>1855</v>
      </c>
      <c r="O42" s="1790" t="s">
        <v>1856</v>
      </c>
      <c r="P42" s="1790" t="s">
        <v>1857</v>
      </c>
      <c r="Q42" s="2066" t="s">
        <v>1858</v>
      </c>
      <c r="R42" s="2066" t="s">
        <v>1859</v>
      </c>
      <c r="S42" s="2024"/>
      <c r="T42" s="2024"/>
      <c r="U42" s="2024"/>
      <c r="V42" s="2024"/>
    </row>
    <row r="43" spans="1:22" s="2148" customFormat="1" ht="18" customHeight="1">
      <c r="A43" s="2144"/>
      <c r="B43" s="1270"/>
      <c r="C43" s="1270"/>
      <c r="D43" s="1270"/>
      <c r="E43" s="1270"/>
      <c r="F43" s="1270"/>
      <c r="G43" s="1270"/>
      <c r="H43" s="9"/>
      <c r="I43" s="9"/>
      <c r="J43" s="2145"/>
      <c r="K43" s="2146"/>
      <c r="L43" s="2146"/>
      <c r="M43" s="9"/>
      <c r="N43" s="1270"/>
      <c r="O43" s="9"/>
      <c r="P43" s="1270"/>
      <c r="Q43" s="1270"/>
      <c r="R43" s="1270"/>
      <c r="S43" s="2147"/>
      <c r="T43" s="2147"/>
      <c r="U43" s="2147"/>
      <c r="V43" s="2147"/>
    </row>
    <row r="44" spans="1:22" s="2148" customFormat="1" ht="18" customHeight="1">
      <c r="A44" s="2144"/>
      <c r="B44" s="2144"/>
      <c r="C44" s="1270"/>
      <c r="D44" s="1270"/>
      <c r="E44" s="1270"/>
      <c r="F44" s="1270"/>
      <c r="G44" s="1270"/>
      <c r="H44" s="9"/>
      <c r="I44" s="9"/>
      <c r="J44" s="2145"/>
      <c r="K44" s="2146"/>
      <c r="L44" s="2146"/>
      <c r="M44" s="9"/>
      <c r="N44" s="1270"/>
      <c r="O44" s="9"/>
      <c r="P44" s="1270"/>
      <c r="Q44" s="1270"/>
      <c r="R44" s="1270"/>
      <c r="S44" s="2147"/>
      <c r="T44" s="2147"/>
      <c r="U44" s="2147"/>
      <c r="V44" s="2147"/>
    </row>
    <row r="45" spans="1:22" s="2148" customFormat="1" ht="18" customHeight="1">
      <c r="A45" s="2144"/>
      <c r="B45" s="2144"/>
      <c r="C45" s="1270"/>
      <c r="D45" s="1270"/>
      <c r="E45" s="1270"/>
      <c r="F45" s="1270"/>
      <c r="G45" s="1270"/>
      <c r="H45" s="9"/>
      <c r="I45" s="9"/>
      <c r="J45" s="2145"/>
      <c r="K45" s="2146"/>
      <c r="L45" s="2146"/>
      <c r="M45" s="9"/>
      <c r="N45" s="1270"/>
      <c r="O45" s="9"/>
      <c r="P45" s="1270"/>
      <c r="Q45" s="1270"/>
      <c r="R45" s="1270"/>
      <c r="S45" s="2147"/>
      <c r="T45" s="2147"/>
      <c r="U45" s="2147"/>
      <c r="V45" s="2147"/>
    </row>
    <row r="46" spans="1:22" s="2148" customFormat="1" ht="18" customHeight="1">
      <c r="A46" s="2144"/>
      <c r="B46" s="2144"/>
      <c r="C46" s="1270"/>
      <c r="D46" s="1270"/>
      <c r="E46" s="1270"/>
      <c r="F46" s="1270"/>
      <c r="G46" s="1270"/>
      <c r="H46" s="9"/>
      <c r="I46" s="9"/>
      <c r="J46" s="2145"/>
      <c r="K46" s="2146"/>
      <c r="L46" s="2146"/>
      <c r="M46" s="9"/>
      <c r="N46" s="1270"/>
      <c r="O46" s="9"/>
      <c r="P46" s="1270"/>
      <c r="Q46" s="1270"/>
      <c r="R46" s="1270"/>
      <c r="S46" s="2147"/>
      <c r="T46" s="2147"/>
      <c r="U46" s="2147"/>
      <c r="V46" s="2147"/>
    </row>
    <row r="47" spans="1:22" s="2148" customFormat="1" ht="18" customHeight="1">
      <c r="A47" s="2144"/>
      <c r="B47" s="2144"/>
      <c r="C47" s="1270"/>
      <c r="D47" s="1270"/>
      <c r="E47" s="1270"/>
      <c r="F47" s="1270"/>
      <c r="G47" s="1270"/>
      <c r="H47" s="9"/>
      <c r="I47" s="9"/>
      <c r="J47" s="2145"/>
      <c r="K47" s="2146"/>
      <c r="L47" s="2146"/>
      <c r="M47" s="9"/>
      <c r="N47" s="1270"/>
      <c r="O47" s="9"/>
      <c r="P47" s="1270"/>
      <c r="Q47" s="1270"/>
      <c r="R47" s="1270"/>
      <c r="S47" s="2147"/>
      <c r="T47" s="2147"/>
      <c r="U47" s="2147"/>
      <c r="V47" s="2147"/>
    </row>
    <row r="48" spans="1:22" s="2148" customFormat="1" ht="18" customHeight="1">
      <c r="A48" s="2144"/>
      <c r="B48" s="2144"/>
      <c r="C48" s="1270"/>
      <c r="D48" s="1270"/>
      <c r="E48" s="1270"/>
      <c r="F48" s="1270"/>
      <c r="G48" s="1270"/>
      <c r="H48" s="9"/>
      <c r="I48" s="9"/>
      <c r="J48" s="2145"/>
      <c r="K48" s="2146"/>
      <c r="L48" s="2146"/>
      <c r="M48" s="9"/>
      <c r="N48" s="1270"/>
      <c r="O48" s="9"/>
      <c r="P48" s="1270"/>
      <c r="Q48" s="1270"/>
      <c r="R48" s="1270"/>
      <c r="S48" s="2147"/>
      <c r="T48" s="2147"/>
      <c r="U48" s="2147"/>
      <c r="V48" s="2147"/>
    </row>
    <row r="49" spans="1:22" s="2148" customFormat="1" ht="18" customHeight="1">
      <c r="A49" s="2144"/>
      <c r="B49" s="2144"/>
      <c r="C49" s="1270"/>
      <c r="D49" s="1270"/>
      <c r="E49" s="1270"/>
      <c r="F49" s="1270"/>
      <c r="G49" s="1270"/>
      <c r="H49" s="9"/>
      <c r="I49" s="9"/>
      <c r="J49" s="2145"/>
      <c r="K49" s="2146"/>
      <c r="L49" s="2146"/>
      <c r="M49" s="9"/>
      <c r="N49" s="1270"/>
      <c r="O49" s="9"/>
      <c r="P49" s="1270"/>
      <c r="Q49" s="1270"/>
      <c r="R49" s="1270"/>
      <c r="S49" s="2147"/>
      <c r="T49" s="2147"/>
      <c r="U49" s="2147"/>
      <c r="V49" s="2147"/>
    </row>
    <row r="50" spans="1:22" s="2148" customFormat="1" ht="18" customHeight="1">
      <c r="A50" s="2144"/>
      <c r="B50" s="2144"/>
      <c r="C50" s="1270"/>
      <c r="D50" s="1270"/>
      <c r="E50" s="1270"/>
      <c r="F50" s="1270"/>
      <c r="G50" s="1270"/>
      <c r="H50" s="9"/>
      <c r="I50" s="9"/>
      <c r="J50" s="2145"/>
      <c r="K50" s="2146"/>
      <c r="L50" s="2146"/>
      <c r="M50" s="9"/>
      <c r="N50" s="1270"/>
      <c r="O50" s="9"/>
      <c r="P50" s="1270"/>
      <c r="Q50" s="1270"/>
      <c r="R50" s="1270"/>
      <c r="S50" s="2147"/>
      <c r="T50" s="2147"/>
      <c r="U50" s="2147"/>
      <c r="V50" s="2147"/>
    </row>
    <row r="51" spans="1:22" s="2148" customFormat="1" ht="18" customHeight="1">
      <c r="A51" s="2144"/>
      <c r="B51" s="2144"/>
      <c r="C51" s="1270"/>
      <c r="D51" s="1270"/>
      <c r="E51" s="1270"/>
      <c r="F51" s="1270"/>
      <c r="G51" s="1270"/>
      <c r="H51" s="9"/>
      <c r="I51" s="9"/>
      <c r="J51" s="2145"/>
      <c r="K51" s="2146"/>
      <c r="L51" s="2146"/>
      <c r="M51" s="9"/>
      <c r="N51" s="1270"/>
      <c r="O51" s="9"/>
      <c r="P51" s="1270"/>
      <c r="Q51" s="1270"/>
      <c r="R51" s="1270"/>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hidden="1" customWidth="1"/>
    <col min="12" max="12" width="9.5" style="2150" hidden="1" customWidth="1"/>
    <col min="13" max="14" width="9.5" style="2150" customWidth="1"/>
    <col min="15" max="15" width="9.875" style="2150" customWidth="1"/>
    <col min="16" max="16" width="9.75" style="2150"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4"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8" customFormat="1" ht="24">
      <c r="A2" s="11" t="s">
        <v>1862</v>
      </c>
      <c r="B2" s="11" t="s">
        <v>1863</v>
      </c>
      <c r="C2" s="11" t="s">
        <v>1864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7" t="s">
        <v>1865</v>
      </c>
      <c r="AZ2" s="1268" t="s">
        <v>1866</v>
      </c>
      <c r="BA2" s="11" t="s">
        <v>1867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7232</v>
      </c>
      <c r="B3" s="14">
        <f>IF(C3="否",G5-AT5,G5)</f>
        <v>34682.94</v>
      </c>
      <c r="C3" s="2159" t="s">
        <v>3042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9"/>
      <c r="AZ3" s="1270"/>
      <c r="BA3" s="1271"/>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1868</v>
      </c>
      <c r="B5" s="1798"/>
      <c r="C5" s="1798"/>
      <c r="D5" s="1801"/>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7"/>
      <c r="AV5" s="15" t="s">
        <v>1868</v>
      </c>
      <c r="AW5" s="1798"/>
      <c r="AX5" s="1798"/>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68" customFormat="1" ht="12.75">
      <c r="A6" s="15" t="s">
        <v>1869</v>
      </c>
      <c r="B6" s="2165"/>
      <c r="C6" s="2165"/>
      <c r="D6" s="2166"/>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7"/>
      <c r="AV6" s="15" t="s">
        <v>1869</v>
      </c>
      <c r="AW6" s="2165"/>
      <c r="AX6" s="2165"/>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58" customFormat="1" ht="24.75">
      <c r="A7" s="2100" t="s">
        <v>1870</v>
      </c>
      <c r="B7" s="2100" t="s">
        <v>1871</v>
      </c>
      <c r="C7" s="2100" t="s">
        <v>1872</v>
      </c>
      <c r="D7" s="2100" t="s">
        <v>1873</v>
      </c>
      <c r="E7" s="2100" t="s">
        <v>1874</v>
      </c>
      <c r="F7" s="2100" t="s">
        <v>1875</v>
      </c>
      <c r="G7" s="2169" t="s">
        <v>1876</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1877</v>
      </c>
      <c r="AV7" s="23" t="s">
        <v>1878</v>
      </c>
      <c r="AW7" s="2157" t="s">
        <v>1879</v>
      </c>
      <c r="AX7" s="23" t="s">
        <v>1872</v>
      </c>
      <c r="AY7" s="1798" t="s">
        <v>1880</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1881</v>
      </c>
      <c r="H8" s="2175" t="s">
        <v>1882</v>
      </c>
      <c r="I8" s="2176"/>
      <c r="J8" s="1813"/>
      <c r="K8" s="1813"/>
      <c r="L8" s="1813"/>
      <c r="M8" s="1813"/>
      <c r="N8" s="1813"/>
      <c r="O8" s="1813"/>
      <c r="P8" s="1813"/>
      <c r="Q8" s="1813"/>
      <c r="R8" s="1813"/>
      <c r="S8" s="1813"/>
      <c r="T8" s="1813"/>
      <c r="U8" s="1813"/>
      <c r="V8" s="2177"/>
      <c r="W8" s="1813"/>
      <c r="X8" s="1813"/>
      <c r="Y8" s="1813"/>
      <c r="Z8" s="1813"/>
      <c r="AA8" s="2177"/>
      <c r="AB8" s="2178"/>
      <c r="AC8" s="980" t="s">
        <v>1883</v>
      </c>
      <c r="AD8" s="2179"/>
      <c r="AE8" s="2171"/>
      <c r="AF8" s="1813"/>
      <c r="AG8" s="1813"/>
      <c r="AH8" s="1813"/>
      <c r="AI8" s="1813"/>
      <c r="AJ8" s="1813"/>
      <c r="AK8" s="1813"/>
      <c r="AL8" s="1813"/>
      <c r="AM8" s="1813"/>
      <c r="AN8" s="1813"/>
      <c r="AO8" s="1813"/>
      <c r="AP8" s="1813"/>
      <c r="AQ8" s="1813"/>
      <c r="AR8" s="1813"/>
      <c r="AS8" s="1813"/>
      <c r="AT8" s="1290" t="s">
        <v>1884</v>
      </c>
      <c r="AU8" s="2173" t="s">
        <v>1885</v>
      </c>
      <c r="AV8" s="1290"/>
      <c r="AW8" s="2156"/>
      <c r="AX8" s="1290"/>
      <c r="AY8" s="2157" t="s">
        <v>1886</v>
      </c>
      <c r="AZ8" s="1812" t="s">
        <v>1887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90"/>
      <c r="H9" s="2181" t="s">
        <v>1888</v>
      </c>
      <c r="I9" s="2182" t="s">
        <v>3055</v>
      </c>
      <c r="J9" s="980"/>
      <c r="K9" s="2182" t="s">
        <v>3057</v>
      </c>
      <c r="L9" s="980"/>
      <c r="M9" s="2182" t="s">
        <v>3055</v>
      </c>
      <c r="N9" s="980"/>
      <c r="O9" s="2182" t="s">
        <v>3055</v>
      </c>
      <c r="P9" s="980"/>
      <c r="Q9" s="2182" t="s">
        <v>3057</v>
      </c>
      <c r="R9" s="980"/>
      <c r="S9" s="2182"/>
      <c r="T9" s="980"/>
      <c r="U9" s="2182"/>
      <c r="V9" s="980"/>
      <c r="W9" s="2182"/>
      <c r="X9" s="2183"/>
      <c r="Y9" s="2182"/>
      <c r="Z9" s="980"/>
      <c r="AA9" s="2182"/>
      <c r="AB9" s="980"/>
      <c r="AC9" s="2174"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4"/>
      <c r="AT9" s="2173"/>
      <c r="AU9" s="2173" t="s">
        <v>1891</v>
      </c>
      <c r="AV9" s="1290"/>
      <c r="AW9" s="2156"/>
      <c r="AX9" s="1290"/>
      <c r="AY9" s="28"/>
      <c r="AZ9" s="28" t="s">
        <v>1881</v>
      </c>
      <c r="BA9" s="2185" t="s">
        <v>1892</v>
      </c>
      <c r="BB9" s="2186"/>
      <c r="BC9" s="1335"/>
      <c r="BD9" s="1335"/>
      <c r="BE9" s="1335"/>
      <c r="BF9" s="1335"/>
      <c r="BG9" s="1335"/>
      <c r="BH9" s="1335"/>
      <c r="BI9" s="1335"/>
      <c r="BJ9" s="1335"/>
      <c r="BK9" s="2187"/>
      <c r="BL9" s="15" t="s">
        <v>1893</v>
      </c>
      <c r="BM9" s="1813"/>
      <c r="BN9" s="2176"/>
      <c r="BO9" s="1813"/>
      <c r="BP9" s="1813"/>
      <c r="BQ9" s="1813"/>
      <c r="BR9" s="1813"/>
      <c r="BS9" s="1813"/>
      <c r="BT9" s="26"/>
    </row>
    <row r="10" spans="1:72" s="2180" customFormat="1" ht="12.75">
      <c r="A10" s="2173"/>
      <c r="B10" s="2173"/>
      <c r="C10" s="2173"/>
      <c r="D10" s="2173"/>
      <c r="E10" s="2173"/>
      <c r="F10" s="2173"/>
      <c r="G10" s="1290"/>
      <c r="H10" s="28"/>
      <c r="I10" s="2182" t="s">
        <v>1376</v>
      </c>
      <c r="J10" s="980"/>
      <c r="K10" s="2188" t="s">
        <v>1376</v>
      </c>
      <c r="L10" s="980"/>
      <c r="M10" s="2188" t="s">
        <v>1376</v>
      </c>
      <c r="N10" s="980"/>
      <c r="O10" s="2188" t="s">
        <v>1376</v>
      </c>
      <c r="P10" s="980"/>
      <c r="Q10" s="2188" t="s">
        <v>1376</v>
      </c>
      <c r="R10" s="980"/>
      <c r="S10" s="2188"/>
      <c r="T10" s="980"/>
      <c r="U10" s="2188"/>
      <c r="V10" s="980"/>
      <c r="W10" s="2188"/>
      <c r="X10" s="980"/>
      <c r="Y10" s="2188"/>
      <c r="Z10" s="980"/>
      <c r="AA10" s="2188"/>
      <c r="AB10" s="980"/>
      <c r="AC10" s="1290"/>
      <c r="AD10" s="15" t="s">
        <v>1894</v>
      </c>
      <c r="AE10" s="2189"/>
      <c r="AF10" s="15" t="s">
        <v>1894</v>
      </c>
      <c r="AG10" s="2189"/>
      <c r="AH10" s="15" t="s">
        <v>1895</v>
      </c>
      <c r="AI10" s="2189"/>
      <c r="AJ10" s="15" t="s">
        <v>1895</v>
      </c>
      <c r="AK10" s="2189"/>
      <c r="AL10" s="15" t="s">
        <v>1896</v>
      </c>
      <c r="AM10" s="1296"/>
      <c r="AN10" s="15" t="s">
        <v>1896</v>
      </c>
      <c r="AO10" s="1296"/>
      <c r="AP10" s="15" t="s">
        <v>1897</v>
      </c>
      <c r="AQ10" s="1296"/>
      <c r="AR10" s="15" t="s">
        <v>1897</v>
      </c>
      <c r="AS10" s="1296"/>
      <c r="AT10" s="2173"/>
      <c r="AU10" s="2173"/>
      <c r="AV10" s="1290"/>
      <c r="AW10" s="2156"/>
      <c r="AX10" s="1290"/>
      <c r="AY10" s="28"/>
      <c r="AZ10" s="28"/>
      <c r="BA10" s="2190" t="s">
        <v>1888</v>
      </c>
      <c r="BB10" s="2191"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90"/>
      <c r="H11" s="2190"/>
      <c r="I11" s="2193" t="s">
        <v>3058</v>
      </c>
      <c r="J11" s="2194"/>
      <c r="K11" s="2193" t="s">
        <v>3058</v>
      </c>
      <c r="L11" s="2194"/>
      <c r="M11" s="2193" t="s">
        <v>3060</v>
      </c>
      <c r="N11" s="2194"/>
      <c r="O11" s="2193" t="s">
        <v>3062</v>
      </c>
      <c r="P11" s="2194"/>
      <c r="Q11" s="2193" t="s">
        <v>3062</v>
      </c>
      <c r="R11" s="2194"/>
      <c r="S11" s="2193"/>
      <c r="T11" s="2194"/>
      <c r="U11" s="2193"/>
      <c r="V11" s="2194"/>
      <c r="W11" s="2193"/>
      <c r="X11" s="2194"/>
      <c r="Y11" s="2193"/>
      <c r="Z11" s="2194"/>
      <c r="AA11" s="2193"/>
      <c r="AB11" s="2194"/>
      <c r="AC11" s="1290"/>
      <c r="AD11" s="2195" t="s">
        <v>1898</v>
      </c>
      <c r="AE11" s="1814"/>
      <c r="AF11" s="2195" t="s">
        <v>1898</v>
      </c>
      <c r="AG11" s="1814"/>
      <c r="AH11" s="2195" t="s">
        <v>1899</v>
      </c>
      <c r="AI11" s="2196"/>
      <c r="AJ11" s="2195" t="s">
        <v>1899</v>
      </c>
      <c r="AK11" s="1814"/>
      <c r="AL11" s="1812"/>
      <c r="AM11" s="1814"/>
      <c r="AN11" s="1812"/>
      <c r="AO11" s="1814"/>
      <c r="AP11" s="1812"/>
      <c r="AQ11" s="1814"/>
      <c r="AR11" s="1812"/>
      <c r="AS11" s="1814"/>
      <c r="AT11" s="2156"/>
      <c r="AU11" s="2173"/>
      <c r="AV11" s="1290"/>
      <c r="AW11" s="2156"/>
      <c r="AX11" s="1290"/>
      <c r="AY11" s="28"/>
      <c r="AZ11" s="28"/>
      <c r="BA11" s="28"/>
      <c r="BB11" s="2178" t="str">
        <f>I10</f>
        <v>商业</v>
      </c>
      <c r="BC11" s="2178" t="str">
        <f>K10</f>
        <v>商业</v>
      </c>
      <c r="BD11" s="2178" t="str">
        <f>M10</f>
        <v>商业</v>
      </c>
      <c r="BE11" s="2178" t="str">
        <f>O10</f>
        <v>商业</v>
      </c>
      <c r="BF11" s="2178" t="str">
        <f>Q10</f>
        <v>商业</v>
      </c>
      <c r="BG11" s="2178">
        <f>S10</f>
        <v>0</v>
      </c>
      <c r="BH11" s="2178">
        <f>U10</f>
        <v>0</v>
      </c>
      <c r="BI11" s="2178">
        <f>W10</f>
        <v>0</v>
      </c>
      <c r="BJ11" s="2178">
        <f>Y10</f>
        <v>0</v>
      </c>
      <c r="BK11" s="2178">
        <f>AA10</f>
        <v>0</v>
      </c>
      <c r="BL11" s="1290"/>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7" t="s">
        <v>1901</v>
      </c>
      <c r="W12" s="11" t="s">
        <v>1900</v>
      </c>
      <c r="X12" s="11" t="s">
        <v>1901</v>
      </c>
      <c r="Y12" s="11" t="s">
        <v>1900</v>
      </c>
      <c r="Z12" s="11" t="s">
        <v>1901</v>
      </c>
      <c r="AA12" s="11" t="s">
        <v>1900</v>
      </c>
      <c r="AB12" s="11" t="s">
        <v>1901</v>
      </c>
      <c r="AC12" s="2200"/>
      <c r="AD12" s="1801"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8" t="s">
        <v>1901</v>
      </c>
      <c r="AT12" s="2201"/>
      <c r="AU12" s="2198"/>
      <c r="AV12" s="31"/>
      <c r="AW12" s="2157"/>
      <c r="AX12" s="31"/>
      <c r="AY12" s="2202"/>
      <c r="AZ12" s="28"/>
      <c r="BA12" s="2190"/>
      <c r="BB12" s="24" t="str">
        <f>I11</f>
        <v>综合楼</v>
      </c>
      <c r="BC12" s="2203" t="str">
        <f>K11</f>
        <v>综合楼</v>
      </c>
      <c r="BD12" s="2203" t="str">
        <f>M11</f>
        <v>配套楼</v>
      </c>
      <c r="BE12" s="2178" t="str">
        <f>O11</f>
        <v>公寓楼</v>
      </c>
      <c r="BF12" s="2178" t="str">
        <f>Q11</f>
        <v>公寓楼</v>
      </c>
      <c r="BG12" s="2178">
        <f>S11</f>
        <v>0</v>
      </c>
      <c r="BH12" s="2178">
        <f>U11</f>
        <v>0</v>
      </c>
      <c r="BI12" s="2178">
        <f>W11</f>
        <v>0</v>
      </c>
      <c r="BJ12" s="2178">
        <f>Y11</f>
        <v>0</v>
      </c>
      <c r="BK12" s="2178">
        <f>AA11</f>
        <v>0</v>
      </c>
      <c r="BL12" s="1290"/>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12.75">
      <c r="A13" s="1270">
        <v>23376.04</v>
      </c>
      <c r="B13" s="1270"/>
      <c r="C13" s="1270" t="s">
        <v>3253</v>
      </c>
      <c r="D13" s="2204" t="s">
        <v>3042</v>
      </c>
      <c r="E13" s="16">
        <f>IF($C$3="是",ROUND($A$3*G13/$B$3,2),ROUND($A$3*(G13-AT13)/$B$3,2))</f>
        <v>4874.3100000000004</v>
      </c>
      <c r="F13" s="32"/>
      <c r="G13" s="33">
        <f>H13+AC13+AT13</f>
        <v>23376.04</v>
      </c>
      <c r="H13" s="20">
        <f>SUMIF(I$12:AB$12,"总值",I13:AB13)</f>
        <v>19904.78</v>
      </c>
      <c r="I13" s="2205">
        <f>ROUND(A13-AN13,2)</f>
        <v>19904.78</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3471.26</v>
      </c>
      <c r="AD13" s="2206"/>
      <c r="AE13" s="2206"/>
      <c r="AF13" s="2206"/>
      <c r="AG13" s="2206"/>
      <c r="AH13" s="2206"/>
      <c r="AI13" s="2206"/>
      <c r="AJ13" s="2206"/>
      <c r="AK13" s="2206"/>
      <c r="AL13" s="2206"/>
      <c r="AM13" s="2206"/>
      <c r="AN13" s="2206">
        <v>3471.26</v>
      </c>
      <c r="AO13" s="2206"/>
      <c r="AP13" s="2206"/>
      <c r="AQ13" s="2206"/>
      <c r="AR13" s="2206"/>
      <c r="AS13" s="2206"/>
      <c r="AT13" s="2207"/>
      <c r="AU13" s="2208"/>
      <c r="AV13" s="11">
        <f t="shared" ref="AV13:AX17" si="6">A13</f>
        <v>23376.04</v>
      </c>
      <c r="AW13" s="11">
        <f t="shared" si="6"/>
        <v>0</v>
      </c>
      <c r="AX13" s="11" t="str">
        <f t="shared" si="6"/>
        <v>酒店部分</v>
      </c>
      <c r="AY13" s="1801">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58" customFormat="1" ht="12.75">
      <c r="A14" s="1270"/>
      <c r="B14" s="1270"/>
      <c r="C14" s="1270" t="s">
        <v>3254</v>
      </c>
      <c r="D14" s="2204" t="s">
        <v>3042</v>
      </c>
      <c r="E14" s="16">
        <f>IF($C$3="是",ROUND($A$3*G14/$B$3,2),ROUND($A$3*(G14-AT14)/$B$3,2))</f>
        <v>812.34</v>
      </c>
      <c r="F14" s="32"/>
      <c r="G14" s="33">
        <f>H14+AC14+AT14</f>
        <v>3895.78</v>
      </c>
      <c r="H14" s="20">
        <f>SUMIF(I$12:AB$12,"总值",I14:AB14)</f>
        <v>3895.78</v>
      </c>
      <c r="I14" s="2205"/>
      <c r="J14" s="2205"/>
      <c r="K14" s="2205"/>
      <c r="L14" s="2205"/>
      <c r="M14" s="2205">
        <v>3895.78</v>
      </c>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配楼</v>
      </c>
      <c r="AY14" s="1801">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0">
        <v>7411.12</v>
      </c>
      <c r="B15" s="1270"/>
      <c r="C15" s="1270" t="s">
        <v>3062</v>
      </c>
      <c r="D15" s="2204" t="s">
        <v>3047</v>
      </c>
      <c r="E15" s="16">
        <f>IF($C$3="是",ROUND($A$3*G15/$B$3,2),ROUND($A$3*(G15-AT15)/$B$3,2))</f>
        <v>1545.35</v>
      </c>
      <c r="F15" s="32"/>
      <c r="G15" s="33">
        <f>H15+AC15+AT15</f>
        <v>7411.12</v>
      </c>
      <c r="H15" s="20">
        <f>SUMIF(I$12:AB$12,"总值",I15:AB15)</f>
        <v>7061.11</v>
      </c>
      <c r="I15" s="2205"/>
      <c r="J15" s="2205"/>
      <c r="K15" s="2205"/>
      <c r="L15" s="2205"/>
      <c r="M15" s="2205"/>
      <c r="N15" s="2205"/>
      <c r="O15" s="2205">
        <f>ROUND(A15-AN15,2)</f>
        <v>7061.11</v>
      </c>
      <c r="P15" s="2205"/>
      <c r="Q15" s="2205"/>
      <c r="R15" s="2205"/>
      <c r="S15" s="2205"/>
      <c r="T15" s="2205"/>
      <c r="U15" s="2205"/>
      <c r="V15" s="2205"/>
      <c r="W15" s="2205"/>
      <c r="X15" s="2205"/>
      <c r="Y15" s="2205"/>
      <c r="Z15" s="2205"/>
      <c r="AA15" s="2205"/>
      <c r="AB15" s="2205"/>
      <c r="AC15" s="16">
        <f>SUMIF(AD$12:AS$12,"总值",AD15:AS15)</f>
        <v>350.01</v>
      </c>
      <c r="AD15" s="2206"/>
      <c r="AE15" s="2206"/>
      <c r="AF15" s="2206"/>
      <c r="AG15" s="2206"/>
      <c r="AH15" s="2206"/>
      <c r="AI15" s="2206"/>
      <c r="AJ15" s="2206"/>
      <c r="AK15" s="2206"/>
      <c r="AL15" s="2206"/>
      <c r="AM15" s="2206"/>
      <c r="AN15" s="2206">
        <v>350.01</v>
      </c>
      <c r="AO15" s="2206"/>
      <c r="AP15" s="2206"/>
      <c r="AQ15" s="2206"/>
      <c r="AR15" s="2206"/>
      <c r="AS15" s="2206"/>
      <c r="AT15" s="2207"/>
      <c r="AU15" s="2208"/>
      <c r="AV15" s="11">
        <f t="shared" si="6"/>
        <v>7411.12</v>
      </c>
      <c r="AW15" s="11">
        <f t="shared" si="6"/>
        <v>0</v>
      </c>
      <c r="AX15" s="11" t="str">
        <f t="shared" si="6"/>
        <v>公寓楼</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0"/>
      <c r="B16" s="1270"/>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0"/>
      <c r="B17" s="1270"/>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c r="D20" s="293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2"/>
      <c r="D21" s="293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4" sqref="I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1926</v>
      </c>
      <c r="B1" s="1388"/>
      <c r="C1" s="1388"/>
      <c r="D1" s="1388"/>
      <c r="E1" s="1388"/>
      <c r="F1" s="1388"/>
      <c r="G1" s="1388"/>
      <c r="H1" s="1388"/>
      <c r="I1" s="1388"/>
      <c r="J1" s="1388"/>
      <c r="K1" s="1388"/>
      <c r="L1" s="1388"/>
      <c r="M1" s="1388"/>
      <c r="N1" s="1388"/>
      <c r="O1" s="1388"/>
      <c r="P1" s="1388"/>
    </row>
    <row r="2" spans="1:16" ht="15">
      <c r="A2" s="3100" t="s">
        <v>1927</v>
      </c>
      <c r="B2" s="3100"/>
      <c r="C2" s="3100"/>
      <c r="D2" s="966" t="s">
        <v>1904</v>
      </c>
      <c r="E2" s="2218" t="s">
        <v>1905</v>
      </c>
      <c r="F2" s="1388"/>
      <c r="G2" s="2219"/>
      <c r="H2" s="2220"/>
      <c r="I2" s="2221" t="s">
        <v>1928</v>
      </c>
      <c r="J2" s="1388"/>
      <c r="K2" s="1388"/>
      <c r="L2" s="1388"/>
      <c r="M2" s="1388"/>
      <c r="N2" s="1423"/>
      <c r="O2" s="1388"/>
      <c r="P2" s="1388"/>
    </row>
    <row r="3" spans="1:16" ht="15.75" thickBot="1">
      <c r="A3" s="3101" t="s">
        <v>1902</v>
      </c>
      <c r="B3" s="3101"/>
      <c r="C3" s="3101"/>
      <c r="D3" s="46">
        <f>'数据-基础表'!AY6</f>
        <v>5686.65</v>
      </c>
      <c r="E3" s="46">
        <f>'数据-基础表'!AZ5</f>
        <v>27271.82</v>
      </c>
      <c r="F3" s="1388"/>
      <c r="G3" s="1395"/>
      <c r="H3" s="1245" t="s">
        <v>1903</v>
      </c>
      <c r="I3" s="55">
        <f>ROUND('数据-基础表'!B3/'数据-基础表'!A3,2)</f>
        <v>4.8</v>
      </c>
      <c r="J3" s="1388"/>
      <c r="K3" s="1388"/>
      <c r="L3" s="1388"/>
      <c r="M3" s="1388"/>
      <c r="N3" s="1423"/>
      <c r="O3" s="1388"/>
      <c r="P3" s="1388"/>
    </row>
    <row r="4" spans="1:16" ht="15">
      <c r="A4" s="3102"/>
      <c r="B4" s="3103"/>
      <c r="C4" s="3104"/>
      <c r="D4" s="2222" t="s">
        <v>1904</v>
      </c>
      <c r="E4" s="2223" t="s">
        <v>1905</v>
      </c>
      <c r="F4" s="1388"/>
      <c r="G4" s="2224" t="s">
        <v>1929</v>
      </c>
      <c r="H4" s="1245" t="s">
        <v>1910</v>
      </c>
      <c r="I4" s="55">
        <f>ROUND(SUMIF('数据-基础表'!I9:AS9,"地上",'数据-基础表'!I5:AS5)/'数据-基础表'!A3,2)</f>
        <v>4.2699999999999996</v>
      </c>
      <c r="J4" s="1388"/>
      <c r="K4" s="1388"/>
      <c r="L4" s="1388"/>
      <c r="M4" s="1388"/>
      <c r="N4" s="1423"/>
      <c r="O4" s="1388"/>
      <c r="P4" s="1388"/>
    </row>
    <row r="5" spans="1:16">
      <c r="A5" s="47" t="s">
        <v>1906</v>
      </c>
      <c r="B5" s="3105" t="s">
        <v>1907</v>
      </c>
      <c r="C5" s="3105"/>
      <c r="D5" s="48">
        <f>ROUND($D$3*E5/$E$3,2)</f>
        <v>0</v>
      </c>
      <c r="E5" s="49">
        <f>SUMIF('数据-基础表'!$11:$11,"住宅",'数据-基础表'!$5:$5)</f>
        <v>0</v>
      </c>
      <c r="F5" s="1388"/>
      <c r="G5" s="1395"/>
      <c r="H5" s="1245" t="s">
        <v>1903</v>
      </c>
      <c r="I5" s="55">
        <f>ROUND(E31/D31,2)</f>
        <v>4.8</v>
      </c>
      <c r="J5" s="1388"/>
      <c r="K5" s="1388"/>
      <c r="L5" s="1388"/>
      <c r="M5" s="1388"/>
      <c r="N5" s="1388"/>
      <c r="O5" s="1388"/>
      <c r="P5" s="1388"/>
    </row>
    <row r="6" spans="1:16" ht="15" thickBot="1">
      <c r="A6" s="2225"/>
      <c r="B6" s="3105" t="s">
        <v>1908</v>
      </c>
      <c r="C6" s="3105"/>
      <c r="D6" s="48">
        <f>ROUND($D$3*E6/$E$3,2)</f>
        <v>5686.65</v>
      </c>
      <c r="E6" s="49">
        <f>E3-E5</f>
        <v>27271.82</v>
      </c>
      <c r="F6" s="1388"/>
      <c r="G6" s="2226" t="s">
        <v>1909</v>
      </c>
      <c r="H6" s="1395" t="s">
        <v>1910</v>
      </c>
      <c r="I6" s="938">
        <f>ROUND(F31/D31,2)</f>
        <v>4.1900000000000004</v>
      </c>
      <c r="J6" s="1388"/>
      <c r="K6" s="1388"/>
      <c r="L6" s="1388"/>
      <c r="M6" s="1388"/>
      <c r="N6" s="1388"/>
      <c r="O6" s="1388"/>
      <c r="P6" s="1388"/>
    </row>
    <row r="7" spans="1:16" ht="15">
      <c r="A7" s="3097"/>
      <c r="B7" s="3098"/>
      <c r="C7" s="3099"/>
      <c r="D7" s="2222" t="s">
        <v>1904</v>
      </c>
      <c r="E7" s="2227" t="s">
        <v>1911</v>
      </c>
      <c r="F7" s="1388"/>
      <c r="G7" s="2219" t="s">
        <v>1912</v>
      </c>
      <c r="H7" s="64"/>
      <c r="I7" s="419"/>
      <c r="J7" s="1388"/>
      <c r="K7" s="1388"/>
      <c r="L7" s="1388"/>
      <c r="M7" s="1388"/>
      <c r="N7" s="1388"/>
      <c r="O7" s="1388"/>
      <c r="P7" s="1388"/>
    </row>
    <row r="8" spans="1:16">
      <c r="A8" s="47" t="s">
        <v>1913</v>
      </c>
      <c r="B8" s="50" t="s">
        <v>1914</v>
      </c>
      <c r="C8" s="48" t="s">
        <v>1915</v>
      </c>
      <c r="D8" s="48">
        <f t="shared" ref="D8:D15" si="0">ROUND($D$3*E8/$E$3,2)</f>
        <v>4962.83</v>
      </c>
      <c r="E8" s="51">
        <f>SUMIF('数据-基础表'!BB10:BK10,"地上",'数据-基础表'!BB5:BK5)</f>
        <v>23800.559999999998</v>
      </c>
      <c r="F8" s="1388"/>
      <c r="G8" s="2228"/>
      <c r="H8" s="2228"/>
      <c r="I8" s="1388"/>
      <c r="J8" s="1388"/>
      <c r="K8" s="1388"/>
      <c r="L8" s="1388"/>
      <c r="M8" s="1388"/>
      <c r="N8" s="1388"/>
      <c r="O8" s="1388"/>
      <c r="P8" s="1388"/>
    </row>
    <row r="9" spans="1:16">
      <c r="A9" s="2229"/>
      <c r="B9" s="2230"/>
      <c r="C9" s="48" t="s">
        <v>1916</v>
      </c>
      <c r="D9" s="48">
        <f t="shared" si="0"/>
        <v>0</v>
      </c>
      <c r="E9" s="52">
        <v>0</v>
      </c>
      <c r="F9" s="1388"/>
      <c r="G9" s="2228"/>
      <c r="H9" s="2228"/>
      <c r="I9" s="1388"/>
      <c r="J9" s="1388"/>
      <c r="K9" s="1388"/>
      <c r="L9" s="1388"/>
      <c r="M9" s="1388"/>
      <c r="N9" s="1388"/>
      <c r="O9" s="1388"/>
      <c r="P9" s="1388"/>
    </row>
    <row r="10" spans="1:16">
      <c r="A10" s="2229"/>
      <c r="B10" s="2230"/>
      <c r="C10" s="48" t="s">
        <v>1924</v>
      </c>
      <c r="D10" s="48">
        <f t="shared" si="0"/>
        <v>0</v>
      </c>
      <c r="E10" s="51">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8" t="s">
        <v>1917</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1918</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1919</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1930</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1925</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1920</v>
      </c>
      <c r="D16" s="50">
        <f>SUM(D8:D15)</f>
        <v>4962.83</v>
      </c>
      <c r="E16" s="53">
        <f>SUM(E8:E15)</f>
        <v>23800.559999999998</v>
      </c>
      <c r="F16" s="1388"/>
      <c r="G16" s="2228"/>
      <c r="H16" s="2231" t="s">
        <v>1931</v>
      </c>
      <c r="I16" s="2232"/>
      <c r="J16" s="1388"/>
      <c r="K16" s="3094" t="s">
        <v>1931</v>
      </c>
      <c r="L16" s="3095"/>
      <c r="M16" s="3095"/>
      <c r="N16" s="3095"/>
      <c r="O16" s="3095"/>
      <c r="P16" s="3096"/>
    </row>
    <row r="17" spans="1:19" ht="15">
      <c r="A17" s="2233" t="s">
        <v>1932</v>
      </c>
      <c r="B17" s="2234" t="s">
        <v>1933</v>
      </c>
      <c r="C17" s="2235" t="s">
        <v>1934</v>
      </c>
      <c r="D17" s="2236" t="s">
        <v>1922</v>
      </c>
      <c r="E17" s="2237" t="s">
        <v>1923</v>
      </c>
      <c r="F17" s="2238"/>
      <c r="G17" s="2239"/>
      <c r="H17" s="2240" t="s">
        <v>1935</v>
      </c>
      <c r="I17" s="2241" t="s">
        <v>3255</v>
      </c>
      <c r="J17" s="1388"/>
      <c r="K17" s="3091" t="s">
        <v>1936</v>
      </c>
      <c r="L17" s="3092"/>
      <c r="M17" s="3093"/>
      <c r="N17" s="3091" t="s">
        <v>1937</v>
      </c>
      <c r="O17" s="3092"/>
      <c r="P17" s="3093"/>
      <c r="R17" s="2219" t="s">
        <v>1938</v>
      </c>
      <c r="S17" s="64"/>
    </row>
    <row r="18" spans="1:19" ht="15">
      <c r="A18" s="2229"/>
      <c r="B18" s="2242"/>
      <c r="C18" s="2243"/>
      <c r="D18" s="2244"/>
      <c r="E18" s="2245" t="s">
        <v>1939</v>
      </c>
      <c r="F18" s="2246" t="s">
        <v>1940</v>
      </c>
      <c r="G18" s="2247" t="s">
        <v>1941</v>
      </c>
      <c r="H18" s="1260" t="s">
        <v>1942</v>
      </c>
      <c r="I18" s="2248" t="s">
        <v>1943</v>
      </c>
      <c r="J18" s="1388"/>
      <c r="K18" s="1260" t="s">
        <v>1944</v>
      </c>
      <c r="L18" s="2249" t="s">
        <v>1945</v>
      </c>
      <c r="M18" s="1044" t="s">
        <v>1946</v>
      </c>
      <c r="N18" s="1260" t="s">
        <v>1944</v>
      </c>
      <c r="O18" s="2249" t="s">
        <v>1945</v>
      </c>
      <c r="P18" s="1044" t="s">
        <v>1946</v>
      </c>
      <c r="R18" s="1245" t="s">
        <v>1947</v>
      </c>
      <c r="S18" s="1245" t="s">
        <v>1948</v>
      </c>
    </row>
    <row r="19" spans="1:19">
      <c r="A19" s="2250"/>
      <c r="B19" s="50" t="s">
        <v>1921</v>
      </c>
      <c r="C19" s="2953"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8"/>
      <c r="K19" s="1387">
        <f t="shared" ref="K19:K26" si="3">ROUND(E$28*E19/E$27,2)</f>
        <v>3471.26</v>
      </c>
      <c r="L19" s="1245">
        <f t="shared" ref="L19:L26" si="4">ROUND(IF(COUNTIF(C19,"*住宅*")&gt;0,E$29*E19/E$32,0),2)</f>
        <v>0</v>
      </c>
      <c r="M19" s="1399">
        <f>K19+L19</f>
        <v>3471.26</v>
      </c>
      <c r="N19" s="2251">
        <f>'数据-基础表'!AN19</f>
        <v>0</v>
      </c>
      <c r="O19" s="2252"/>
      <c r="P19" s="1399">
        <f>N19+O19</f>
        <v>0</v>
      </c>
      <c r="R19" s="1245">
        <f t="shared" ref="R19:S26" si="5">D19+H19</f>
        <v>5686.65</v>
      </c>
      <c r="S19" s="1246">
        <f t="shared" si="5"/>
        <v>27271.82</v>
      </c>
    </row>
    <row r="20" spans="1:19">
      <c r="A20" s="2253"/>
      <c r="B20" s="50" t="s">
        <v>1949</v>
      </c>
      <c r="C20" s="2953"/>
      <c r="D20" s="48">
        <f t="shared" ref="D20:D26" si="6">ROUND($D$3*E20/$E$3,2)</f>
        <v>0</v>
      </c>
      <c r="E20" s="56">
        <f t="shared" si="1"/>
        <v>0</v>
      </c>
      <c r="F20" s="57"/>
      <c r="G20" s="58"/>
      <c r="H20" s="722">
        <f t="shared" ref="H20:H26" si="7">ROUND($D$3*I20/$E$3,2)</f>
        <v>0</v>
      </c>
      <c r="I20" s="51">
        <f t="shared" si="2"/>
        <v>0</v>
      </c>
      <c r="J20" s="1388"/>
      <c r="K20" s="1387">
        <f t="shared" si="3"/>
        <v>0</v>
      </c>
      <c r="L20" s="1245">
        <f t="shared" si="4"/>
        <v>0</v>
      </c>
      <c r="M20" s="1399">
        <f t="shared" ref="M20:M26" si="8">K20+L20</f>
        <v>0</v>
      </c>
      <c r="N20" s="2251"/>
      <c r="O20" s="2252"/>
      <c r="P20" s="1399">
        <f t="shared" ref="P20:P26" si="9">N20+O20</f>
        <v>0</v>
      </c>
      <c r="R20" s="1245">
        <f t="shared" si="5"/>
        <v>0</v>
      </c>
      <c r="S20" s="1246">
        <f t="shared" si="5"/>
        <v>0</v>
      </c>
    </row>
    <row r="21" spans="1:19">
      <c r="A21" s="2253"/>
      <c r="B21" s="50" t="s">
        <v>1949</v>
      </c>
      <c r="C21" s="2953"/>
      <c r="D21" s="48">
        <f t="shared" si="6"/>
        <v>0</v>
      </c>
      <c r="E21" s="56">
        <f t="shared" si="1"/>
        <v>0</v>
      </c>
      <c r="F21" s="57"/>
      <c r="G21" s="58"/>
      <c r="H21" s="722">
        <f t="shared" si="7"/>
        <v>0</v>
      </c>
      <c r="I21" s="51">
        <f t="shared" si="2"/>
        <v>0</v>
      </c>
      <c r="J21" s="1388"/>
      <c r="K21" s="1387">
        <f t="shared" si="3"/>
        <v>0</v>
      </c>
      <c r="L21" s="1245">
        <f t="shared" si="4"/>
        <v>0</v>
      </c>
      <c r="M21" s="1399">
        <f t="shared" si="8"/>
        <v>0</v>
      </c>
      <c r="N21" s="2251"/>
      <c r="O21" s="2252"/>
      <c r="P21" s="1399">
        <f t="shared" si="9"/>
        <v>0</v>
      </c>
      <c r="R21" s="1245">
        <f t="shared" si="5"/>
        <v>0</v>
      </c>
      <c r="S21" s="1246">
        <f t="shared" si="5"/>
        <v>0</v>
      </c>
    </row>
    <row r="22" spans="1:19">
      <c r="A22" s="2253"/>
      <c r="B22" s="50" t="s">
        <v>1949</v>
      </c>
      <c r="C22" s="60"/>
      <c r="D22" s="48">
        <f t="shared" si="6"/>
        <v>0</v>
      </c>
      <c r="E22" s="56">
        <f t="shared" si="1"/>
        <v>0</v>
      </c>
      <c r="F22" s="61"/>
      <c r="G22" s="62"/>
      <c r="H22" s="722">
        <f t="shared" si="7"/>
        <v>0</v>
      </c>
      <c r="I22" s="51">
        <f t="shared" si="2"/>
        <v>0</v>
      </c>
      <c r="J22" s="1388"/>
      <c r="K22" s="1387">
        <f t="shared" si="3"/>
        <v>0</v>
      </c>
      <c r="L22" s="1245">
        <f t="shared" si="4"/>
        <v>0</v>
      </c>
      <c r="M22" s="1399">
        <f t="shared" si="8"/>
        <v>0</v>
      </c>
      <c r="N22" s="2251"/>
      <c r="O22" s="2252"/>
      <c r="P22" s="1399">
        <f t="shared" si="9"/>
        <v>0</v>
      </c>
      <c r="R22" s="1245">
        <f t="shared" si="5"/>
        <v>0</v>
      </c>
      <c r="S22" s="1246">
        <f t="shared" si="5"/>
        <v>0</v>
      </c>
    </row>
    <row r="23" spans="1:19">
      <c r="A23" s="2253"/>
      <c r="B23" s="50" t="s">
        <v>1949</v>
      </c>
      <c r="C23" s="60"/>
      <c r="D23" s="48">
        <f>ROUND($D$3*E23/$E$3,2)</f>
        <v>0</v>
      </c>
      <c r="E23" s="56">
        <f>SUM(F23:G23)</f>
        <v>0</v>
      </c>
      <c r="F23" s="61"/>
      <c r="G23" s="62"/>
      <c r="H23" s="722">
        <f>ROUND($D$3*I23/$E$3,2)</f>
        <v>0</v>
      </c>
      <c r="I23" s="51">
        <f t="shared" si="2"/>
        <v>0</v>
      </c>
      <c r="J23" s="1388"/>
      <c r="K23" s="1387">
        <f t="shared" si="3"/>
        <v>0</v>
      </c>
      <c r="L23" s="1245">
        <f t="shared" si="4"/>
        <v>0</v>
      </c>
      <c r="M23" s="1399">
        <f t="shared" si="8"/>
        <v>0</v>
      </c>
      <c r="N23" s="2251"/>
      <c r="O23" s="2252"/>
      <c r="P23" s="1399">
        <f t="shared" si="9"/>
        <v>0</v>
      </c>
      <c r="R23" s="1245">
        <f t="shared" si="5"/>
        <v>0</v>
      </c>
      <c r="S23" s="1246">
        <f t="shared" si="5"/>
        <v>0</v>
      </c>
    </row>
    <row r="24" spans="1:19">
      <c r="A24" s="2253"/>
      <c r="B24" s="50" t="s">
        <v>1949</v>
      </c>
      <c r="C24" s="60"/>
      <c r="D24" s="48">
        <f>ROUND($D$3*E24/$E$3,2)</f>
        <v>0</v>
      </c>
      <c r="E24" s="56">
        <f>SUM(F24:G24)</f>
        <v>0</v>
      </c>
      <c r="F24" s="61"/>
      <c r="G24" s="62"/>
      <c r="H24" s="722">
        <f>ROUND($D$3*I24/$E$3,2)</f>
        <v>0</v>
      </c>
      <c r="I24" s="51">
        <f t="shared" si="2"/>
        <v>0</v>
      </c>
      <c r="J24" s="1388"/>
      <c r="K24" s="1387">
        <f t="shared" si="3"/>
        <v>0</v>
      </c>
      <c r="L24" s="1245">
        <f t="shared" si="4"/>
        <v>0</v>
      </c>
      <c r="M24" s="1399">
        <f t="shared" si="8"/>
        <v>0</v>
      </c>
      <c r="N24" s="2251"/>
      <c r="O24" s="2252"/>
      <c r="P24" s="1399">
        <f t="shared" si="9"/>
        <v>0</v>
      </c>
      <c r="R24" s="1245">
        <f t="shared" si="5"/>
        <v>0</v>
      </c>
      <c r="S24" s="1246">
        <f t="shared" si="5"/>
        <v>0</v>
      </c>
    </row>
    <row r="25" spans="1:19">
      <c r="A25" s="2253"/>
      <c r="B25" s="50" t="s">
        <v>1949</v>
      </c>
      <c r="C25" s="60"/>
      <c r="D25" s="48">
        <f t="shared" si="6"/>
        <v>0</v>
      </c>
      <c r="E25" s="56">
        <f t="shared" si="1"/>
        <v>0</v>
      </c>
      <c r="F25" s="61"/>
      <c r="G25" s="62"/>
      <c r="H25" s="47">
        <f t="shared" si="7"/>
        <v>0</v>
      </c>
      <c r="I25" s="51">
        <f t="shared" si="2"/>
        <v>0</v>
      </c>
      <c r="J25" s="1388"/>
      <c r="K25" s="1387">
        <f t="shared" si="3"/>
        <v>0</v>
      </c>
      <c r="L25" s="1245">
        <f t="shared" si="4"/>
        <v>0</v>
      </c>
      <c r="M25" s="1399">
        <f t="shared" si="8"/>
        <v>0</v>
      </c>
      <c r="N25" s="2251"/>
      <c r="O25" s="2252"/>
      <c r="P25" s="1399">
        <f t="shared" si="9"/>
        <v>0</v>
      </c>
      <c r="R25" s="1245">
        <f t="shared" si="5"/>
        <v>0</v>
      </c>
      <c r="S25" s="1246">
        <f t="shared" si="5"/>
        <v>0</v>
      </c>
    </row>
    <row r="26" spans="1:19">
      <c r="A26" s="2253"/>
      <c r="B26" s="50" t="s">
        <v>1949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4"/>
      <c r="O26" s="2255"/>
      <c r="P26" s="67">
        <f t="shared" si="9"/>
        <v>0</v>
      </c>
      <c r="R26" s="1245">
        <f t="shared" si="5"/>
        <v>0</v>
      </c>
      <c r="S26" s="1246">
        <f t="shared" si="5"/>
        <v>0</v>
      </c>
    </row>
    <row r="27" spans="1:19" ht="15.75" thickBot="1">
      <c r="A27" s="2253"/>
      <c r="B27" s="48"/>
      <c r="C27" s="2256" t="s">
        <v>1950</v>
      </c>
      <c r="D27" s="1389">
        <f>SUM(D19:D26)</f>
        <v>4962.83</v>
      </c>
      <c r="E27" s="1390">
        <f>IF(SUM(E19:E26)='数据-基础表'!BA5,SUM(E19:E26),IF(F27="地上面积有误","面积有误","地下面积有误"))</f>
        <v>23800.559999999998</v>
      </c>
      <c r="F27" s="1389">
        <f>IF(SUM(F19:F26)=E8,SUM(F19:F26),"地上面积有误")</f>
        <v>23800.559999999998</v>
      </c>
      <c r="G27" s="1391">
        <f>SUM(G19:G26)</f>
        <v>0</v>
      </c>
      <c r="H27" s="1392">
        <f>SUM(H19:H26)</f>
        <v>723.82</v>
      </c>
      <c r="I27" s="1393">
        <f>SUM(I19:I26)</f>
        <v>3471.26</v>
      </c>
      <c r="J27" s="1388"/>
      <c r="K27" s="1396">
        <f>SUM(K19:K26)</f>
        <v>3471.26</v>
      </c>
      <c r="L27" s="1397">
        <f>SUM(L19:L26)</f>
        <v>0</v>
      </c>
      <c r="M27" s="1400">
        <f>SUM(M19:M26)</f>
        <v>3471.26</v>
      </c>
      <c r="N27" s="1396">
        <f t="shared" ref="N27:O27" si="10">SUM(N19:N26)</f>
        <v>0</v>
      </c>
      <c r="O27" s="1397">
        <f t="shared" si="10"/>
        <v>0</v>
      </c>
      <c r="P27" s="1398">
        <f>SUM(P19:P26)</f>
        <v>0</v>
      </c>
      <c r="R27" s="1247">
        <f>IF(SUM(R19:R26)=$D$3,SUM(R19:R26),SUM(R19:R26)&amp;"误差"&amp;ROUND(SUM(R19:R26)-$D$3,2))</f>
        <v>5686.65</v>
      </c>
      <c r="S27" s="1245">
        <f>IF(SUM(S19:S26)=$E$3,SUM(S19:S26),SUM(S19:S26)&amp;"误差"&amp;ROUND(SUM(S19:S26)-E3,2))</f>
        <v>27271.82</v>
      </c>
    </row>
    <row r="28" spans="1:19">
      <c r="A28" s="2253"/>
      <c r="B28" s="50" t="s">
        <v>1951</v>
      </c>
      <c r="C28" s="1257" t="s">
        <v>1952</v>
      </c>
      <c r="D28" s="48">
        <f>ROUND($D$3*E28/$E$3,2)</f>
        <v>723.82</v>
      </c>
      <c r="E28" s="56">
        <f>SUM(F28:G28)</f>
        <v>3471.26</v>
      </c>
      <c r="F28" s="64">
        <f>'数据-基础表'!BQ5+'数据-基础表'!BS5</f>
        <v>0</v>
      </c>
      <c r="G28" s="65">
        <f>'数据-基础表'!BR5+'数据-基础表'!BT5</f>
        <v>3471.26</v>
      </c>
      <c r="H28" s="1388"/>
      <c r="I28" s="1388"/>
      <c r="J28" s="1388"/>
      <c r="K28" s="1388"/>
      <c r="L28" s="1388"/>
      <c r="M28" s="1388"/>
      <c r="N28" s="1388"/>
      <c r="O28" s="1388"/>
      <c r="P28" s="1388"/>
    </row>
    <row r="29" spans="1:19">
      <c r="A29" s="2253"/>
      <c r="B29" s="50" t="s">
        <v>1951</v>
      </c>
      <c r="C29" s="2257" t="s">
        <v>1953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3"/>
      <c r="B30" s="50"/>
      <c r="C30" s="2258" t="s">
        <v>1950</v>
      </c>
      <c r="D30" s="1389">
        <f>SUM(D28:D29)</f>
        <v>723.82</v>
      </c>
      <c r="E30" s="1389">
        <f>SUM(E28:E29)</f>
        <v>3471.26</v>
      </c>
      <c r="F30" s="1389">
        <f>SUM(F28:F29)</f>
        <v>0</v>
      </c>
      <c r="G30" s="1391">
        <f>SUM(G28:G29)</f>
        <v>3471.26</v>
      </c>
      <c r="H30" s="1388"/>
      <c r="I30" s="1388"/>
      <c r="J30" s="1388"/>
      <c r="K30" s="1388"/>
      <c r="L30" s="1388"/>
      <c r="M30" s="1388"/>
      <c r="N30" s="1388"/>
      <c r="O30" s="1388"/>
      <c r="P30" s="1388"/>
    </row>
    <row r="31" spans="1:19" ht="15.75" thickBot="1">
      <c r="A31" s="2259"/>
      <c r="B31" s="2260"/>
      <c r="C31" s="1006" t="s">
        <v>1954</v>
      </c>
      <c r="D31" s="728">
        <f>D27+D30</f>
        <v>5686.65</v>
      </c>
      <c r="E31" s="728">
        <f>E27+E30</f>
        <v>27271.82</v>
      </c>
      <c r="F31" s="729">
        <f>F27+F30</f>
        <v>23800.559999999998</v>
      </c>
      <c r="G31" s="730">
        <f>G27+G30</f>
        <v>3471.26</v>
      </c>
      <c r="H31" s="1388"/>
      <c r="I31" s="1388"/>
      <c r="J31" s="1388"/>
      <c r="K31" s="1388"/>
      <c r="L31" s="1388"/>
      <c r="M31" s="1388"/>
      <c r="N31" s="1388"/>
      <c r="O31" s="1388"/>
      <c r="P31" s="1388"/>
    </row>
    <row r="32" spans="1:19">
      <c r="A32" s="2224"/>
      <c r="B32" s="2224" t="s">
        <v>1955</v>
      </c>
      <c r="C32" s="2224"/>
      <c r="D32" s="2224"/>
      <c r="E32" s="1272">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7"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10"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1956</v>
      </c>
      <c r="B1" s="731"/>
      <c r="C1" s="1576"/>
      <c r="D1" s="2263"/>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1957</v>
      </c>
      <c r="B2" s="1264">
        <f>项目基本情况!D3</f>
        <v>44312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1958</v>
      </c>
      <c r="B4" s="2271"/>
      <c r="C4" s="2272"/>
      <c r="D4" s="2273"/>
      <c r="E4" s="2272" t="s">
        <v>1959</v>
      </c>
      <c r="F4" s="2272"/>
      <c r="G4" s="2272"/>
      <c r="H4" s="2272"/>
      <c r="I4" s="2272"/>
      <c r="J4" s="2274"/>
      <c r="K4" s="2275"/>
      <c r="L4" s="2276"/>
      <c r="M4" s="2272"/>
      <c r="N4" s="2272" t="s">
        <v>1960</v>
      </c>
      <c r="O4" s="2272"/>
      <c r="P4" s="2272"/>
      <c r="Q4" s="2272"/>
      <c r="R4" s="2272"/>
      <c r="S4" s="2274"/>
      <c r="T4" s="2277" t="str">
        <f>'数据-汇总表'!I17</f>
        <v>按面积比例</v>
      </c>
      <c r="U4" s="2271" t="s">
        <v>1961</v>
      </c>
      <c r="V4" s="2272"/>
      <c r="W4" s="2272"/>
      <c r="X4" s="2272"/>
      <c r="Y4" s="2274"/>
      <c r="Z4" s="2235" t="s">
        <v>1962</v>
      </c>
      <c r="AA4" s="2235"/>
      <c r="AB4" s="2235"/>
      <c r="AC4" s="2235"/>
      <c r="AD4" s="2235"/>
      <c r="AE4" s="2233" t="s">
        <v>1963</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1964</v>
      </c>
      <c r="B5" s="2280" t="s">
        <v>1965</v>
      </c>
      <c r="C5" s="2281" t="s">
        <v>1966</v>
      </c>
      <c r="D5" s="2282" t="s">
        <v>1967</v>
      </c>
      <c r="E5" s="1266" t="s">
        <v>1968</v>
      </c>
      <c r="F5" s="2283" t="s">
        <v>1969</v>
      </c>
      <c r="G5" s="1266" t="s">
        <v>1970</v>
      </c>
      <c r="H5" s="1266" t="s">
        <v>1971</v>
      </c>
      <c r="I5" s="1266" t="s">
        <v>1972</v>
      </c>
      <c r="J5" s="2284" t="s">
        <v>1973</v>
      </c>
      <c r="K5" s="2285" t="s">
        <v>1974</v>
      </c>
      <c r="L5" s="2286" t="s">
        <v>1975</v>
      </c>
      <c r="M5" s="2287" t="s">
        <v>1976</v>
      </c>
      <c r="N5" s="2288" t="s">
        <v>3065</v>
      </c>
      <c r="O5" s="2286" t="s">
        <v>1977</v>
      </c>
      <c r="P5" s="2289" t="s">
        <v>1978</v>
      </c>
      <c r="Q5" s="69" t="s">
        <v>1979</v>
      </c>
      <c r="R5" s="2290" t="s">
        <v>1980</v>
      </c>
      <c r="S5" s="2291" t="s">
        <v>1981</v>
      </c>
      <c r="T5" s="2292" t="s">
        <v>1982</v>
      </c>
      <c r="U5" s="1265" t="s">
        <v>1983</v>
      </c>
      <c r="V5" s="1266" t="s">
        <v>1984</v>
      </c>
      <c r="W5" s="1266" t="s">
        <v>1985</v>
      </c>
      <c r="X5" s="71"/>
      <c r="Y5" s="70" t="s">
        <v>1986</v>
      </c>
      <c r="Z5" s="2293" t="s">
        <v>1983</v>
      </c>
      <c r="AA5" s="1266" t="s">
        <v>1984</v>
      </c>
      <c r="AB5" s="1266" t="s">
        <v>1985</v>
      </c>
      <c r="AC5" s="71"/>
      <c r="AD5" s="71" t="s">
        <v>1986</v>
      </c>
      <c r="AE5" s="1265" t="s">
        <v>1987</v>
      </c>
      <c r="AF5" s="1266" t="s">
        <v>1988</v>
      </c>
      <c r="AG5" s="70" t="s">
        <v>1989</v>
      </c>
      <c r="AH5" s="1265" t="s">
        <v>1990</v>
      </c>
      <c r="AI5" s="2293" t="s">
        <v>1991</v>
      </c>
      <c r="AJ5" s="2293" t="s">
        <v>1992</v>
      </c>
      <c r="AK5" s="1266" t="s">
        <v>1993</v>
      </c>
      <c r="AL5" s="1266" t="s">
        <v>1994</v>
      </c>
      <c r="AM5" s="70" t="s">
        <v>1995</v>
      </c>
      <c r="AN5" s="2294" t="s">
        <v>1996</v>
      </c>
      <c r="AO5" s="2066" t="s">
        <v>1997</v>
      </c>
      <c r="AP5" s="1247" t="s">
        <v>1998</v>
      </c>
      <c r="AQ5" s="2295" t="s">
        <v>1999</v>
      </c>
      <c r="AR5" s="2295" t="s">
        <v>2000</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6" customFormat="1" ht="14.25">
      <c r="A6" s="2296" t="str">
        <f>'数据-汇总表'!C19</f>
        <v>酒店</v>
      </c>
      <c r="B6" s="2297" t="str">
        <f>IF(A6=0,"","经营性")</f>
        <v>经营性</v>
      </c>
      <c r="C6" s="2972" t="s">
        <v>1376</v>
      </c>
      <c r="D6" s="1049">
        <f>SUMIF(项目基本情况!D$12:I$12,C6,项目基本情况!D$14:I$14)</f>
        <v>40</v>
      </c>
      <c r="E6" s="1046">
        <f>IF(B6="","",SUMIF(项目基本情况!D$12:I$12,C6,项目基本情况!D$13:I$13))</f>
        <v>52199</v>
      </c>
      <c r="F6" s="72">
        <f>SUMIF(项目基本情况!D$12:I$12,C6,项目基本情况!D$15:I$15)</f>
        <v>21.6</v>
      </c>
      <c r="G6" s="73">
        <f>IF(ISERROR(ROUND(POWER(1+H6,D6-F6)*(POWER(1+H6,F6)-1)/(POWER(1+H6,D6)-1),3)),0,ROUND(POWER(1+H6,D6-F6)*(POWER(1+H6,F6)-1)/(POWER(1+H6,D6)-1),3))</f>
        <v>0.75900000000000001</v>
      </c>
      <c r="H6" s="801">
        <v>0.05</v>
      </c>
      <c r="I6" s="801">
        <v>5.5E-2</v>
      </c>
      <c r="J6" s="74">
        <v>8.5000000000000006E-2</v>
      </c>
      <c r="K6" s="1249">
        <f>SUMIF('数据-汇总表'!C$19:C$33,A6,'数据-汇总表'!E$19:E$33)</f>
        <v>23800.559999999998</v>
      </c>
      <c r="L6" s="802">
        <v>6000</v>
      </c>
      <c r="M6" s="75">
        <f t="shared" ref="M6:M14" si="0">ROUND(K6*L6/10000,0)</f>
        <v>14280</v>
      </c>
      <c r="N6" s="800">
        <f>ROUND(((1-(2021-1996)/60)+85%)/2,2)</f>
        <v>0.72</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39">
        <f>ROUND($L$14*S6/10000,0)</f>
        <v>1041</v>
      </c>
      <c r="U6" s="78">
        <f>ROUND(酒店收入计算!E23*10000,0)</f>
        <v>15378000</v>
      </c>
      <c r="V6" s="79">
        <v>0.03</v>
      </c>
      <c r="W6" s="79">
        <v>0</v>
      </c>
      <c r="X6" s="1259"/>
      <c r="Y6" s="80">
        <f>N6</f>
        <v>0.72</v>
      </c>
      <c r="Z6" s="81"/>
      <c r="AA6" s="74"/>
      <c r="AB6" s="74"/>
      <c r="AC6" s="1259"/>
      <c r="AD6" s="82"/>
      <c r="AE6" s="1260">
        <f ca="1">IF(AN6="",0,SUMIF(INDIRECT("'"&amp;AN6&amp;"'"&amp;"!E:E"),$AE$5,INDIRECT("'"&amp;AN6&amp;"'"&amp;"!F:F")))</f>
        <v>21.6</v>
      </c>
      <c r="AF6" s="1799"/>
      <c r="AG6" s="146">
        <f>IF(AF6="",0,AE6-AF6)</f>
        <v>0</v>
      </c>
      <c r="AH6" s="83">
        <v>1</v>
      </c>
      <c r="AI6" s="85">
        <v>1</v>
      </c>
      <c r="AJ6" s="86">
        <f>ROUND(368553.6*2*K16/'数据-基础表'!B3/10000,2)</f>
        <v>57.96</v>
      </c>
      <c r="AK6" s="2968">
        <v>1.4999999999999999E-2</v>
      </c>
      <c r="AL6" s="2969">
        <v>1.5E-3</v>
      </c>
      <c r="AM6" s="2970">
        <v>1.4999999999999999E-2</v>
      </c>
      <c r="AN6" s="2299" t="s">
        <v>3136</v>
      </c>
      <c r="AO6" s="55">
        <f ca="1">SUMIF(INDIRECT("'"&amp;AN6&amp;"'"&amp;"!A:A"),"总价",INDIRECT("'"&amp;AN6&amp;"'"&amp;"!B:B"))</f>
        <v>17415</v>
      </c>
      <c r="AP6" s="2300">
        <f>IF(C6="住宅",K6*L6,0)</f>
        <v>0</v>
      </c>
      <c r="AQ6" s="55">
        <f>ROUND($L$14*$N$14*S6/10000,0)</f>
        <v>750</v>
      </c>
      <c r="AR6" s="55">
        <f>ROUND($L$14*(1-$N$14)*S6/10000,0)</f>
        <v>292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c r="A7" s="2296">
        <f>'数据-汇总表'!C20</f>
        <v>0</v>
      </c>
      <c r="B7" s="2297" t="str">
        <f t="shared" ref="B7:B13" si="1">IF(A7=0,"","经营性")</f>
        <v/>
      </c>
      <c r="C7" s="297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9"/>
      <c r="Y7" s="80"/>
      <c r="Z7" s="81"/>
      <c r="AA7" s="74"/>
      <c r="AB7" s="74"/>
      <c r="AC7" s="1259"/>
      <c r="AD7" s="82"/>
      <c r="AE7" s="1260">
        <f t="shared" ref="AE7:AE13" ca="1" si="6">IF(AN7="",0,SUMIF(INDIRECT("'"&amp;AN7&amp;"'"&amp;"!E:E"),$AE$5,INDIRECT("'"&amp;AN7&amp;"'"&amp;"!F:F")))</f>
        <v>0</v>
      </c>
      <c r="AF7" s="1799"/>
      <c r="AG7" s="146">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c r="A8" s="2296">
        <f>'数据-汇总表'!C21</f>
        <v>0</v>
      </c>
      <c r="B8" s="2297" t="str">
        <f t="shared" si="1"/>
        <v/>
      </c>
      <c r="C8" s="297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39">
        <f t="shared" si="5"/>
        <v>0</v>
      </c>
      <c r="U8" s="83"/>
      <c r="V8" s="803"/>
      <c r="W8" s="803"/>
      <c r="X8" s="1259"/>
      <c r="Y8" s="804"/>
      <c r="Z8" s="81"/>
      <c r="AA8" s="74"/>
      <c r="AB8" s="74"/>
      <c r="AC8" s="1259"/>
      <c r="AD8" s="82"/>
      <c r="AE8" s="1260">
        <f t="shared" ca="1" si="6"/>
        <v>0</v>
      </c>
      <c r="AF8" s="1799"/>
      <c r="AG8" s="146">
        <f t="shared" si="7"/>
        <v>0</v>
      </c>
      <c r="AH8" s="83"/>
      <c r="AI8" s="85"/>
      <c r="AJ8" s="86"/>
      <c r="AK8" s="805"/>
      <c r="AL8" s="806"/>
      <c r="AM8" s="807"/>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c r="A9" s="2296">
        <f>'数据-汇总表'!C22</f>
        <v>0</v>
      </c>
      <c r="B9" s="2297" t="str">
        <f t="shared" si="1"/>
        <v/>
      </c>
      <c r="C9" s="297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9"/>
      <c r="Y9" s="80"/>
      <c r="Z9" s="81"/>
      <c r="AA9" s="74"/>
      <c r="AB9" s="74"/>
      <c r="AC9" s="1259"/>
      <c r="AD9" s="82"/>
      <c r="AE9" s="1260">
        <f t="shared" ca="1" si="6"/>
        <v>0</v>
      </c>
      <c r="AF9" s="1799"/>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9"/>
      <c r="Y10" s="80"/>
      <c r="Z10" s="81"/>
      <c r="AA10" s="74"/>
      <c r="AB10" s="74"/>
      <c r="AC10" s="1259"/>
      <c r="AD10" s="82"/>
      <c r="AE10" s="1260">
        <f t="shared" ca="1" si="6"/>
        <v>0</v>
      </c>
      <c r="AF10" s="1799"/>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9"/>
      <c r="Y11" s="80"/>
      <c r="Z11" s="93"/>
      <c r="AA11" s="74"/>
      <c r="AB11" s="74"/>
      <c r="AC11" s="1259"/>
      <c r="AD11" s="82"/>
      <c r="AE11" s="1260">
        <f t="shared" ca="1" si="6"/>
        <v>0</v>
      </c>
      <c r="AF11" s="1799"/>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9"/>
      <c r="Y12" s="80"/>
      <c r="Z12" s="93"/>
      <c r="AA12" s="74"/>
      <c r="AB12" s="74"/>
      <c r="AC12" s="1259"/>
      <c r="AD12" s="82"/>
      <c r="AE12" s="1260">
        <f t="shared" ca="1" si="6"/>
        <v>0</v>
      </c>
      <c r="AF12" s="1799"/>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9"/>
      <c r="Y13" s="80"/>
      <c r="Z13" s="81"/>
      <c r="AA13" s="74"/>
      <c r="AB13" s="74"/>
      <c r="AC13" s="1259"/>
      <c r="AD13" s="82"/>
      <c r="AE13" s="1260">
        <f t="shared" ca="1" si="6"/>
        <v>0</v>
      </c>
      <c r="AF13" s="1799"/>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2001</v>
      </c>
      <c r="B14" s="2297" t="s">
        <v>2002</v>
      </c>
      <c r="C14" s="2302" t="s">
        <v>2001</v>
      </c>
      <c r="D14" s="1049"/>
      <c r="E14" s="1046"/>
      <c r="F14" s="72"/>
      <c r="G14" s="73"/>
      <c r="H14" s="1248"/>
      <c r="I14" s="1248"/>
      <c r="J14" s="1248"/>
      <c r="K14" s="1249">
        <f>SUMIF('数据-汇总表'!C$19:C$33,A14,'数据-汇总表'!E$19:E$33)</f>
        <v>3471.26</v>
      </c>
      <c r="L14" s="91">
        <v>3000</v>
      </c>
      <c r="M14" s="75">
        <f t="shared" si="0"/>
        <v>1041</v>
      </c>
      <c r="N14" s="92">
        <f>N6</f>
        <v>0.72</v>
      </c>
      <c r="O14" s="75" t="str">
        <f t="shared" si="3"/>
        <v>——</v>
      </c>
      <c r="P14" s="76" t="str">
        <f t="shared" si="4"/>
        <v>——</v>
      </c>
      <c r="Q14" s="1252"/>
      <c r="R14" s="77"/>
      <c r="S14" s="54"/>
      <c r="T14" s="1439"/>
      <c r="U14" s="722"/>
      <c r="V14" s="1254"/>
      <c r="W14" s="1254"/>
      <c r="X14" s="1255"/>
      <c r="Y14" s="1256"/>
      <c r="Z14" s="1257"/>
      <c r="AA14" s="1258"/>
      <c r="AB14" s="1258"/>
      <c r="AC14" s="1259"/>
      <c r="AD14" s="1255"/>
      <c r="AE14" s="1260"/>
      <c r="AF14" s="55"/>
      <c r="AG14" s="146"/>
      <c r="AH14" s="1260"/>
      <c r="AI14" s="1810"/>
      <c r="AJ14" s="772"/>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2003</v>
      </c>
      <c r="B15" s="2297" t="s">
        <v>2002</v>
      </c>
      <c r="C15" s="2302" t="s">
        <v>2004</v>
      </c>
      <c r="D15" s="1049"/>
      <c r="E15" s="1046"/>
      <c r="F15" s="72"/>
      <c r="G15" s="73"/>
      <c r="H15" s="1248"/>
      <c r="I15" s="1248"/>
      <c r="J15" s="1248"/>
      <c r="K15" s="1249">
        <f>SUMIF('数据-汇总表'!C$19:C$33,A15,'数据-汇总表'!E$19:E$33)</f>
        <v>0</v>
      </c>
      <c r="L15" s="1250"/>
      <c r="M15" s="75"/>
      <c r="N15" s="1251"/>
      <c r="O15" s="75"/>
      <c r="P15" s="76"/>
      <c r="Q15" s="1252"/>
      <c r="R15" s="77"/>
      <c r="S15" s="54"/>
      <c r="T15" s="1439"/>
      <c r="U15" s="722"/>
      <c r="V15" s="1254"/>
      <c r="W15" s="1254"/>
      <c r="X15" s="1255"/>
      <c r="Y15" s="1256"/>
      <c r="Z15" s="1257"/>
      <c r="AA15" s="1258"/>
      <c r="AB15" s="1258"/>
      <c r="AC15" s="1259"/>
      <c r="AD15" s="1255"/>
      <c r="AE15" s="1260"/>
      <c r="AF15" s="55"/>
      <c r="AG15" s="146"/>
      <c r="AH15" s="1260"/>
      <c r="AI15" s="1810"/>
      <c r="AJ15" s="772"/>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2005</v>
      </c>
      <c r="B16" s="97"/>
      <c r="C16" s="1004"/>
      <c r="D16" s="2304"/>
      <c r="E16" s="97"/>
      <c r="F16" s="97"/>
      <c r="G16" s="98">
        <f>ROUND(SUMPRODUCT(G6:G13,K6:K13)/SUMPRODUCT((G6:G13&gt;0)*(K6:K13)),3)</f>
        <v>0.75900000000000001</v>
      </c>
      <c r="H16" s="99">
        <f>ROUND(SUMPRODUCT(H6:H13,K6:K13)/SUMPRODUCT((H6:H13&gt;0)*(K6:K13)),3)</f>
        <v>0.05</v>
      </c>
      <c r="I16" s="100"/>
      <c r="J16" s="100"/>
      <c r="K16" s="101">
        <f>SUM(K6:K15)</f>
        <v>27271.82</v>
      </c>
      <c r="L16" s="102">
        <f>ROUND(M16*10000/SUM(K6:K14),0)</f>
        <v>5618</v>
      </c>
      <c r="M16" s="102">
        <f>SUM(M6:M14)</f>
        <v>15321</v>
      </c>
      <c r="N16" s="103">
        <f>ROUND(SUMPRODUCT(M6:M14,N6:N14)/M16,3)</f>
        <v>0.72</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6"/>
      <c r="D17" s="2263"/>
      <c r="E17" s="2263"/>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2006</v>
      </c>
      <c r="B18" s="2270"/>
      <c r="C18" s="2267"/>
      <c r="D18" s="2268"/>
      <c r="E18" s="2267"/>
      <c r="F18" s="2267"/>
      <c r="G18" s="2267"/>
      <c r="H18" s="2267"/>
      <c r="I18" s="2267"/>
      <c r="J18" s="2267"/>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2007</v>
      </c>
      <c r="B19" s="112">
        <v>0</v>
      </c>
      <c r="C19" s="2267" t="s">
        <v>2008</v>
      </c>
      <c r="D19" s="2268"/>
      <c r="E19" s="2267"/>
      <c r="F19" s="2267"/>
      <c r="G19" s="2267"/>
      <c r="H19" s="2267"/>
      <c r="I19" s="2267"/>
      <c r="J19" s="2267"/>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2009</v>
      </c>
      <c r="B20" s="113">
        <v>2</v>
      </c>
      <c r="C20" s="2267" t="s">
        <v>2010</v>
      </c>
      <c r="D20" s="2268"/>
      <c r="E20" s="2267"/>
      <c r="F20" s="2267"/>
      <c r="G20" s="2267"/>
      <c r="H20" s="2267"/>
      <c r="I20" s="2267"/>
      <c r="J20" s="2267"/>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2011</v>
      </c>
      <c r="B21" s="113">
        <v>2</v>
      </c>
      <c r="C21" s="2267"/>
      <c r="D21" s="2268"/>
      <c r="E21" s="2267"/>
      <c r="F21" s="2267"/>
      <c r="G21" s="2267"/>
      <c r="H21" s="2267"/>
      <c r="I21" s="2267"/>
      <c r="J21" s="2267"/>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2012</v>
      </c>
      <c r="B22" s="114">
        <f>B19+B20</f>
        <v>2</v>
      </c>
      <c r="C22" s="2267"/>
      <c r="D22" s="2268"/>
      <c r="E22" s="2267"/>
      <c r="F22" s="2267"/>
      <c r="G22" s="2267"/>
      <c r="H22" s="2267"/>
      <c r="I22" s="2267"/>
      <c r="J22" s="2267"/>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2013</v>
      </c>
      <c r="B23" s="114">
        <f>B19+B21</f>
        <v>2</v>
      </c>
      <c r="C23" s="2267"/>
      <c r="D23" s="2268"/>
      <c r="E23" s="2267"/>
      <c r="F23" s="2267"/>
      <c r="G23" s="2267"/>
      <c r="H23" s="2267"/>
      <c r="I23" s="2267"/>
      <c r="J23" s="2267"/>
      <c r="K23" s="167"/>
      <c r="L23" s="167"/>
      <c r="M23" s="1576"/>
      <c r="N23" s="1576"/>
      <c r="O23" s="1576"/>
      <c r="P23" s="1576"/>
      <c r="Q23" s="1576"/>
      <c r="R23" s="1576"/>
      <c r="S23" s="1576"/>
      <c r="T23" s="2263"/>
      <c r="U23" s="2974"/>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2014</v>
      </c>
      <c r="B24" s="115">
        <f>B20-B21</f>
        <v>0</v>
      </c>
      <c r="C24" s="2267"/>
      <c r="D24" s="2268"/>
      <c r="E24" s="2267"/>
      <c r="F24" s="2267"/>
      <c r="G24" s="2267"/>
      <c r="H24" s="2267"/>
      <c r="I24" s="2267"/>
      <c r="J24" s="2267"/>
      <c r="K24" s="167"/>
      <c r="L24" s="167"/>
      <c r="M24" s="1576"/>
      <c r="N24" s="1576"/>
      <c r="O24" s="1576"/>
      <c r="P24" s="1576"/>
      <c r="Q24" s="1576"/>
      <c r="R24" s="1576"/>
      <c r="S24" s="1576"/>
      <c r="T24" s="2263"/>
      <c r="U24" s="2974"/>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2015</v>
      </c>
      <c r="B26" s="2310" t="s">
        <v>2016</v>
      </c>
      <c r="C26" s="2311" t="s">
        <v>2017</v>
      </c>
      <c r="D26" s="2268"/>
      <c r="E26" s="2267"/>
      <c r="F26" s="2267"/>
      <c r="G26" s="2267"/>
      <c r="H26" s="2267"/>
      <c r="I26" s="2267"/>
      <c r="J26" s="2267"/>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2018</v>
      </c>
      <c r="B27" s="2960">
        <v>290</v>
      </c>
      <c r="C27" s="2984" t="s">
        <v>3257</v>
      </c>
      <c r="D27" s="2313"/>
      <c r="E27" s="1423"/>
      <c r="F27" s="1423"/>
      <c r="G27" s="2267"/>
      <c r="H27" s="2267"/>
      <c r="I27" s="2267"/>
      <c r="J27" s="2267"/>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2019</v>
      </c>
      <c r="B28" s="2961">
        <v>290</v>
      </c>
      <c r="C28" s="2316"/>
      <c r="D28" s="2313"/>
      <c r="E28" s="1423"/>
      <c r="F28" s="1423"/>
      <c r="G28" s="2267"/>
      <c r="H28" s="2267"/>
      <c r="I28" s="2267"/>
      <c r="J28" s="2267"/>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2020</v>
      </c>
      <c r="B29" s="120">
        <f>ROUND(B28*K16/10000,0)</f>
        <v>791</v>
      </c>
      <c r="C29" s="1759" t="s">
        <v>2021</v>
      </c>
      <c r="D29" s="2313"/>
      <c r="E29" s="1423"/>
      <c r="F29" s="1423"/>
      <c r="G29" s="2267"/>
      <c r="H29" s="2267"/>
      <c r="I29" s="2267"/>
      <c r="J29" s="2267"/>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2022</v>
      </c>
      <c r="B30" s="723">
        <v>180</v>
      </c>
      <c r="C30" s="2316"/>
      <c r="D30" s="2313"/>
      <c r="E30" s="1423"/>
      <c r="F30" s="1423"/>
      <c r="G30" s="2267"/>
      <c r="H30" s="2267"/>
      <c r="I30" s="2267"/>
      <c r="J30" s="2267"/>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2023</v>
      </c>
      <c r="B31" s="119">
        <f>B30-B32</f>
        <v>180</v>
      </c>
      <c r="C31" s="1759"/>
      <c r="D31" s="2313"/>
      <c r="E31" s="1423"/>
      <c r="F31" s="1423"/>
      <c r="G31" s="2267"/>
      <c r="H31" s="2267"/>
      <c r="I31" s="2267"/>
      <c r="J31" s="2267"/>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2024</v>
      </c>
      <c r="B32" s="724">
        <v>0</v>
      </c>
      <c r="C32" s="2316"/>
      <c r="D32" s="2268"/>
      <c r="E32" s="2267"/>
      <c r="F32" s="2267"/>
      <c r="G32" s="2267"/>
      <c r="H32" s="2267"/>
      <c r="I32" s="2267"/>
      <c r="J32" s="2267"/>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2025</v>
      </c>
      <c r="B33" s="725">
        <v>0.03</v>
      </c>
      <c r="C33" s="1758" t="s">
        <v>2026</v>
      </c>
      <c r="D33" s="2268"/>
      <c r="E33" s="2267"/>
      <c r="F33" s="2267"/>
      <c r="G33" s="2267"/>
      <c r="H33" s="2267"/>
      <c r="I33" s="2267"/>
      <c r="J33" s="2267"/>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2027</v>
      </c>
      <c r="B34" s="121">
        <v>0</v>
      </c>
      <c r="C34" s="1758" t="s">
        <v>2028</v>
      </c>
      <c r="D34" s="2268" t="s">
        <v>2029</v>
      </c>
      <c r="E34" s="731"/>
      <c r="F34" s="2267"/>
      <c r="G34" s="2267"/>
      <c r="H34" s="2267"/>
      <c r="I34" s="2267"/>
      <c r="J34" s="2267"/>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2030</v>
      </c>
      <c r="B35" s="118">
        <v>180</v>
      </c>
      <c r="C35" s="1758" t="s">
        <v>2031</v>
      </c>
      <c r="D35" s="2313"/>
      <c r="E35" s="1423"/>
      <c r="F35" s="1423"/>
      <c r="G35" s="2267"/>
      <c r="H35" s="2267"/>
      <c r="I35" s="2267"/>
      <c r="J35" s="2267"/>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2032</v>
      </c>
      <c r="B36" s="122">
        <v>1.4999999999999999E-2</v>
      </c>
      <c r="C36" s="1758" t="s">
        <v>2033</v>
      </c>
      <c r="D36" s="2268"/>
      <c r="E36" s="2267"/>
      <c r="F36" s="2267"/>
      <c r="G36" s="2267"/>
      <c r="H36" s="2267"/>
      <c r="I36" s="2267"/>
      <c r="J36" s="2267"/>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2034</v>
      </c>
      <c r="B37" s="123">
        <v>0.02</v>
      </c>
      <c r="C37" s="1758" t="s">
        <v>2035</v>
      </c>
      <c r="D37" s="2268"/>
      <c r="E37" s="2267"/>
      <c r="F37" s="2267"/>
      <c r="G37" s="2267"/>
      <c r="H37" s="2267"/>
      <c r="I37" s="2267"/>
      <c r="J37" s="2267"/>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2036</v>
      </c>
      <c r="B38" s="121">
        <v>0.02</v>
      </c>
      <c r="C38" s="1758" t="s">
        <v>2035</v>
      </c>
      <c r="D38" s="2268"/>
      <c r="E38" s="2267"/>
      <c r="F38" s="2267"/>
      <c r="G38" s="2267"/>
      <c r="H38" s="2267"/>
      <c r="I38" s="2267"/>
      <c r="J38" s="2267"/>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2037</v>
      </c>
      <c r="B39" s="361">
        <f ca="1">存贷款利率!I1</f>
        <v>1.4999999999999999E-2</v>
      </c>
      <c r="C39" s="1758"/>
      <c r="D39" s="2268"/>
      <c r="E39" s="2267"/>
      <c r="F39" s="2267"/>
      <c r="G39" s="2267"/>
      <c r="H39" s="2267"/>
      <c r="I39" s="2267"/>
      <c r="J39" s="2267"/>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2038</v>
      </c>
      <c r="B40" s="3014">
        <v>4.3499999999999997E-2</v>
      </c>
      <c r="C40" s="1758" t="s">
        <v>2039</v>
      </c>
      <c r="D40" s="1576"/>
      <c r="E40" s="2268"/>
      <c r="F40" s="2267"/>
      <c r="G40" s="2267"/>
      <c r="H40" s="2267"/>
      <c r="I40" s="2267"/>
      <c r="J40" s="2267"/>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2040</v>
      </c>
      <c r="B41" s="124">
        <f>B42+B43</f>
        <v>5.6000000000000001E-2</v>
      </c>
      <c r="C41" s="1759"/>
      <c r="D41" s="1576"/>
      <c r="E41" s="2268"/>
      <c r="F41" s="2267"/>
      <c r="G41" s="2267"/>
      <c r="H41" s="2267"/>
      <c r="I41" s="2267"/>
      <c r="J41" s="2267"/>
      <c r="K41" s="167"/>
      <c r="L41" s="167"/>
      <c r="M41" s="1576"/>
      <c r="N41" s="1576"/>
      <c r="O41" s="1576"/>
      <c r="P41" s="1576"/>
      <c r="Q41" s="1576"/>
      <c r="R41" s="1576"/>
      <c r="S41" s="1576"/>
      <c r="T41" s="1576"/>
      <c r="U41" s="1576"/>
      <c r="V41" s="1576"/>
      <c r="W41" s="1576"/>
      <c r="X41" s="1576"/>
      <c r="Y41" s="1576"/>
      <c r="Z41" s="1576"/>
      <c r="AA41" s="1576"/>
      <c r="AB41" s="1576"/>
      <c r="AC41" s="1576"/>
      <c r="AD41" s="1576"/>
      <c r="AE41" s="1903"/>
      <c r="AF41" s="1576"/>
      <c r="AG41" s="1576"/>
      <c r="AH41" s="1576"/>
      <c r="AI41" s="1576"/>
      <c r="AJ41" s="1576"/>
      <c r="AK41" s="1576"/>
      <c r="AL41" s="1576"/>
      <c r="AM41" s="1576"/>
    </row>
    <row r="42" spans="1:67" ht="14.25">
      <c r="A42" s="2320" t="s">
        <v>2041</v>
      </c>
      <c r="B42" s="125">
        <v>0.05</v>
      </c>
      <c r="C42" s="2321">
        <f>IF(B2&lt;DATE(2016,5,1),0,B42)</f>
        <v>0.05</v>
      </c>
      <c r="D42" s="2268"/>
      <c r="E42" s="2267"/>
      <c r="F42" s="2267"/>
      <c r="G42" s="2267"/>
      <c r="H42" s="2267"/>
      <c r="I42" s="2267"/>
      <c r="J42" s="2267"/>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2042</v>
      </c>
      <c r="B43" s="126">
        <f>B42*(B44+B45+B46)+B47</f>
        <v>6.000000000000001E-3</v>
      </c>
      <c r="C43" s="1759"/>
      <c r="D43" s="2268"/>
      <c r="E43" s="2267"/>
      <c r="F43" s="2267"/>
      <c r="G43" s="2267"/>
      <c r="H43" s="2267"/>
      <c r="I43" s="2267"/>
      <c r="J43" s="2267"/>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2043</v>
      </c>
      <c r="B44" s="127">
        <v>7.0000000000000007E-2</v>
      </c>
      <c r="C44" s="1758" t="s">
        <v>2044</v>
      </c>
      <c r="D44" s="2268"/>
      <c r="E44" s="2267"/>
      <c r="F44" s="2267"/>
      <c r="G44" s="2267"/>
      <c r="H44" s="2267"/>
      <c r="I44" s="2267"/>
      <c r="J44" s="2267"/>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2045</v>
      </c>
      <c r="B45" s="125">
        <v>0.03</v>
      </c>
      <c r="C45" s="1759" t="s">
        <v>2046</v>
      </c>
      <c r="D45" s="2268"/>
      <c r="E45" s="2267"/>
      <c r="F45" s="2267"/>
      <c r="G45" s="2267"/>
      <c r="H45" s="2267"/>
      <c r="I45" s="2267"/>
      <c r="J45" s="2267"/>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2047</v>
      </c>
      <c r="B46" s="125">
        <v>0.02</v>
      </c>
      <c r="C46" s="1759" t="s">
        <v>2048</v>
      </c>
      <c r="D46" s="2268"/>
      <c r="E46" s="2267"/>
      <c r="F46" s="2267"/>
      <c r="G46" s="2267"/>
      <c r="H46" s="2267"/>
      <c r="I46" s="2267"/>
      <c r="J46" s="2267"/>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2049</v>
      </c>
      <c r="B47" s="128">
        <v>0</v>
      </c>
      <c r="C47" s="1759" t="s">
        <v>2050</v>
      </c>
      <c r="D47" s="2268"/>
      <c r="E47" s="2267"/>
      <c r="F47" s="2267"/>
      <c r="G47" s="2267"/>
      <c r="H47" s="2267"/>
      <c r="I47" s="2267"/>
      <c r="J47" s="2267"/>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2051</v>
      </c>
      <c r="B48" s="129">
        <v>0.03</v>
      </c>
      <c r="C48" s="1766" t="s">
        <v>2052</v>
      </c>
      <c r="D48" s="2268"/>
      <c r="E48" s="2267"/>
      <c r="F48" s="2267"/>
      <c r="G48" s="2267"/>
      <c r="H48" s="2267"/>
      <c r="I48" s="2267"/>
      <c r="J48" s="2267"/>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2053</v>
      </c>
      <c r="B49" s="125">
        <v>5.0000000000000001E-4</v>
      </c>
      <c r="C49" s="1766" t="s">
        <v>2054</v>
      </c>
      <c r="D49" s="2268"/>
      <c r="E49" s="2267"/>
      <c r="F49" s="2267"/>
      <c r="G49" s="2267"/>
      <c r="H49" s="2267"/>
      <c r="I49" s="2267"/>
      <c r="J49" s="2267"/>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2055</v>
      </c>
      <c r="B50" s="130">
        <v>1.2E-2</v>
      </c>
      <c r="C50" s="1423"/>
      <c r="D50" s="2268"/>
      <c r="E50" s="2267"/>
      <c r="F50" s="2267"/>
      <c r="G50" s="2267"/>
      <c r="H50" s="2267"/>
      <c r="I50" s="2267"/>
      <c r="J50" s="2267"/>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2056</v>
      </c>
      <c r="B51" s="131">
        <v>0.12</v>
      </c>
      <c r="C51" s="1423"/>
      <c r="D51" s="2268"/>
      <c r="E51" s="2267"/>
      <c r="F51" s="2267"/>
      <c r="G51" s="2267"/>
      <c r="H51" s="2267"/>
      <c r="I51" s="2267"/>
      <c r="J51" s="2267"/>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2057</v>
      </c>
      <c r="B52" s="132">
        <f>SUMIF(A54:A63,B53,B54:B63)</f>
        <v>16</v>
      </c>
      <c r="C52" s="1423"/>
      <c r="D52" s="2268"/>
      <c r="E52" s="2267"/>
      <c r="F52" s="2267"/>
      <c r="G52" s="2267"/>
      <c r="H52" s="2267"/>
      <c r="I52" s="2267"/>
      <c r="J52" s="2267"/>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2058</v>
      </c>
      <c r="B53" s="2326" t="s">
        <v>269</v>
      </c>
      <c r="C53" s="1423" t="s">
        <v>2059</v>
      </c>
      <c r="D53" s="2327" t="s">
        <v>2060</v>
      </c>
      <c r="E53" s="2267"/>
      <c r="F53" s="2267"/>
      <c r="G53" s="2267"/>
      <c r="H53" s="2267"/>
      <c r="I53" s="2267"/>
      <c r="J53" s="2267"/>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2061</v>
      </c>
      <c r="B54" s="3007">
        <v>20</v>
      </c>
      <c r="C54" s="1423">
        <v>30</v>
      </c>
      <c r="D54" s="2268"/>
      <c r="E54" s="2267"/>
      <c r="F54" s="2267"/>
      <c r="G54" s="2267"/>
      <c r="H54" s="2267"/>
      <c r="I54" s="2267"/>
      <c r="J54" s="2267"/>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2062</v>
      </c>
      <c r="B55" s="84">
        <v>16</v>
      </c>
      <c r="C55" s="1423">
        <v>24</v>
      </c>
      <c r="D55" s="2268"/>
      <c r="E55" s="2267"/>
      <c r="F55" s="2267"/>
      <c r="G55" s="2267"/>
      <c r="H55" s="2267"/>
      <c r="I55" s="2329"/>
      <c r="J55" s="2267"/>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2063</v>
      </c>
      <c r="B56" s="84">
        <v>12</v>
      </c>
      <c r="C56" s="1423">
        <v>18</v>
      </c>
      <c r="D56" s="2268"/>
      <c r="E56" s="2267"/>
      <c r="F56" s="2267"/>
      <c r="G56" s="2267"/>
      <c r="H56" s="2267"/>
      <c r="I56" s="2267"/>
      <c r="J56" s="2267"/>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2064</v>
      </c>
      <c r="B57" s="84">
        <v>10</v>
      </c>
      <c r="C57" s="1423">
        <v>12</v>
      </c>
      <c r="D57" s="2268"/>
      <c r="E57" s="2267"/>
      <c r="F57" s="2267"/>
      <c r="G57" s="2267"/>
      <c r="H57" s="2267"/>
      <c r="I57" s="2267"/>
      <c r="J57" s="2267"/>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2065</v>
      </c>
      <c r="B58" s="84">
        <v>8</v>
      </c>
      <c r="C58" s="1423">
        <v>3</v>
      </c>
      <c r="D58" s="2268"/>
      <c r="E58" s="2267"/>
      <c r="F58" s="2267"/>
      <c r="G58" s="2267"/>
      <c r="H58" s="2267"/>
      <c r="I58" s="2267"/>
      <c r="J58" s="2267"/>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2066</v>
      </c>
      <c r="B59" s="84">
        <v>6</v>
      </c>
      <c r="C59" s="1423">
        <v>1.5</v>
      </c>
      <c r="D59" s="2268"/>
      <c r="E59" s="2267"/>
      <c r="F59" s="2267"/>
      <c r="G59" s="2267"/>
      <c r="H59" s="2267"/>
      <c r="I59" s="2267"/>
      <c r="J59" s="2267"/>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2067</v>
      </c>
      <c r="B60" s="84"/>
      <c r="C60" s="2267"/>
      <c r="D60" s="2268"/>
      <c r="E60" s="2267"/>
      <c r="F60" s="2267"/>
      <c r="G60" s="2267"/>
      <c r="H60" s="2267"/>
      <c r="I60" s="2267"/>
      <c r="J60" s="2267"/>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2068</v>
      </c>
      <c r="B61" s="84"/>
      <c r="C61" s="2267"/>
      <c r="D61" s="2268"/>
      <c r="E61" s="2267"/>
      <c r="F61" s="2267"/>
      <c r="G61" s="2267"/>
      <c r="H61" s="2267"/>
      <c r="I61" s="2267"/>
      <c r="J61" s="2267"/>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2069</v>
      </c>
      <c r="B62" s="84"/>
      <c r="C62" s="2267"/>
      <c r="D62" s="2268"/>
      <c r="E62" s="2267"/>
      <c r="F62" s="2267"/>
      <c r="G62" s="2267"/>
      <c r="H62" s="2267"/>
      <c r="I62" s="2267"/>
      <c r="J62" s="2267"/>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2070</v>
      </c>
      <c r="B63" s="133"/>
      <c r="C63" s="2267"/>
      <c r="D63" s="2268"/>
      <c r="E63" s="2267"/>
      <c r="F63" s="2267"/>
      <c r="G63" s="2267"/>
      <c r="H63" s="2267"/>
      <c r="I63" s="2267"/>
      <c r="J63" s="2267"/>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6" t="s">
        <v>2071</v>
      </c>
      <c r="B1" s="3107"/>
      <c r="C1" s="3107"/>
      <c r="D1" s="3107"/>
      <c r="E1" s="3107"/>
      <c r="F1" s="3107"/>
      <c r="G1" s="310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2072</v>
      </c>
      <c r="D2" s="2356"/>
      <c r="E2" s="2357"/>
      <c r="F2" s="2276"/>
      <c r="G2" s="2355" t="s">
        <v>2073</v>
      </c>
      <c r="H2" s="2358"/>
      <c r="I2" s="2358"/>
      <c r="J2" s="2358"/>
      <c r="K2" s="2358"/>
      <c r="L2" s="2358"/>
      <c r="M2" s="2358"/>
      <c r="N2" s="2358"/>
      <c r="O2" s="2358"/>
      <c r="P2" s="2358"/>
      <c r="Q2" s="2358"/>
      <c r="R2" s="2358"/>
    </row>
    <row r="3" spans="1:29" ht="42.75">
      <c r="A3" s="414" t="s">
        <v>2074</v>
      </c>
      <c r="B3" s="1266" t="s">
        <v>2075</v>
      </c>
      <c r="C3" s="2954" t="s">
        <v>3067</v>
      </c>
      <c r="D3" s="2360"/>
      <c r="E3" s="430" t="s">
        <v>2074</v>
      </c>
      <c r="F3" s="2361" t="s">
        <v>2076</v>
      </c>
      <c r="G3" s="2362" t="s">
        <v>2077</v>
      </c>
      <c r="H3" s="2358"/>
      <c r="I3" s="2358"/>
      <c r="J3" s="2358"/>
      <c r="K3" s="2358"/>
      <c r="L3" s="2358"/>
      <c r="M3" s="2358"/>
      <c r="N3" s="2358"/>
      <c r="O3" s="2358"/>
      <c r="P3" s="2358"/>
      <c r="Q3" s="2358"/>
      <c r="R3" s="2358"/>
    </row>
    <row r="4" spans="1:29" ht="40.5">
      <c r="A4" s="430"/>
      <c r="B4" s="1790" t="s">
        <v>2078</v>
      </c>
      <c r="C4" s="2954" t="s">
        <v>3067</v>
      </c>
      <c r="D4" s="2360"/>
      <c r="E4" s="2363"/>
      <c r="F4" s="42" t="s">
        <v>2079</v>
      </c>
      <c r="G4" s="2364" t="s">
        <v>2080</v>
      </c>
      <c r="H4" s="2358"/>
      <c r="I4" s="2358"/>
      <c r="J4" s="2358"/>
      <c r="K4" s="2358"/>
      <c r="L4" s="2358"/>
      <c r="M4" s="2358"/>
      <c r="N4" s="2358"/>
      <c r="O4" s="2358"/>
      <c r="P4" s="2358"/>
      <c r="Q4" s="2358"/>
      <c r="R4" s="2358"/>
    </row>
    <row r="5" spans="1:29" ht="27">
      <c r="A5" s="430"/>
      <c r="B5" s="1790" t="s">
        <v>2081</v>
      </c>
      <c r="C5" s="2954" t="s">
        <v>3067</v>
      </c>
      <c r="D5" s="2360"/>
      <c r="E5" s="2363"/>
      <c r="F5" s="1790" t="s">
        <v>2082</v>
      </c>
      <c r="G5" s="2364" t="s">
        <v>2083</v>
      </c>
      <c r="H5" s="2358"/>
      <c r="I5" s="2358"/>
      <c r="J5" s="2358"/>
      <c r="K5" s="2358"/>
      <c r="L5" s="2358"/>
      <c r="M5" s="2358"/>
      <c r="N5" s="2358"/>
      <c r="O5" s="2358"/>
      <c r="P5" s="2358"/>
      <c r="Q5" s="2358"/>
      <c r="R5" s="2358"/>
    </row>
    <row r="6" spans="1:29" ht="15">
      <c r="A6" s="430"/>
      <c r="B6" s="1790" t="s">
        <v>2084</v>
      </c>
      <c r="C6" s="2954" t="s">
        <v>3067</v>
      </c>
      <c r="D6" s="2360"/>
      <c r="E6" s="2363"/>
      <c r="F6" s="1790" t="s">
        <v>2085</v>
      </c>
      <c r="G6" s="2364" t="s">
        <v>2086</v>
      </c>
      <c r="H6" s="2358"/>
      <c r="I6" s="2358"/>
      <c r="J6" s="2358"/>
      <c r="K6" s="2358"/>
      <c r="L6" s="2358"/>
      <c r="M6" s="2358"/>
      <c r="N6" s="2358"/>
      <c r="O6" s="2358"/>
      <c r="P6" s="2358"/>
      <c r="Q6" s="2358"/>
      <c r="R6" s="2358"/>
    </row>
    <row r="7" spans="1:29" ht="41.25" thickBot="1">
      <c r="A7" s="430"/>
      <c r="B7" s="1790" t="s">
        <v>2082</v>
      </c>
      <c r="C7" s="2954" t="s">
        <v>3067</v>
      </c>
      <c r="D7" s="2365"/>
      <c r="E7" s="2366"/>
      <c r="F7" s="2367" t="s">
        <v>2087</v>
      </c>
      <c r="G7" s="2368" t="s">
        <v>2088</v>
      </c>
      <c r="H7" s="2358"/>
      <c r="I7" s="2358"/>
      <c r="J7" s="2358"/>
      <c r="K7" s="2358"/>
      <c r="L7" s="2358"/>
      <c r="M7" s="2358"/>
      <c r="N7" s="2358"/>
      <c r="O7" s="2358"/>
      <c r="P7" s="2358"/>
      <c r="Q7" s="2358"/>
      <c r="R7" s="2358"/>
    </row>
    <row r="8" spans="1:29" ht="15">
      <c r="A8" s="430"/>
      <c r="B8" s="1790" t="s">
        <v>2085</v>
      </c>
      <c r="C8" s="2955" t="s">
        <v>3069</v>
      </c>
      <c r="D8" s="2365"/>
      <c r="E8" s="2365"/>
      <c r="F8" s="1131"/>
      <c r="G8" s="1131"/>
      <c r="H8" s="2358"/>
      <c r="I8" s="2358"/>
      <c r="J8" s="2358"/>
      <c r="K8" s="2358"/>
      <c r="L8" s="2358"/>
      <c r="M8" s="2358"/>
      <c r="N8" s="2358"/>
      <c r="O8" s="2358"/>
      <c r="P8" s="2358"/>
      <c r="Q8" s="2358"/>
      <c r="R8" s="2358"/>
    </row>
    <row r="9" spans="1:29" ht="15">
      <c r="A9" s="430"/>
      <c r="B9" s="1790" t="s">
        <v>2089</v>
      </c>
      <c r="C9" s="2954" t="s">
        <v>3256</v>
      </c>
      <c r="D9" s="2360"/>
      <c r="E9" s="2365"/>
      <c r="F9" s="1131"/>
      <c r="G9" s="1131"/>
      <c r="H9" s="2358"/>
      <c r="I9" s="2358"/>
      <c r="J9" s="2358"/>
      <c r="K9" s="2358"/>
      <c r="L9" s="2358"/>
      <c r="M9" s="2358"/>
      <c r="N9" s="2358"/>
      <c r="O9" s="2358"/>
      <c r="P9" s="2358"/>
      <c r="Q9" s="2358"/>
      <c r="R9" s="2358"/>
    </row>
    <row r="10" spans="1:29" s="116" customFormat="1" ht="15.75" thickBot="1">
      <c r="A10" s="2369"/>
      <c r="B10" s="2370" t="s">
        <v>2090</v>
      </c>
      <c r="C10" s="2371"/>
      <c r="D10" s="2360"/>
      <c r="E10" s="2360"/>
      <c r="F10" s="1131"/>
      <c r="G10" s="1131"/>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5"/>
      <c r="C11" s="2360"/>
      <c r="D11" s="2360"/>
      <c r="E11" s="2360"/>
      <c r="F11" s="2365"/>
      <c r="G11" s="1149"/>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9"/>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2091</v>
      </c>
      <c r="B13" s="2376"/>
      <c r="C13" s="2376"/>
      <c r="D13" s="2383"/>
      <c r="E13" s="2376"/>
      <c r="F13" s="2376"/>
      <c r="G13" s="2376"/>
    </row>
    <row r="14" spans="1:29" ht="15.75" thickBot="1">
      <c r="A14" s="2387"/>
      <c r="B14" s="2388"/>
      <c r="C14" s="2389" t="s">
        <v>2092</v>
      </c>
      <c r="D14" s="2360"/>
      <c r="E14" s="2390"/>
      <c r="F14" s="2390"/>
      <c r="G14" s="2355" t="s">
        <v>2093</v>
      </c>
    </row>
    <row r="15" spans="1:29" ht="42.75">
      <c r="A15" s="68" t="s">
        <v>2094</v>
      </c>
      <c r="B15" s="1265" t="s">
        <v>2075</v>
      </c>
      <c r="C15" s="2391" t="str">
        <f>C3</f>
        <v>较好</v>
      </c>
      <c r="D15" s="2360"/>
      <c r="E15" s="2392" t="s">
        <v>2095</v>
      </c>
      <c r="F15" s="1265" t="s">
        <v>2096</v>
      </c>
      <c r="G15" s="134" t="str">
        <f>G3</f>
        <v>估价对象位于XX开发区，园区建设成熟度XX，产业集聚程度XX</v>
      </c>
    </row>
    <row r="16" spans="1:29" ht="42.75">
      <c r="A16" s="644"/>
      <c r="B16" s="2393" t="s">
        <v>2078</v>
      </c>
      <c r="C16" s="2394" t="str">
        <f>C4</f>
        <v>较好</v>
      </c>
      <c r="D16" s="2360"/>
      <c r="E16" s="2395"/>
      <c r="F16" s="2396" t="s">
        <v>2079</v>
      </c>
      <c r="G16" s="135" t="str">
        <f>G4</f>
        <v>估价对象周边道路状况、公共交通通达情况、停车便捷程度，综合评价交通便捷度较好</v>
      </c>
    </row>
    <row r="17" spans="1:18" ht="15">
      <c r="A17" s="644"/>
      <c r="B17" s="2393" t="s">
        <v>2081</v>
      </c>
      <c r="C17" s="2394" t="str">
        <f>C5</f>
        <v>较好</v>
      </c>
      <c r="D17" s="2365"/>
      <c r="E17" s="2395"/>
      <c r="F17" s="2396" t="s">
        <v>2097</v>
      </c>
      <c r="G17" s="1564"/>
    </row>
    <row r="18" spans="1:18" ht="42.75">
      <c r="A18" s="644"/>
      <c r="B18" s="2396" t="s">
        <v>2084</v>
      </c>
      <c r="C18" s="135" t="str">
        <f>C6</f>
        <v>较好</v>
      </c>
      <c r="D18" s="2365"/>
      <c r="E18" s="2395"/>
      <c r="F18" s="2396" t="s">
        <v>2087</v>
      </c>
      <c r="G18" s="135" t="str">
        <f>G7</f>
        <v>该园区内是否有污染型企业，绿化情况，卫生条件，整体环境状况判断</v>
      </c>
    </row>
    <row r="19" spans="1:18" ht="28.5">
      <c r="A19" s="644"/>
      <c r="B19" s="2396" t="s">
        <v>2098</v>
      </c>
      <c r="C19" s="2954" t="s">
        <v>3067</v>
      </c>
      <c r="D19" s="2360"/>
      <c r="E19" s="2395"/>
      <c r="F19" s="1790" t="s">
        <v>2082</v>
      </c>
      <c r="G19" s="135" t="str">
        <f>G5</f>
        <v>估价对象所在区域公共配套设施齐备情况</v>
      </c>
    </row>
    <row r="20" spans="1:18" ht="15">
      <c r="A20" s="644"/>
      <c r="B20" s="2396" t="s">
        <v>2099</v>
      </c>
      <c r="C20" s="2394" t="str">
        <f>C9</f>
        <v>较好</v>
      </c>
      <c r="D20" s="2365"/>
      <c r="E20" s="2395"/>
      <c r="F20" s="1790" t="s">
        <v>2100</v>
      </c>
      <c r="G20" s="135" t="str">
        <f>G6</f>
        <v>估价对象所在区域基础设施水平</v>
      </c>
    </row>
    <row r="21" spans="1:18" ht="15">
      <c r="A21" s="644"/>
      <c r="B21" s="1790" t="s">
        <v>2082</v>
      </c>
      <c r="C21" s="135" t="str">
        <f>C7</f>
        <v>较好</v>
      </c>
      <c r="D21" s="2360"/>
      <c r="E21" s="2395"/>
      <c r="F21" s="2396" t="s">
        <v>2101</v>
      </c>
      <c r="G21" s="2397"/>
    </row>
    <row r="22" spans="1:18" ht="13.5" customHeight="1">
      <c r="A22" s="644"/>
      <c r="B22" s="1790" t="s">
        <v>2085</v>
      </c>
      <c r="C22" s="135" t="str">
        <f>C8</f>
        <v>六通</v>
      </c>
      <c r="D22" s="2360"/>
      <c r="E22" s="2395"/>
      <c r="F22" s="2396" t="s">
        <v>2090</v>
      </c>
      <c r="G22" s="1564"/>
    </row>
    <row r="23" spans="1:18" s="2358" customFormat="1" ht="15.75" thickBot="1">
      <c r="A23" s="644"/>
      <c r="B23" s="2396" t="s">
        <v>2101</v>
      </c>
      <c r="C23" s="2397" t="s">
        <v>3070</v>
      </c>
      <c r="D23" s="2384"/>
      <c r="E23" s="2398"/>
      <c r="F23" s="2399" t="s">
        <v>2102</v>
      </c>
      <c r="G23" s="2400"/>
      <c r="H23" s="2384"/>
      <c r="I23" s="2385"/>
      <c r="J23" s="2384"/>
      <c r="K23" s="2384"/>
      <c r="L23" s="2385"/>
      <c r="M23" s="2384"/>
      <c r="N23" s="2384"/>
      <c r="O23" s="2385"/>
      <c r="P23" s="2384"/>
      <c r="Q23" s="2384"/>
      <c r="R23" s="2386"/>
    </row>
    <row r="24" spans="1:18" s="2358" customFormat="1" ht="15.75" thickBot="1">
      <c r="A24" s="2401"/>
      <c r="B24" s="2399" t="s">
        <v>2103</v>
      </c>
      <c r="C24" s="136">
        <f>C10</f>
        <v>0</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8"/>
  <sheetViews>
    <sheetView zoomScaleNormal="100" workbookViewId="0">
      <selection activeCell="B8" sqref="B8"/>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34682.94</v>
      </c>
      <c r="C1" s="1737"/>
      <c r="D1" s="1737"/>
      <c r="E1" s="1737"/>
      <c r="F1" s="1737"/>
      <c r="G1" s="1735"/>
    </row>
    <row r="2" spans="1:10" ht="16.5">
      <c r="A2" s="1738" t="s">
        <v>1352</v>
      </c>
      <c r="B2" s="1738">
        <f>SUM(C14:C23)</f>
        <v>7232</v>
      </c>
      <c r="C2" s="1737"/>
      <c r="D2" s="1737"/>
      <c r="E2" s="1737"/>
      <c r="F2" s="1737"/>
      <c r="G2" s="1735"/>
    </row>
    <row r="3" spans="1:10" ht="16.5">
      <c r="A3" s="1738" t="s">
        <v>1361</v>
      </c>
      <c r="B3" s="1739">
        <f>项目基本情况!D3</f>
        <v>44312</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39040</v>
      </c>
      <c r="C5" s="1738">
        <f ca="1">ROUND(B5*10000/$B$1,0)</f>
        <v>11256</v>
      </c>
      <c r="D5" s="1738">
        <f ca="1">ROUND(B5*10000/$B$2,0)</f>
        <v>53982</v>
      </c>
      <c r="E5" s="1737"/>
      <c r="F5" s="1735"/>
      <c r="G5" s="1735"/>
    </row>
    <row r="6" spans="1:10" ht="16.5">
      <c r="A6" s="1738" t="s">
        <v>1355</v>
      </c>
      <c r="B6" s="1738">
        <f>SUM(G14:G23)</f>
        <v>0</v>
      </c>
      <c r="C6" s="1738">
        <f>ROUND(B6*10000/$B$1,0)</f>
        <v>0</v>
      </c>
      <c r="D6" s="1738">
        <f>ROUND(B6*10000/$B$2,0)</f>
        <v>0</v>
      </c>
      <c r="E6" s="1737"/>
      <c r="F6" s="1735"/>
      <c r="G6" s="1735"/>
    </row>
    <row r="7" spans="1:10" ht="16.5">
      <c r="A7" s="1738" t="s">
        <v>1363</v>
      </c>
      <c r="B7" s="1738">
        <f ca="1">SUM(H14:H23)</f>
        <v>39040</v>
      </c>
      <c r="C7" s="1738">
        <f ca="1">ROUND(B7*10000/$B$1,0)</f>
        <v>11256</v>
      </c>
      <c r="D7" s="1738">
        <f ca="1">ROUND(B7*10000/$B$2,0)</f>
        <v>53982</v>
      </c>
      <c r="E7" s="1737"/>
      <c r="F7" s="1735"/>
      <c r="G7" s="1735"/>
    </row>
    <row r="8" spans="1:10" ht="16.5">
      <c r="A8" s="1738" t="s">
        <v>1284</v>
      </c>
      <c r="B8" s="1738">
        <f ca="1">SUM(I14:I23)</f>
        <v>36802</v>
      </c>
      <c r="C8" s="1738">
        <f ca="1">ROUND(B8*10000/$B$1,0)</f>
        <v>10611</v>
      </c>
      <c r="D8" s="1738">
        <f ca="1">ROUND(B8*10000/$B$2,0)</f>
        <v>50888</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27271.82</v>
      </c>
      <c r="C14" s="1736">
        <f>结果表!C118</f>
        <v>5686.65</v>
      </c>
      <c r="D14" s="1736">
        <f ca="1">结果表!H118</f>
        <v>32076</v>
      </c>
      <c r="E14" s="1736">
        <f ca="1">ROUND(D14*10000/B14,0)</f>
        <v>11762</v>
      </c>
      <c r="F14" s="1736">
        <f ca="1">ROUND(D14*10000/C14,0)</f>
        <v>56406</v>
      </c>
      <c r="G14" s="1736" t="str">
        <f>结果表!D122</f>
        <v>——</v>
      </c>
      <c r="H14" s="1736">
        <f ca="1">结果表!D124</f>
        <v>32076</v>
      </c>
      <c r="I14" s="1736">
        <f ca="1">结果表!N59+'结果表 (酒店净值2)'!N59</f>
        <v>29853</v>
      </c>
      <c r="J14" s="1735"/>
    </row>
    <row r="15" spans="1:10" ht="16.5">
      <c r="A15" s="1734" t="s">
        <v>1348</v>
      </c>
      <c r="B15" s="2983">
        <f>[1]系统读取表!$B$14</f>
        <v>7411.12</v>
      </c>
      <c r="C15" s="2983">
        <f>[1]系统读取表!$C$14</f>
        <v>1545.35</v>
      </c>
      <c r="D15" s="2983">
        <f ca="1">[1]系统读取表!$D$14</f>
        <v>6964</v>
      </c>
      <c r="E15" s="1736">
        <f t="shared" ref="E15:E23" ca="1" si="0">ROUND(D15*10000/B15,0)</f>
        <v>9397</v>
      </c>
      <c r="F15" s="1736">
        <f t="shared" ref="F15:F23" ca="1" si="1">ROUND(D15*10000/C15,0)</f>
        <v>45064</v>
      </c>
      <c r="G15" s="2983" t="str">
        <f>[1]系统读取表!$G$14</f>
        <v>——</v>
      </c>
      <c r="H15" s="2983">
        <f ca="1">[1]系统读取表!$H$14</f>
        <v>6964</v>
      </c>
      <c r="I15" s="2983">
        <f ca="1">[1]系统读取表!$I$14</f>
        <v>6949</v>
      </c>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row r="28" spans="1:9">
      <c r="A28" s="1733" t="s">
        <v>3294</v>
      </c>
      <c r="B28" s="1733">
        <f>B14</f>
        <v>27271.82</v>
      </c>
      <c r="D28" s="1733">
        <f ca="1">结果表!D118</f>
        <v>15052</v>
      </c>
      <c r="F28" s="1733">
        <f ca="1">结果表!F118</f>
        <v>17024</v>
      </c>
    </row>
    <row r="29" spans="1:9" ht="14.25" thickBot="1">
      <c r="A29" s="1733" t="s">
        <v>3295</v>
      </c>
      <c r="B29" s="1733">
        <f>B15</f>
        <v>7411.12</v>
      </c>
      <c r="D29" s="1733">
        <f ca="1">[1]结果表!$D$118</f>
        <v>4467</v>
      </c>
      <c r="F29" s="1733">
        <f ca="1">[1]结果表!$F$118</f>
        <v>2497</v>
      </c>
    </row>
    <row r="30" spans="1:9" ht="14.25" thickTop="1">
      <c r="A30" s="3110" t="s">
        <v>3287</v>
      </c>
      <c r="B30" s="3110" t="s">
        <v>3179</v>
      </c>
      <c r="C30" s="3110" t="s">
        <v>3180</v>
      </c>
      <c r="D30" s="3108" t="s">
        <v>3165</v>
      </c>
      <c r="E30" s="3109"/>
      <c r="F30" s="3108" t="s">
        <v>3258</v>
      </c>
      <c r="G30" s="3109"/>
      <c r="H30" s="3108" t="s">
        <v>3167</v>
      </c>
      <c r="I30" s="3109"/>
    </row>
    <row r="31" spans="1:9">
      <c r="A31" s="3111"/>
      <c r="B31" s="3111"/>
      <c r="C31" s="3111"/>
      <c r="D31" s="3008" t="s">
        <v>3288</v>
      </c>
      <c r="E31" s="3008" t="s">
        <v>3169</v>
      </c>
      <c r="F31" s="3008" t="s">
        <v>3289</v>
      </c>
      <c r="G31" s="3008" t="s">
        <v>3169</v>
      </c>
      <c r="H31" s="3008" t="s">
        <v>3289</v>
      </c>
      <c r="I31" s="3008" t="s">
        <v>3169</v>
      </c>
    </row>
    <row r="32" spans="1:9" ht="25.5">
      <c r="A32" s="3009" t="s">
        <v>3290</v>
      </c>
      <c r="B32" s="3010">
        <v>34682.94</v>
      </c>
      <c r="C32" s="3010">
        <v>7232</v>
      </c>
      <c r="D32" s="3010">
        <f ca="1">D28+D29</f>
        <v>19519</v>
      </c>
      <c r="E32" s="3010">
        <f ca="1">ROUND(D32*10000/B32,0)</f>
        <v>5628</v>
      </c>
      <c r="F32" s="3010">
        <f ca="1">F28+F29</f>
        <v>19521</v>
      </c>
      <c r="G32" s="3010">
        <f ca="1">ROUND(F32*10000/B32,0)</f>
        <v>5628</v>
      </c>
      <c r="H32" s="3010">
        <f ca="1">D32+F32</f>
        <v>39040</v>
      </c>
      <c r="I32" s="3010">
        <f ca="1">ROUND(H32*10000/B32,0)</f>
        <v>11256</v>
      </c>
    </row>
    <row r="33" spans="1:9">
      <c r="A33" s="3112" t="s">
        <v>3291</v>
      </c>
      <c r="B33" s="3113"/>
      <c r="C33" s="3114"/>
      <c r="D33" s="3112" t="s">
        <v>3312</v>
      </c>
      <c r="E33" s="3114"/>
      <c r="F33" s="3112" t="s">
        <v>3313</v>
      </c>
      <c r="G33" s="3114"/>
      <c r="H33" s="3112" t="s">
        <v>3310</v>
      </c>
      <c r="I33" s="3114"/>
    </row>
    <row r="34" spans="1:9">
      <c r="A34" s="3115" t="s">
        <v>3292</v>
      </c>
      <c r="B34" s="3116"/>
      <c r="C34" s="3117"/>
      <c r="D34" s="3118">
        <v>0</v>
      </c>
      <c r="E34" s="3119"/>
      <c r="F34" s="3119"/>
      <c r="G34" s="3119"/>
      <c r="H34" s="3119"/>
      <c r="I34" s="3120"/>
    </row>
    <row r="35" spans="1:9">
      <c r="A35" s="3112" t="s">
        <v>3291</v>
      </c>
      <c r="B35" s="3113"/>
      <c r="C35" s="3114"/>
      <c r="D35" s="3112" t="s">
        <v>3293</v>
      </c>
      <c r="E35" s="3113"/>
      <c r="F35" s="3113"/>
      <c r="G35" s="3113"/>
      <c r="H35" s="3113"/>
      <c r="I35" s="3114"/>
    </row>
    <row r="36" spans="1:9">
      <c r="A36" s="3115" t="s">
        <v>3032</v>
      </c>
      <c r="B36" s="3116"/>
      <c r="C36" s="3117"/>
      <c r="D36" s="3121">
        <f ca="1">H32-D34</f>
        <v>39040</v>
      </c>
      <c r="E36" s="3122"/>
      <c r="F36" s="3122"/>
      <c r="G36" s="3122"/>
      <c r="H36" s="3122"/>
      <c r="I36" s="3123"/>
    </row>
    <row r="37" spans="1:9" ht="14.25" thickBot="1">
      <c r="A37" s="3124" t="s">
        <v>3291</v>
      </c>
      <c r="B37" s="3125"/>
      <c r="C37" s="3126"/>
      <c r="D37" s="3124" t="str">
        <f>H33</f>
        <v>叁亿玖仟零肆拾万元整</v>
      </c>
      <c r="E37" s="3125"/>
      <c r="F37" s="3125"/>
      <c r="G37" s="3125"/>
      <c r="H37" s="3125"/>
      <c r="I37" s="3126"/>
    </row>
    <row r="38" spans="1:9" ht="14.25" thickTop="1"/>
  </sheetData>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9" zoomScaleNormal="100" zoomScaleSheetLayoutView="100" zoomScalePageLayoutView="80" workbookViewId="0">
      <selection activeCell="C72" sqref="C72:C81"/>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92" t="str">
        <f>项目基本情况!S2</f>
        <v>重庆市南岸区江南大道69号（南坪街道南坪南路318号）房地产房地产</v>
      </c>
      <c r="B2" s="3193"/>
      <c r="C2" s="3193"/>
      <c r="D2" s="3193"/>
      <c r="E2" s="3193"/>
      <c r="F2" s="3193"/>
      <c r="G2" s="3193"/>
      <c r="H2" s="3193"/>
      <c r="I2" s="3194"/>
    </row>
    <row r="3" spans="1:12" ht="12.75">
      <c r="A3" s="3195" t="s">
        <v>2106</v>
      </c>
      <c r="B3" s="3196"/>
      <c r="C3" s="3196"/>
      <c r="D3" s="3196"/>
      <c r="E3" s="3196"/>
      <c r="F3" s="3196"/>
      <c r="G3" s="3196"/>
      <c r="H3" s="3196"/>
      <c r="I3" s="3196"/>
    </row>
    <row r="4" spans="1:12" ht="14.25">
      <c r="A4" s="2414" t="s">
        <v>2107</v>
      </c>
      <c r="B4" s="2415" t="s">
        <v>2108</v>
      </c>
      <c r="C4" s="2416" t="s">
        <v>3141</v>
      </c>
      <c r="D4" s="2416" t="s">
        <v>3136</v>
      </c>
      <c r="E4" s="3175" t="s">
        <v>2109</v>
      </c>
      <c r="F4" s="3189"/>
      <c r="G4" s="3189"/>
      <c r="H4" s="3189"/>
      <c r="I4" s="3176"/>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62" t="s">
        <v>2110</v>
      </c>
      <c r="B5" s="3081">
        <v>25</v>
      </c>
      <c r="C5" s="3197"/>
      <c r="D5" s="3163"/>
      <c r="E5" s="139" t="s">
        <v>2111</v>
      </c>
      <c r="F5" s="2418"/>
      <c r="G5" s="2418"/>
      <c r="H5" s="2418"/>
      <c r="I5" s="1826"/>
    </row>
    <row r="6" spans="1:12" ht="12.75">
      <c r="A6" s="3162"/>
      <c r="B6" s="3081"/>
      <c r="C6" s="3199"/>
      <c r="D6" s="3163"/>
      <c r="E6" s="139" t="s">
        <v>2112</v>
      </c>
      <c r="F6" s="2418"/>
      <c r="G6" s="2418"/>
      <c r="H6" s="2418"/>
      <c r="I6" s="1826"/>
    </row>
    <row r="7" spans="1:12" ht="12.75">
      <c r="A7" s="3162"/>
      <c r="B7" s="3081"/>
      <c r="C7" s="3198"/>
      <c r="D7" s="3163"/>
      <c r="E7" s="139" t="s">
        <v>2113</v>
      </c>
      <c r="F7" s="2418"/>
      <c r="G7" s="2418"/>
      <c r="H7" s="2418"/>
      <c r="I7" s="1826"/>
    </row>
    <row r="8" spans="1:12" ht="12.75">
      <c r="A8" s="3162" t="s">
        <v>2114</v>
      </c>
      <c r="B8" s="3081">
        <v>15</v>
      </c>
      <c r="C8" s="3197"/>
      <c r="D8" s="3163"/>
      <c r="E8" s="139" t="s">
        <v>2115</v>
      </c>
      <c r="F8" s="2418"/>
      <c r="G8" s="2418"/>
      <c r="H8" s="2418"/>
      <c r="I8" s="1826"/>
    </row>
    <row r="9" spans="1:12" ht="12.75">
      <c r="A9" s="3162"/>
      <c r="B9" s="3081"/>
      <c r="C9" s="3198"/>
      <c r="D9" s="3163"/>
      <c r="E9" s="139" t="s">
        <v>2116</v>
      </c>
      <c r="F9" s="2418"/>
      <c r="G9" s="2418"/>
      <c r="H9" s="2418"/>
      <c r="I9" s="1826"/>
    </row>
    <row r="10" spans="1:12" ht="12.75">
      <c r="A10" s="3162" t="s">
        <v>2117</v>
      </c>
      <c r="B10" s="3081">
        <v>15</v>
      </c>
      <c r="C10" s="3197"/>
      <c r="D10" s="3163"/>
      <c r="E10" s="139" t="s">
        <v>2118</v>
      </c>
      <c r="F10" s="2418"/>
      <c r="G10" s="2418"/>
      <c r="H10" s="2418"/>
      <c r="I10" s="1826"/>
    </row>
    <row r="11" spans="1:12" ht="12.75">
      <c r="A11" s="3162"/>
      <c r="B11" s="3081"/>
      <c r="C11" s="3198"/>
      <c r="D11" s="3163"/>
      <c r="E11" s="139" t="s">
        <v>2119</v>
      </c>
      <c r="F11" s="2418"/>
      <c r="G11" s="2418"/>
      <c r="H11" s="2418"/>
      <c r="I11" s="1826"/>
    </row>
    <row r="12" spans="1:12" ht="12.75">
      <c r="A12" s="3162" t="s">
        <v>2120</v>
      </c>
      <c r="B12" s="3081">
        <v>15</v>
      </c>
      <c r="C12" s="3197"/>
      <c r="D12" s="3163"/>
      <c r="E12" s="139" t="s">
        <v>2121</v>
      </c>
      <c r="F12" s="2418"/>
      <c r="G12" s="2418"/>
      <c r="H12" s="2418"/>
      <c r="I12" s="1826"/>
    </row>
    <row r="13" spans="1:12" ht="12.75">
      <c r="A13" s="3162"/>
      <c r="B13" s="3081"/>
      <c r="C13" s="3198"/>
      <c r="D13" s="3163"/>
      <c r="E13" s="139" t="s">
        <v>2122</v>
      </c>
      <c r="F13" s="2418"/>
      <c r="G13" s="2418"/>
      <c r="H13" s="2418"/>
      <c r="I13" s="1826"/>
    </row>
    <row r="14" spans="1:12" ht="12.75">
      <c r="A14" s="3162" t="s">
        <v>2123</v>
      </c>
      <c r="B14" s="3081">
        <v>30</v>
      </c>
      <c r="C14" s="3197">
        <v>65</v>
      </c>
      <c r="D14" s="3163">
        <v>35</v>
      </c>
      <c r="E14" s="139" t="s">
        <v>2124</v>
      </c>
      <c r="F14" s="2418"/>
      <c r="G14" s="2418"/>
      <c r="H14" s="2418"/>
      <c r="I14" s="1826"/>
    </row>
    <row r="15" spans="1:12" ht="12.75">
      <c r="A15" s="3162"/>
      <c r="B15" s="3081"/>
      <c r="C15" s="3199"/>
      <c r="D15" s="3163"/>
      <c r="E15" s="139" t="s">
        <v>2125</v>
      </c>
      <c r="F15" s="2418"/>
      <c r="G15" s="2418"/>
      <c r="H15" s="2418"/>
      <c r="I15" s="1826"/>
    </row>
    <row r="16" spans="1:12" ht="12.75">
      <c r="A16" s="3162"/>
      <c r="B16" s="3081"/>
      <c r="C16" s="3198"/>
      <c r="D16" s="3163"/>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SUMIF(INDIRECT("'"&amp;C4&amp;"'"&amp;"!A:A"),结果表!B19,INDIRECT("'"&amp;C4&amp;"'"&amp;"!B:B"))</f>
        <v>39971</v>
      </c>
      <c r="D19" s="143">
        <f ca="1">SUMIF(INDIRECT("'"&amp;D4&amp;"'"&amp;"!A:A"),结果表!B19,INDIRECT("'"&amp;D4&amp;"'"&amp;"!B:B"))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SUMIF(INDIRECT("'"&amp;C4&amp;"'"&amp;"!A:A"),结果表!B20,INDIRECT("'"&amp;C4&amp;"'"&amp;"!B:B"))</f>
        <v>14657</v>
      </c>
      <c r="D20" s="146">
        <f ca="1">SUMIF(INDIRECT("'"&amp;D4&amp;"'"&amp;"!A:A"),结果表!B20,INDIRECT("'"&amp;D4&amp;"'"&amp;"!B:B"))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207" t="s">
        <v>2141</v>
      </c>
      <c r="B24" s="2424" t="s">
        <v>2133</v>
      </c>
      <c r="C24" s="144">
        <f>IF(B30=0,0,D30)</f>
        <v>0</v>
      </c>
      <c r="D24" s="2431"/>
      <c r="E24" s="137"/>
      <c r="F24" s="137"/>
      <c r="G24" s="137"/>
      <c r="H24" s="137"/>
      <c r="I24" s="137"/>
      <c r="J24" s="797"/>
    </row>
    <row r="25" spans="1:35" ht="15" hidden="1" thickBot="1">
      <c r="A25" s="3208"/>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3132</v>
      </c>
      <c r="D33" s="2441" t="s">
        <v>3311</v>
      </c>
      <c r="E33" s="2442" t="s">
        <v>2150</v>
      </c>
      <c r="F33" s="2443" t="str">
        <f>IF(D32="楼面单价","取值（单价）","取值（总价）")</f>
        <v>取值（总价）</v>
      </c>
      <c r="G33" s="137"/>
      <c r="H33" s="137"/>
      <c r="I33" s="137"/>
      <c r="J33" s="794" t="s">
        <v>3276</v>
      </c>
    </row>
    <row r="34" spans="1:15" ht="15">
      <c r="A34" s="2444"/>
      <c r="B34" s="2445" t="s">
        <v>2151</v>
      </c>
      <c r="C34" s="156">
        <f ca="1">IF(C33="自定义",F34,C32-C35)</f>
        <v>15052</v>
      </c>
      <c r="D34" s="1053">
        <f ca="1">IF(C33="自定义",ROUND(C34/C32,3),IF(C33="收益比率",SUMIF(INDIRECT("'"&amp;D33&amp;"'"&amp;"!b:b"),"土地收益比率",INDIRECT("'"&amp;D33&amp;"'"&amp;"!c:c")),SUMIF(INDIRECT("'"&amp;D33&amp;"'"&amp;"!b:b"),"土地成本比率",INDIRECT("'"&amp;D33&amp;"'"&amp;"!c:c"))))</f>
        <v>0.46899999999999997</v>
      </c>
      <c r="E34" s="2446" t="s">
        <v>2152</v>
      </c>
      <c r="F34" s="1731">
        <f ca="1">G19-F35</f>
        <v>15052</v>
      </c>
      <c r="G34" s="137"/>
      <c r="H34" s="137"/>
      <c r="I34" s="137"/>
      <c r="J34" s="794">
        <v>38991</v>
      </c>
    </row>
    <row r="35" spans="1:15" ht="15.75" thickBot="1">
      <c r="A35" s="2447"/>
      <c r="B35" s="2448" t="s">
        <v>2153</v>
      </c>
      <c r="C35" s="1437">
        <f ca="1">IF(C33="自定义",F35,ROUND(C32*D35,0))</f>
        <v>17024</v>
      </c>
      <c r="D35" s="1438">
        <f ca="1">IF(C33="自定义",ROUND(C35/C32,3),IF(C33="收益比率",SUMIF(INDIRECT("'"&amp;D33&amp;"'"&amp;"!b:b"),"建筑物收益比率",INDIRECT("'"&amp;D33&amp;"'"&amp;"!c:c")),SUMIF(INDIRECT("'"&amp;D33&amp;"'"&amp;"!b:b"),"建筑物成本比率",INDIRECT("'"&amp;D33&amp;"'"&amp;"!c:c"))))</f>
        <v>0.53100000000000003</v>
      </c>
      <c r="E35" s="2449" t="s">
        <v>2154</v>
      </c>
      <c r="F35" s="162">
        <f ca="1">'收益法-酒店'!C13</f>
        <v>17024</v>
      </c>
      <c r="G35" s="137"/>
      <c r="H35" s="137"/>
      <c r="I35" s="137"/>
      <c r="J35" s="2982"/>
    </row>
    <row r="36" spans="1:15" ht="15.75" thickBot="1">
      <c r="A36" s="3186" t="s">
        <v>2155</v>
      </c>
      <c r="B36" s="2450" t="s">
        <v>2156</v>
      </c>
      <c r="C36" s="153"/>
      <c r="D36" s="2451" t="s">
        <v>3145</v>
      </c>
      <c r="E36" s="2452"/>
      <c r="F36" s="2453"/>
      <c r="G36" s="137"/>
      <c r="H36" s="137"/>
      <c r="I36" s="137"/>
      <c r="J36" s="2982"/>
    </row>
    <row r="37" spans="1:15" ht="15.75" thickBot="1">
      <c r="A37" s="3187"/>
      <c r="B37" s="2257" t="s">
        <v>2157</v>
      </c>
      <c r="C37" s="155"/>
      <c r="D37" s="1388"/>
      <c r="E37" s="1388"/>
      <c r="F37" s="2453"/>
      <c r="G37" s="137"/>
      <c r="H37" s="137"/>
      <c r="I37" s="137"/>
    </row>
    <row r="38" spans="1:15" ht="15.75" thickBot="1">
      <c r="A38" s="3188"/>
      <c r="B38" s="2454" t="s">
        <v>2158</v>
      </c>
      <c r="C38" s="726"/>
      <c r="D38" s="2455" t="s">
        <v>2159</v>
      </c>
      <c r="E38" s="1388"/>
      <c r="F38" s="2453"/>
      <c r="G38" s="137"/>
      <c r="H38" s="137"/>
      <c r="I38" s="137"/>
    </row>
    <row r="39" spans="1:15" ht="15">
      <c r="A39" s="2426" t="s">
        <v>2160</v>
      </c>
      <c r="B39" s="2456" t="s">
        <v>2161</v>
      </c>
      <c r="C39" s="2457" t="s">
        <v>2162</v>
      </c>
      <c r="D39" s="2457" t="s">
        <v>2163</v>
      </c>
      <c r="E39" s="2458" t="s">
        <v>2164</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204" t="s">
        <v>2169</v>
      </c>
      <c r="B45" s="3205"/>
      <c r="C45" s="3206"/>
      <c r="D45" s="163">
        <f ca="1">ROUND(I118*'数据-基础表'!G13/10000*F45,0)</f>
        <v>27495</v>
      </c>
      <c r="E45" s="164" t="s">
        <v>2170</v>
      </c>
      <c r="F45" s="165">
        <v>1</v>
      </c>
      <c r="G45" s="166" t="s">
        <v>2171</v>
      </c>
      <c r="H45" s="137"/>
      <c r="I45" s="137"/>
      <c r="J45" s="3130" t="s">
        <v>2172</v>
      </c>
      <c r="K45" s="3130"/>
      <c r="L45" s="3130"/>
      <c r="M45" s="3130"/>
      <c r="N45" s="3130"/>
      <c r="O45" s="3130"/>
    </row>
    <row r="46" spans="1:15" ht="14.25" customHeight="1">
      <c r="A46" s="3201" t="s">
        <v>2173</v>
      </c>
      <c r="B46" s="3202"/>
      <c r="C46" s="3202"/>
      <c r="D46" s="3202"/>
      <c r="E46" s="3202"/>
      <c r="F46" s="3202"/>
      <c r="G46" s="3203"/>
      <c r="H46" s="2469"/>
      <c r="I46" s="167"/>
      <c r="J46" s="1804">
        <v>1</v>
      </c>
      <c r="K46" s="3130" t="s">
        <v>2174</v>
      </c>
      <c r="L46" s="3130"/>
      <c r="M46" s="3131"/>
      <c r="N46" s="3131"/>
      <c r="O46" s="3131"/>
    </row>
    <row r="47" spans="1:15" ht="12" customHeight="1">
      <c r="A47" s="168" t="s">
        <v>2175</v>
      </c>
      <c r="B47" s="169"/>
      <c r="C47" s="170"/>
      <c r="D47" s="171" t="s">
        <v>2176</v>
      </c>
      <c r="E47" s="24" t="s">
        <v>2177</v>
      </c>
      <c r="F47" s="172" t="s">
        <v>2178</v>
      </c>
      <c r="G47" s="173" t="s">
        <v>2179</v>
      </c>
      <c r="H47" s="2469"/>
      <c r="I47" s="167"/>
      <c r="J47" s="1804">
        <v>2</v>
      </c>
      <c r="K47" s="3130" t="s">
        <v>2180</v>
      </c>
      <c r="L47" s="3130"/>
      <c r="M47" s="3132">
        <f>'数据-取费表'!B2</f>
        <v>44312</v>
      </c>
      <c r="N47" s="3132"/>
      <c r="O47" s="3132"/>
    </row>
    <row r="48" spans="1:15" ht="25.5">
      <c r="A48" s="3190" t="s">
        <v>2181</v>
      </c>
      <c r="B48" s="3191"/>
      <c r="C48" s="3191"/>
      <c r="D48" s="139">
        <f ca="1">IF(H48="情况1",0,IF(H48="情况2",D52,IF(H48="情况3",D53,IF(H48="情况4",D54))))</f>
        <v>334</v>
      </c>
      <c r="E48" s="1793" t="str">
        <f>IF(H48="情况4","(销售额-原购置价)×税（费）率","销售额×税（费）率")</f>
        <v>(销售额-原购置价)×税（费）率</v>
      </c>
      <c r="F48" s="174">
        <f>IF(H48="情况1","免征",'数据-取费表'!B41)</f>
        <v>5.6000000000000001E-2</v>
      </c>
      <c r="G48" s="2470" t="s">
        <v>2182</v>
      </c>
      <c r="H48" s="2471" t="s">
        <v>3278</v>
      </c>
      <c r="I48" s="2469"/>
      <c r="J48" s="1804">
        <v>3</v>
      </c>
      <c r="K48" s="3130" t="s">
        <v>2183</v>
      </c>
      <c r="L48" s="3130"/>
      <c r="M48" s="3133">
        <f ca="1">D45</f>
        <v>27495</v>
      </c>
      <c r="N48" s="3133"/>
      <c r="O48" s="3133"/>
    </row>
    <row r="49" spans="1:35" ht="25.5" customHeight="1">
      <c r="A49" s="175" t="s">
        <v>2184</v>
      </c>
      <c r="B49" s="3148" t="s">
        <v>2185</v>
      </c>
      <c r="C49" s="3148"/>
      <c r="D49" s="176">
        <v>0</v>
      </c>
      <c r="E49" s="23" t="s">
        <v>2186</v>
      </c>
      <c r="F49" s="28" t="s">
        <v>34</v>
      </c>
      <c r="G49" s="3216"/>
      <c r="H49" s="137"/>
      <c r="I49" s="2472"/>
      <c r="J49" s="1804">
        <v>4</v>
      </c>
      <c r="K49" s="3130" t="str">
        <f>IF(项目基本情况!E8="房地产抵押价值","房地产抵押价值","抵押担保权已注销时的房地产抵押价值")</f>
        <v>抵押担保权已注销时的房地产抵押价值</v>
      </c>
      <c r="L49" s="3130"/>
      <c r="M49" s="3133">
        <f ca="1">M48</f>
        <v>27495</v>
      </c>
      <c r="N49" s="3133"/>
      <c r="O49" s="3133"/>
    </row>
    <row r="50" spans="1:35" ht="25.5" customHeight="1">
      <c r="A50" s="177"/>
      <c r="B50" s="3148" t="s">
        <v>2187</v>
      </c>
      <c r="C50" s="3148"/>
      <c r="D50" s="178"/>
      <c r="E50" s="31"/>
      <c r="F50" s="179"/>
      <c r="G50" s="3217"/>
      <c r="H50" s="137"/>
      <c r="I50" s="2472"/>
      <c r="J50" s="3130" t="s">
        <v>2188</v>
      </c>
      <c r="K50" s="3130"/>
      <c r="L50" s="3130"/>
      <c r="M50" s="3130"/>
      <c r="N50" s="3130"/>
      <c r="O50" s="3130"/>
    </row>
    <row r="51" spans="1:35" ht="12" customHeight="1">
      <c r="A51" s="180"/>
      <c r="B51" s="3148" t="s">
        <v>2189</v>
      </c>
      <c r="C51" s="3148"/>
      <c r="D51" s="181"/>
      <c r="E51" s="30"/>
      <c r="F51" s="179"/>
      <c r="G51" s="3218"/>
      <c r="H51" s="137"/>
      <c r="I51" s="2472"/>
      <c r="J51" s="2473" t="s">
        <v>2190</v>
      </c>
      <c r="K51" s="3130" t="s">
        <v>2191</v>
      </c>
      <c r="L51" s="3130"/>
      <c r="M51" s="2473" t="s">
        <v>2192</v>
      </c>
      <c r="N51" s="2473" t="s">
        <v>2193</v>
      </c>
      <c r="O51" s="2473" t="s">
        <v>2194</v>
      </c>
    </row>
    <row r="52" spans="1:35" ht="24" customHeight="1">
      <c r="A52" s="182" t="s">
        <v>2195</v>
      </c>
      <c r="B52" s="3148" t="s">
        <v>2196</v>
      </c>
      <c r="C52" s="3148"/>
      <c r="D52" s="181">
        <f ca="1">ROUND(D45*'数据-取费表'!B41/(1+'数据-取费表'!C42),0)</f>
        <v>1466</v>
      </c>
      <c r="E52" s="11" t="s">
        <v>2197</v>
      </c>
      <c r="F52" s="183">
        <f>'数据-取费表'!B41</f>
        <v>5.6000000000000001E-2</v>
      </c>
      <c r="G52" s="2474"/>
      <c r="H52" s="137"/>
      <c r="I52" s="2472"/>
      <c r="J52" s="1804">
        <v>1</v>
      </c>
      <c r="K52" s="3136" t="s">
        <v>2198</v>
      </c>
      <c r="L52" s="3136"/>
      <c r="M52" s="1746">
        <f ca="1">D48</f>
        <v>334</v>
      </c>
      <c r="N52" s="1804" t="str">
        <f>E48</f>
        <v>(销售额-原购置价)×税（费）率</v>
      </c>
      <c r="O52" s="1747">
        <f>F48</f>
        <v>5.6000000000000001E-2</v>
      </c>
    </row>
    <row r="53" spans="1:35" ht="12" customHeight="1">
      <c r="A53" s="182" t="s">
        <v>2199</v>
      </c>
      <c r="B53" s="3168" t="s">
        <v>2200</v>
      </c>
      <c r="C53" s="3169"/>
      <c r="D53" s="181">
        <f ca="1">ROUND(D45*'数据-取费表'!B41/(1+'数据-取费表'!C42),0)</f>
        <v>1466</v>
      </c>
      <c r="E53" s="11" t="s">
        <v>2197</v>
      </c>
      <c r="F53" s="183">
        <f>'数据-取费表'!B41</f>
        <v>5.6000000000000001E-2</v>
      </c>
      <c r="G53" s="2474"/>
      <c r="H53" s="137"/>
      <c r="I53" s="2472"/>
      <c r="J53" s="1804">
        <v>2</v>
      </c>
      <c r="K53" s="3136" t="s">
        <v>2201</v>
      </c>
      <c r="L53" s="3136"/>
      <c r="M53" s="1746">
        <f t="shared" ref="M53:O54" ca="1" si="0">D55</f>
        <v>14</v>
      </c>
      <c r="N53" s="1804" t="str">
        <f t="shared" si="0"/>
        <v>销售额×税（费）率</v>
      </c>
      <c r="O53" s="1747">
        <f t="shared" si="0"/>
        <v>5.0000000000000001E-4</v>
      </c>
    </row>
    <row r="54" spans="1:35" ht="12" customHeight="1">
      <c r="A54" s="182" t="s">
        <v>2202</v>
      </c>
      <c r="B54" s="3168" t="s">
        <v>2203</v>
      </c>
      <c r="C54" s="3169"/>
      <c r="D54" s="181">
        <f ca="1">C68</f>
        <v>334</v>
      </c>
      <c r="E54" s="30" t="s">
        <v>2204</v>
      </c>
      <c r="F54" s="183">
        <f>'数据-取费表'!B41</f>
        <v>5.6000000000000001E-2</v>
      </c>
      <c r="G54" s="2474"/>
      <c r="H54" s="2475"/>
      <c r="I54" s="2472"/>
      <c r="J54" s="1804">
        <v>3</v>
      </c>
      <c r="K54" s="3136" t="s">
        <v>2205</v>
      </c>
      <c r="L54" s="3136"/>
      <c r="M54" s="1746">
        <f t="shared" ca="1" si="0"/>
        <v>1558</v>
      </c>
      <c r="N54" s="1804" t="str">
        <f t="shared" si="0"/>
        <v>增值额×税（费）率</v>
      </c>
      <c r="O54" s="1748" t="str">
        <f t="shared" si="0"/>
        <v>——</v>
      </c>
    </row>
    <row r="55" spans="1:35" ht="24" customHeight="1">
      <c r="A55" s="3210" t="s">
        <v>2206</v>
      </c>
      <c r="B55" s="3191"/>
      <c r="C55" s="3191"/>
      <c r="D55" s="184">
        <f ca="1">IF(H55="个人住宅",0,ROUND(D45*I55,0))</f>
        <v>14</v>
      </c>
      <c r="E55" s="11" t="s">
        <v>2207</v>
      </c>
      <c r="F55" s="183">
        <f>IF(H55="正常",I55,"免征")</f>
        <v>5.0000000000000001E-4</v>
      </c>
      <c r="G55" s="2474"/>
      <c r="H55" s="2471" t="s">
        <v>2208</v>
      </c>
      <c r="I55" s="185">
        <f>'数据-取费表'!B49</f>
        <v>5.0000000000000001E-4</v>
      </c>
      <c r="J55" s="1804" t="str">
        <f>IF(H59="非个人房产","",4)</f>
        <v/>
      </c>
      <c r="K55" s="3136" t="str">
        <f>IF(H59="非个人房产","——","个人所得税")</f>
        <v>——</v>
      </c>
      <c r="L55" s="3136"/>
      <c r="M55" s="1749" t="str">
        <f>D59</f>
        <v>——</v>
      </c>
      <c r="N55" s="1802" t="str">
        <f>E59</f>
        <v>——</v>
      </c>
      <c r="O55" s="1750" t="str">
        <f>F59</f>
        <v>——</v>
      </c>
    </row>
    <row r="56" spans="1:35" ht="24.75">
      <c r="A56" s="3210" t="s">
        <v>2209</v>
      </c>
      <c r="B56" s="3191"/>
      <c r="C56" s="3191"/>
      <c r="D56" s="184">
        <f ca="1">IF(H56="个人住宅",D57,D58)</f>
        <v>1558</v>
      </c>
      <c r="E56" s="11" t="s">
        <v>2210</v>
      </c>
      <c r="F56" s="183" t="str">
        <f>IF(H56="正常",F58,"免征")</f>
        <v>——</v>
      </c>
      <c r="G56" s="2476" t="s">
        <v>2211</v>
      </c>
      <c r="H56" s="2477" t="s">
        <v>2208</v>
      </c>
      <c r="I56" s="2478"/>
      <c r="J56" s="1804" t="str">
        <f>IF(项目基本情况!K6="上海银行",IF(J55="",4,J55+1),"")</f>
        <v/>
      </c>
      <c r="K56" s="3137" t="str">
        <f>IF(项目基本情况!K6="上海银行","其他处置费用","")</f>
        <v/>
      </c>
      <c r="L56" s="3138"/>
      <c r="M56" s="1746" t="str">
        <f>IF(项目基本情况!K6="上海银行",M69,"")</f>
        <v/>
      </c>
      <c r="N56" s="3128" t="str">
        <f>IF(项目基本情况!K6="上海银行","包含处置中涉及的律师、诉讼、拍卖、评估等费用","")</f>
        <v/>
      </c>
      <c r="O56" s="3129"/>
    </row>
    <row r="57" spans="1:35" ht="12.75">
      <c r="A57" s="182" t="s">
        <v>2184</v>
      </c>
      <c r="B57" s="3175" t="s">
        <v>2212</v>
      </c>
      <c r="C57" s="3176"/>
      <c r="D57" s="186">
        <v>0</v>
      </c>
      <c r="E57" s="23" t="s">
        <v>2186</v>
      </c>
      <c r="F57" s="154"/>
      <c r="G57" s="2474"/>
      <c r="H57" s="2478"/>
      <c r="I57" s="2478"/>
      <c r="J57" s="3136">
        <f>IF(AND(J55="",J56=""),4,IF(项目基本情况!K6="上海银行",结果表!J56+1,结果表!J55+1))</f>
        <v>4</v>
      </c>
      <c r="K57" s="3136" t="s">
        <v>2213</v>
      </c>
      <c r="L57" s="2479" t="s">
        <v>2214</v>
      </c>
      <c r="M57" s="1751"/>
      <c r="N57" s="1752">
        <f ca="1">SUMIF(M52:M56,"&lt;9e307")</f>
        <v>1906</v>
      </c>
      <c r="O57" s="2480"/>
      <c r="P57" s="1745">
        <f ca="1">N57/M49</f>
        <v>6.9321694853609742E-2</v>
      </c>
    </row>
    <row r="58" spans="1:35" ht="24.75">
      <c r="A58" s="182" t="s">
        <v>2195</v>
      </c>
      <c r="B58" s="3175" t="s">
        <v>2215</v>
      </c>
      <c r="C58" s="3189"/>
      <c r="D58" s="184">
        <f ca="1">IF(H58="转让取得",C81,C97)</f>
        <v>1558</v>
      </c>
      <c r="E58" s="11" t="s">
        <v>2210</v>
      </c>
      <c r="F58" s="24" t="s">
        <v>34</v>
      </c>
      <c r="G58" s="2474"/>
      <c r="H58" s="2477" t="s">
        <v>3279</v>
      </c>
      <c r="I58" s="2478"/>
      <c r="J58" s="3136"/>
      <c r="K58" s="3136"/>
      <c r="L58" s="2479" t="s">
        <v>2216</v>
      </c>
      <c r="M58" s="1753"/>
      <c r="N58" s="2481" t="str">
        <f ca="1">NUMBERSTRING(INT(N57*10000),2)&amp;"元整"</f>
        <v>壹仟玖佰零陆万元整</v>
      </c>
      <c r="O58" s="2482"/>
    </row>
    <row r="59" spans="1:35" ht="24.75" thickBot="1">
      <c r="A59" s="3214" t="s">
        <v>2217</v>
      </c>
      <c r="B59" s="3215"/>
      <c r="C59" s="3215"/>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134">
        <f>J57+1</f>
        <v>5</v>
      </c>
      <c r="K59" s="3136" t="s">
        <v>2219</v>
      </c>
      <c r="L59" s="1804" t="s">
        <v>2214</v>
      </c>
      <c r="M59" s="1754"/>
      <c r="N59" s="1755">
        <f ca="1">M49-N57</f>
        <v>25589</v>
      </c>
      <c r="O59" s="2484"/>
    </row>
    <row r="60" spans="1:35" ht="12" customHeight="1">
      <c r="A60" s="2485"/>
      <c r="B60" s="2407"/>
      <c r="C60" s="2407"/>
      <c r="D60" s="2407"/>
      <c r="E60" s="2157"/>
      <c r="F60" s="2478"/>
      <c r="G60" s="2478"/>
      <c r="H60" s="2486"/>
      <c r="I60" s="137"/>
      <c r="J60" s="3135"/>
      <c r="K60" s="3136"/>
      <c r="L60" s="2479" t="s">
        <v>2216</v>
      </c>
      <c r="M60" s="1753"/>
      <c r="N60" s="2481" t="str">
        <f ca="1">NUMBERSTRING(INT(N59*10000),2)&amp;"元整"</f>
        <v>贰亿伍仟伍佰捌拾玖万元整</v>
      </c>
      <c r="O60" s="2482"/>
    </row>
    <row r="61" spans="1:35" ht="13.5" thickBot="1">
      <c r="A61" s="3209" t="s">
        <v>2220</v>
      </c>
      <c r="B61" s="3209"/>
      <c r="C61" s="3209"/>
      <c r="D61" s="3209"/>
      <c r="E61" s="3209"/>
      <c r="F61" s="2478"/>
      <c r="G61" s="2478"/>
      <c r="H61" s="2486"/>
      <c r="I61" s="137"/>
      <c r="J61" s="1804">
        <f>J59+1</f>
        <v>6</v>
      </c>
      <c r="K61" s="3136" t="s">
        <v>2221</v>
      </c>
      <c r="L61" s="3136"/>
      <c r="M61" s="1756"/>
      <c r="N61" s="1757">
        <f ca="1">ROUND(N59*10000/'数据-基础表'!G13,0)</f>
        <v>10947</v>
      </c>
      <c r="O61" s="2487"/>
    </row>
    <row r="62" spans="1:35" ht="12.75">
      <c r="A62" s="3170" t="s">
        <v>2222</v>
      </c>
      <c r="B62" s="3171"/>
      <c r="C62" s="1796"/>
      <c r="D62" s="1796" t="s">
        <v>2223</v>
      </c>
      <c r="E62" s="191" t="s">
        <v>2224</v>
      </c>
      <c r="F62" s="2478"/>
      <c r="G62" s="2478"/>
      <c r="H62" s="2486"/>
      <c r="I62" s="137"/>
    </row>
    <row r="63" spans="1:35" ht="12.75">
      <c r="A63" s="202" t="s">
        <v>775</v>
      </c>
      <c r="B63" s="192" t="s">
        <v>2225</v>
      </c>
      <c r="C63" s="193">
        <f ca="1">ROUND((C64+C65)/(1+'数据-取费表'!C42),0)</f>
        <v>26186</v>
      </c>
      <c r="D63" s="194"/>
      <c r="E63" s="195"/>
      <c r="F63" s="2478"/>
      <c r="G63" s="2478"/>
      <c r="H63" s="2486"/>
      <c r="I63" s="137"/>
      <c r="J63" s="3139" t="s">
        <v>2226</v>
      </c>
      <c r="K63" s="2488" t="s">
        <v>2227</v>
      </c>
      <c r="L63" s="1744">
        <f ca="1">IF(M49&gt;10000,M49*0.5%,IF(AND(M49&gt;1000,M49&lt;=10000),M49*1%,IF(AND(M49&gt;100,M49&lt;=1000),M49*3%,IF(AND(M49&gt;10,M49&lt;=100),M49*5%,M49*8%))))</f>
        <v>137.47499999999999</v>
      </c>
      <c r="M63" s="24">
        <f ca="1">ROUND(L63,1)</f>
        <v>137.5</v>
      </c>
      <c r="Z63" s="2412"/>
      <c r="AI63" s="2413"/>
    </row>
    <row r="64" spans="1:35" ht="14.25" customHeight="1">
      <c r="A64" s="196" t="s">
        <v>770</v>
      </c>
      <c r="B64" s="197" t="s">
        <v>2228</v>
      </c>
      <c r="C64" s="198">
        <f ca="1">D45</f>
        <v>27495</v>
      </c>
      <c r="D64" s="199" t="s">
        <v>32</v>
      </c>
      <c r="E64" s="200"/>
      <c r="F64" s="2478"/>
      <c r="G64" s="2478"/>
      <c r="H64" s="2486"/>
      <c r="I64" s="137"/>
      <c r="J64" s="3139"/>
      <c r="K64" s="2488" t="s">
        <v>2229</v>
      </c>
      <c r="L64" s="1744">
        <f ca="1">IF(M49&gt;2000,M49*0.5%,IF(AND(M49&gt;1000,M49&lt;=2000),M49*0.6%,IF(AND(M49&gt;500,M49&lt;=1000),M49*0.7%,IF(AND(M49&gt;200,M49&lt;=500),M49*0.8%,IF(AND(M49&gt;100,M49&lt;=200),M49*0.9%,IF(AND(M49&gt;50,M49&lt;=100),M49*1%,IF(AND(M49&gt;20,M49&lt;=50),M49*1.5%,IF(AND(M49&gt;10,M49&lt;=20),M49*2%,IF(AND(M49&gt;1,M49&lt;=10),M49*2.5%)))))))))</f>
        <v>137.47499999999999</v>
      </c>
      <c r="M64" s="24">
        <f t="shared" ref="M64:M65" ca="1" si="1">ROUND(L64,1)</f>
        <v>137.5</v>
      </c>
      <c r="N64" s="137" t="s">
        <v>2230</v>
      </c>
      <c r="Z64" s="2412"/>
      <c r="AI64" s="2413"/>
    </row>
    <row r="65" spans="1:35" ht="14.25" customHeight="1">
      <c r="A65" s="196" t="s">
        <v>771</v>
      </c>
      <c r="B65" s="197" t="s">
        <v>2231</v>
      </c>
      <c r="C65" s="201"/>
      <c r="D65" s="199"/>
      <c r="E65" s="200"/>
      <c r="F65" s="2478"/>
      <c r="G65" s="2478"/>
      <c r="H65" s="2486"/>
      <c r="I65" s="137"/>
      <c r="J65" s="3139"/>
      <c r="K65" s="2488" t="s">
        <v>2232</v>
      </c>
      <c r="L65" s="1744">
        <f ca="1">IF(M49&gt;1000,M49*0.1%,IF(AND(M49&gt;500,M49&lt;=1000),M49*0.5%,IF(AND(M49&gt;50,M49&lt;=500),M49*1%,IF(AND(M49&gt;1,M49&lt;=50),M49*1.5%))))</f>
        <v>27.495000000000001</v>
      </c>
      <c r="M65" s="24">
        <f t="shared" ca="1" si="1"/>
        <v>27.5</v>
      </c>
      <c r="N65" s="137" t="s">
        <v>2230</v>
      </c>
      <c r="Z65" s="2412"/>
      <c r="AI65" s="2413"/>
    </row>
    <row r="66" spans="1:35" ht="14.25" customHeight="1">
      <c r="A66" s="202" t="s">
        <v>772</v>
      </c>
      <c r="B66" s="203" t="s">
        <v>2233</v>
      </c>
      <c r="C66" s="204">
        <f>C75</f>
        <v>20220</v>
      </c>
      <c r="D66" s="205" t="s">
        <v>32</v>
      </c>
      <c r="E66" s="1768" t="s">
        <v>1370</v>
      </c>
      <c r="F66" s="2478"/>
      <c r="G66" s="2478"/>
      <c r="H66" s="2486"/>
      <c r="I66" s="137"/>
      <c r="J66" s="3139"/>
      <c r="K66" s="2488" t="s">
        <v>2234</v>
      </c>
      <c r="L66" s="1744">
        <f ca="1">M49*0.5%</f>
        <v>137.47499999999999</v>
      </c>
      <c r="M66" s="24">
        <f ca="1">IF(L66&gt;0.5,0.5,ROUND(L66,0))</f>
        <v>0.5</v>
      </c>
      <c r="N66" s="137" t="s">
        <v>2235</v>
      </c>
      <c r="Z66" s="2412"/>
      <c r="AI66" s="2413"/>
    </row>
    <row r="67" spans="1:35" ht="14.25" customHeight="1">
      <c r="A67" s="202" t="s">
        <v>773</v>
      </c>
      <c r="B67" s="203" t="s">
        <v>2236</v>
      </c>
      <c r="C67" s="206">
        <f ca="1">C63-C66</f>
        <v>5966</v>
      </c>
      <c r="D67" s="199" t="s">
        <v>32</v>
      </c>
      <c r="E67" s="200"/>
      <c r="F67" s="2478"/>
      <c r="G67" s="2478"/>
      <c r="H67" s="2486"/>
      <c r="I67" s="137"/>
      <c r="J67" s="3139"/>
      <c r="K67" s="2488" t="s">
        <v>2237</v>
      </c>
      <c r="L67" s="1744">
        <f ca="1">IF(M49&gt;=10000,(8.25+(M49-10000)*0.01%),IF(AND(M49&gt;=8000,M49&lt;10000),(7.85+(M49-8000)*0.02%),IF(AND(M49&gt;=5000,M49&lt;8000),(6.65+(M49-5000)*0.04%),IF(AND(M49&gt;=2000,M49&lt;5000),(4.25+(PM49-2000)*0.08%),IF(AND(M49&gt;=1000,M49&lt;2000),(2.75+(M49-1000)*0.15%),IF(AND(M49&gt;=100,M49&lt;1000),(0.5+(M49-100)*0.25%),IF(AND(M49&gt;0,M49&lt;100),M49*0.5%)))))))</f>
        <v>9.9994999999999994</v>
      </c>
      <c r="M67" s="24">
        <f ca="1">ROUND(L67*0.9,1)</f>
        <v>9</v>
      </c>
      <c r="Z67" s="2412"/>
      <c r="AI67" s="2413"/>
    </row>
    <row r="68" spans="1:35" ht="14.25" customHeight="1" thickBot="1">
      <c r="A68" s="207" t="s">
        <v>774</v>
      </c>
      <c r="B68" s="208" t="s">
        <v>2238</v>
      </c>
      <c r="C68" s="209">
        <f ca="1">IF(C67&lt;=0,0,ROUND(C67*D68,0))</f>
        <v>334</v>
      </c>
      <c r="D68" s="210">
        <f>'数据-取费表'!B41</f>
        <v>5.6000000000000001E-2</v>
      </c>
      <c r="E68" s="211"/>
      <c r="F68" s="2478"/>
      <c r="G68" s="2478"/>
      <c r="H68" s="2486"/>
      <c r="I68" s="137"/>
      <c r="J68" s="3139"/>
      <c r="K68" s="2488" t="s">
        <v>2239</v>
      </c>
      <c r="L68" s="1744">
        <f ca="1">IF(M49&gt;10000,M49*0.5%,IF(AND(M49&gt;5000,M49&lt;=10000),M49*1%,IF(AND(M49&gt;1000,M49&lt;=5000),M49*2%,IF(AND(M49&gt;200,M49&lt;=1000),M49*3%,M49*5%))))</f>
        <v>137.47499999999999</v>
      </c>
      <c r="M68" s="24">
        <f ca="1">ROUND(L68,1)</f>
        <v>137.5</v>
      </c>
      <c r="Z68" s="2412"/>
      <c r="AI68" s="2413"/>
    </row>
    <row r="69" spans="1:35" s="2435" customFormat="1" ht="16.5" customHeight="1">
      <c r="A69" s="2489"/>
      <c r="B69" s="2490"/>
      <c r="C69" s="2491"/>
      <c r="D69" s="2492"/>
      <c r="E69" s="2493"/>
      <c r="F69" s="2157"/>
      <c r="G69" s="2157"/>
      <c r="H69" s="2156"/>
      <c r="I69" s="2407"/>
      <c r="J69" s="3139"/>
      <c r="K69" s="2488" t="s">
        <v>2240</v>
      </c>
      <c r="L69" s="2494"/>
      <c r="M69" s="24">
        <f ca="1">ROUND(SUM(M63:M68),0)</f>
        <v>450</v>
      </c>
      <c r="N69" s="1745">
        <f ca="1">M69/M49</f>
        <v>1.6366612111292964E-2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73" t="s">
        <v>2241</v>
      </c>
      <c r="B70" s="3174"/>
      <c r="C70" s="3174"/>
      <c r="D70" s="3174"/>
      <c r="E70" s="3174"/>
      <c r="F70" s="3174"/>
      <c r="G70" s="3174"/>
      <c r="H70" s="317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70" t="s">
        <v>2222</v>
      </c>
      <c r="B71" s="3171"/>
      <c r="C71" s="1796"/>
      <c r="D71" s="1796"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26186</v>
      </c>
      <c r="D72" s="199" t="s">
        <v>32</v>
      </c>
      <c r="E72" s="1795"/>
      <c r="F72" s="1789"/>
      <c r="G72" s="178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20994</v>
      </c>
      <c r="D73" s="199" t="s">
        <v>32</v>
      </c>
      <c r="E73" s="1795"/>
      <c r="F73" s="1789"/>
      <c r="G73" s="178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20837</v>
      </c>
      <c r="D74" s="199" t="s">
        <v>32</v>
      </c>
      <c r="E74" s="1795"/>
      <c r="F74" s="1789"/>
      <c r="G74" s="178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ROUND(30000/'数据-基础表'!B3*'数据-基础表'!G13,0)</f>
        <v>20220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8" t="s">
        <v>2249</v>
      </c>
      <c r="F76" s="3148"/>
      <c r="G76" s="3148"/>
      <c r="H76" s="317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617</v>
      </c>
      <c r="D77" s="222">
        <f>'数据-取费表'!B48+'数据-取费表'!B49</f>
        <v>3.0499999999999999E-2</v>
      </c>
      <c r="E77" s="15" t="s">
        <v>2251</v>
      </c>
      <c r="F77" s="223"/>
      <c r="G77" s="2502" t="s">
        <v>3314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157</v>
      </c>
      <c r="D78" s="225">
        <f>'数据-取费表'!B43</f>
        <v>6.000000000000001E-3</v>
      </c>
      <c r="E78" s="3155" t="s">
        <v>2253</v>
      </c>
      <c r="F78" s="3156"/>
      <c r="G78" s="3156"/>
      <c r="H78" s="315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2254</v>
      </c>
      <c r="C79" s="206">
        <f ca="1">C72-C73</f>
        <v>5192</v>
      </c>
      <c r="D79" s="199" t="s">
        <v>32</v>
      </c>
      <c r="E79" s="1795"/>
      <c r="F79" s="1789"/>
      <c r="G79" s="178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0.24730875488234733</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9"/>
      <c r="G80" s="178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1558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3" t="s">
        <v>2257</v>
      </c>
      <c r="B83" s="3174"/>
      <c r="C83" s="3174"/>
      <c r="D83" s="3174"/>
      <c r="E83" s="3174"/>
      <c r="F83" s="3174"/>
      <c r="G83" s="3174"/>
      <c r="H83" s="317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70" t="s">
        <v>2222</v>
      </c>
      <c r="B84" s="3171"/>
      <c r="C84" s="1796"/>
      <c r="D84" s="1796"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26186</v>
      </c>
      <c r="D85" s="199" t="s">
        <v>32</v>
      </c>
      <c r="E85" s="1795"/>
      <c r="F85" s="1789"/>
      <c r="G85" s="178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157</v>
      </c>
      <c r="D86" s="234"/>
      <c r="E86" s="1795"/>
      <c r="F86" s="1789"/>
      <c r="G86" s="178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1792"/>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55" t="s">
        <v>2266</v>
      </c>
      <c r="F91" s="3156"/>
      <c r="G91" s="3156"/>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55" t="s">
        <v>2270</v>
      </c>
      <c r="F92" s="3156"/>
      <c r="G92" s="3156"/>
      <c r="H92" s="315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157</v>
      </c>
      <c r="D93" s="225">
        <f>'数据-取费表'!B43</f>
        <v>6.000000000000001E-3</v>
      </c>
      <c r="E93" s="3155" t="s">
        <v>2253</v>
      </c>
      <c r="F93" s="3156"/>
      <c r="G93" s="3156"/>
      <c r="H93" s="315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211" t="s">
        <v>2274</v>
      </c>
      <c r="F94" s="3212"/>
      <c r="G94" s="3212"/>
      <c r="H94" s="321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2254</v>
      </c>
      <c r="C95" s="206">
        <f ca="1">ROUND(C85-C86,0)</f>
        <v>26029</v>
      </c>
      <c r="D95" s="199" t="s">
        <v>32</v>
      </c>
      <c r="E95" s="1795"/>
      <c r="F95" s="1789"/>
      <c r="G95" s="178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165.78980891719746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15562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2" t="s">
        <v>2276</v>
      </c>
      <c r="B100" s="3103"/>
      <c r="C100" s="3103"/>
      <c r="D100" s="3161"/>
      <c r="E100" s="3103" t="s">
        <v>2277</v>
      </c>
      <c r="F100" s="3103"/>
      <c r="G100" s="3103"/>
      <c r="H100" s="3161"/>
      <c r="I100" s="137"/>
    </row>
    <row r="101" spans="1:35" ht="18.75" customHeight="1">
      <c r="A101" s="3219" t="s">
        <v>2278</v>
      </c>
      <c r="B101" s="3220"/>
      <c r="C101" s="735" t="str">
        <f>C4</f>
        <v>成本法</v>
      </c>
      <c r="D101" s="736" t="str">
        <f>D4</f>
        <v>收益法-酒店</v>
      </c>
      <c r="E101" s="3160" t="s">
        <v>2279</v>
      </c>
      <c r="F101" s="3150"/>
      <c r="G101" s="2509" t="s">
        <v>2280</v>
      </c>
      <c r="H101" s="1043">
        <f ca="1">H118</f>
        <v>32076</v>
      </c>
      <c r="I101" s="137"/>
    </row>
    <row r="102" spans="1:35" ht="18.75" customHeight="1">
      <c r="A102" s="3165" t="s">
        <v>2281</v>
      </c>
      <c r="B102" s="2509" t="s">
        <v>2280</v>
      </c>
      <c r="C102" s="735">
        <f ca="1">C19</f>
        <v>39971</v>
      </c>
      <c r="D102" s="736">
        <f ca="1">D19</f>
        <v>17415</v>
      </c>
      <c r="E102" s="3160"/>
      <c r="F102" s="3150"/>
      <c r="G102" s="2509" t="s">
        <v>2282</v>
      </c>
      <c r="H102" s="370">
        <f ca="1">I118</f>
        <v>11762</v>
      </c>
      <c r="I102" s="137"/>
    </row>
    <row r="103" spans="1:35" ht="42.75" customHeight="1">
      <c r="A103" s="3165"/>
      <c r="B103" s="2509" t="s">
        <v>2282</v>
      </c>
      <c r="C103" s="737">
        <f ca="1">C20</f>
        <v>14657</v>
      </c>
      <c r="D103" s="738">
        <f ca="1">D20</f>
        <v>7317</v>
      </c>
      <c r="E103" s="3158" t="s">
        <v>2283</v>
      </c>
      <c r="F103" s="3159"/>
      <c r="G103" s="2510" t="s">
        <v>2284</v>
      </c>
      <c r="H103" s="1043">
        <f>IF(D36="正常操作",H104+H105+H106,H105+H106)</f>
        <v>0</v>
      </c>
      <c r="I103" s="137"/>
    </row>
    <row r="104" spans="1:35" ht="18.75" customHeight="1">
      <c r="A104" s="3165"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66"/>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49" t="str">
        <f>IF(项目基本情况!E8="已注销","——","3.房地产抵押价值")</f>
        <v>——</v>
      </c>
      <c r="F107" s="3150"/>
      <c r="G107" s="2509" t="s">
        <v>2280</v>
      </c>
      <c r="H107" s="1043" t="str">
        <f>IF(E107="——","——",H101-H103)</f>
        <v>——</v>
      </c>
      <c r="I107" s="137"/>
    </row>
    <row r="108" spans="1:35" ht="18.75" customHeight="1">
      <c r="A108" s="137"/>
      <c r="B108" s="137"/>
      <c r="C108" s="137"/>
      <c r="D108" s="137"/>
      <c r="E108" s="3149"/>
      <c r="F108" s="3150"/>
      <c r="G108" s="2509" t="s">
        <v>2282</v>
      </c>
      <c r="H108" s="370" t="e">
        <f>ROUND(H107*10000/'数据-汇总表'!E3,0)</f>
        <v>#VALUE!</v>
      </c>
      <c r="I108" s="137"/>
    </row>
    <row r="109" spans="1:35" ht="18.75" customHeight="1">
      <c r="A109" s="137"/>
      <c r="B109" s="137"/>
      <c r="C109" s="137"/>
      <c r="D109" s="137"/>
      <c r="E109" s="3149" t="str">
        <f>IF(项目基本情况!E8="已注销及未注销","4.抵押担保权已注销时的房地产抵押价值",IF(项目基本情况!E8="已注销","3.抵押担保权已注销时的房地产抵押价值","——"))</f>
        <v>3.抵押担保权已注销时的房地产抵押价值</v>
      </c>
      <c r="F109" s="3150"/>
      <c r="G109" s="2509" t="s">
        <v>2280</v>
      </c>
      <c r="H109" s="347">
        <f ca="1">IF(E109="——","——",H101-H105-H106)</f>
        <v>32076</v>
      </c>
      <c r="I109" s="137"/>
    </row>
    <row r="110" spans="1:35" ht="18.75" customHeight="1">
      <c r="A110" s="137"/>
      <c r="B110" s="137"/>
      <c r="C110" s="137"/>
      <c r="D110" s="137"/>
      <c r="E110" s="3149"/>
      <c r="F110" s="3150"/>
      <c r="G110" s="2509" t="s">
        <v>2282</v>
      </c>
      <c r="H110" s="370">
        <f ca="1">IF(H109="——","——",ROUND(H109*10000/'数据-汇总表'!E3,0))</f>
        <v>11762</v>
      </c>
      <c r="I110" s="137"/>
    </row>
    <row r="111" spans="1:35" ht="18.75" customHeight="1">
      <c r="A111" s="137"/>
      <c r="B111" s="137"/>
      <c r="C111" s="137"/>
      <c r="D111" s="137"/>
      <c r="E111" s="3151" t="str">
        <f>IF(项目基本情况!E9="抵押净值",IF(OR(项目基本情况!E8="已注销",项目基本情况!E8="房地产抵押价值"),"4.抵押净值","5.抵押净值"),"——")</f>
        <v>4.抵押净值</v>
      </c>
      <c r="F111" s="3152"/>
      <c r="G111" s="2509" t="s">
        <v>2280</v>
      </c>
      <c r="H111" s="1043">
        <f ca="1">IF(E111="——","——",N59)</f>
        <v>25589</v>
      </c>
      <c r="I111" s="137"/>
    </row>
    <row r="112" spans="1:35" ht="18.75" customHeight="1" thickBot="1">
      <c r="A112" s="137"/>
      <c r="B112" s="137"/>
      <c r="C112" s="137"/>
      <c r="D112" s="137"/>
      <c r="E112" s="3153"/>
      <c r="F112" s="3154"/>
      <c r="G112" s="2514" t="s">
        <v>2282</v>
      </c>
      <c r="H112" s="789">
        <f ca="1">IF(E111="——","——",N61)</f>
        <v>10947</v>
      </c>
      <c r="I112" s="137"/>
    </row>
    <row r="113" spans="1:12" ht="18.75" customHeight="1">
      <c r="A113" s="137"/>
      <c r="B113" s="137"/>
      <c r="C113" s="137"/>
      <c r="D113" s="137"/>
      <c r="E113" s="3167" t="s">
        <v>2288</v>
      </c>
      <c r="F113" s="3167"/>
      <c r="G113" s="3167"/>
      <c r="H113" s="3167"/>
      <c r="I113" s="137"/>
    </row>
    <row r="114" spans="1:12" ht="3.75" customHeight="1">
      <c r="A114" s="2407"/>
      <c r="B114" s="2407"/>
      <c r="C114" s="2407"/>
      <c r="D114" s="2407"/>
      <c r="E114" s="2485"/>
      <c r="F114" s="2485"/>
      <c r="G114" s="2485"/>
      <c r="H114" s="2485"/>
      <c r="I114" s="2407"/>
    </row>
    <row r="115" spans="1:12" ht="18.75" customHeight="1">
      <c r="A115" s="3181" t="s">
        <v>2290</v>
      </c>
      <c r="B115" s="3182"/>
      <c r="C115" s="3182"/>
      <c r="D115" s="3182"/>
      <c r="E115" s="3182"/>
      <c r="F115" s="3182"/>
      <c r="G115" s="3182"/>
      <c r="H115" s="3182"/>
      <c r="I115" s="3183"/>
    </row>
    <row r="116" spans="1:12" ht="27" customHeight="1">
      <c r="A116" s="3081" t="s">
        <v>2291</v>
      </c>
      <c r="B116" s="3143" t="s">
        <v>3179</v>
      </c>
      <c r="C116" s="3143" t="s">
        <v>3180</v>
      </c>
      <c r="D116" s="3184" t="s">
        <v>2292</v>
      </c>
      <c r="E116" s="3185"/>
      <c r="F116" s="3177" t="s">
        <v>3258</v>
      </c>
      <c r="G116" s="3177"/>
      <c r="H116" s="3081" t="s">
        <v>2293</v>
      </c>
      <c r="I116" s="3081"/>
    </row>
    <row r="117" spans="1:12" ht="18.75" customHeight="1">
      <c r="A117" s="3081"/>
      <c r="B117" s="3144"/>
      <c r="C117" s="3144"/>
      <c r="D117" s="1790" t="s">
        <v>2294</v>
      </c>
      <c r="E117" s="1790" t="s">
        <v>2295</v>
      </c>
      <c r="F117" s="1790" t="s">
        <v>2294</v>
      </c>
      <c r="G117" s="1790" t="s">
        <v>2296</v>
      </c>
      <c r="H117" s="1790" t="s">
        <v>2294</v>
      </c>
      <c r="I117" s="1790" t="s">
        <v>2296</v>
      </c>
      <c r="K117" s="2985"/>
    </row>
    <row r="118" spans="1:12" ht="24.75" customHeight="1">
      <c r="A118" s="2515" t="str">
        <f>项目基本情况!S2</f>
        <v>重庆市南岸区江南大道69号（南坪街道南坪南路318号）房地产房地产</v>
      </c>
      <c r="B118" s="1790">
        <f>M18</f>
        <v>27271.82</v>
      </c>
      <c r="C118" s="1790">
        <f>M19</f>
        <v>5686.65</v>
      </c>
      <c r="D118" s="1790">
        <f ca="1">ROUND(IF(D32="总价",C34,E118*B118/10000),0)</f>
        <v>15052</v>
      </c>
      <c r="E118" s="1790">
        <f ca="1">ROUND(IF(C33="自定义",IF(D32="楼面单价",C34,D118*10000/B118),I118-G118),0)</f>
        <v>5519</v>
      </c>
      <c r="F118" s="1790">
        <f ca="1">ROUND(IF(D32="总价",C35,G118*B118/10000),0)</f>
        <v>17024</v>
      </c>
      <c r="G118" s="1790">
        <f ca="1">ROUND(IF(D32="楼面单价",C35,F118*10000/B118),0)</f>
        <v>6242</v>
      </c>
      <c r="H118" s="1790">
        <f ca="1">ROUND(IF(D32="总价",C32,I118*B118/10000),0)</f>
        <v>32076</v>
      </c>
      <c r="I118" s="1790">
        <f ca="1">ROUND(IF(D32="楼面单价",C32,H118*10000/B118),0)</f>
        <v>11762</v>
      </c>
    </row>
    <row r="119" spans="1:12" ht="18.75" customHeight="1">
      <c r="A119" s="3081" t="s">
        <v>2297</v>
      </c>
      <c r="B119" s="3081"/>
      <c r="C119" s="3081"/>
      <c r="D119" s="3145" t="str">
        <f ca="1">NUMBERSTRING(INT(D118*10000),2)&amp;"元整"</f>
        <v>壹亿伍仟零伍拾贰万元整</v>
      </c>
      <c r="E119" s="3146"/>
      <c r="F119" s="3145" t="str">
        <f ca="1">NUMBERSTRING(INT(F118*10000),2)&amp;"元整"</f>
        <v>壹亿柒仟零贰拾肆万元整</v>
      </c>
      <c r="G119" s="3146"/>
      <c r="H119" s="3145" t="str">
        <f ca="1">NUMBERSTRING(INT(H118*10000),2)&amp;"元整"</f>
        <v>叁亿贰仟零柒拾陆万元整</v>
      </c>
      <c r="I119" s="3146"/>
      <c r="K119" s="2985"/>
      <c r="L119" s="2985"/>
    </row>
    <row r="120" spans="1:12"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2" ht="18.75" customHeight="1">
      <c r="A121" s="3178" t="s">
        <v>2297</v>
      </c>
      <c r="B121" s="3179"/>
      <c r="C121" s="3180"/>
      <c r="D121" s="3145" t="str">
        <f>IF(D120=0,"零元整",NUMBERSTRING(INT(D120*10000),2)&amp;"元整")</f>
        <v>零元整</v>
      </c>
      <c r="E121" s="3147"/>
      <c r="F121" s="3147"/>
      <c r="G121" s="3147"/>
      <c r="H121" s="3147"/>
      <c r="I121" s="3146"/>
    </row>
    <row r="122" spans="1:12" ht="18.75" customHeight="1">
      <c r="A122" s="3164" t="str">
        <f>IF(项目基本情况!B9="房地产市场价值","",MID(E107,3,LEN(E107)-2))</f>
        <v/>
      </c>
      <c r="B122" s="3164"/>
      <c r="C122" s="3164"/>
      <c r="D122" s="3140" t="str">
        <f>H107</f>
        <v>——</v>
      </c>
      <c r="E122" s="3141"/>
      <c r="F122" s="3141"/>
      <c r="G122" s="3141"/>
      <c r="H122" s="3141"/>
      <c r="I122" s="3142"/>
    </row>
    <row r="123" spans="1:12" ht="18.75" customHeight="1">
      <c r="A123" s="3081" t="s">
        <v>2297</v>
      </c>
      <c r="B123" s="3081"/>
      <c r="C123" s="3081"/>
      <c r="D123" s="3145" t="e">
        <f>NUMBERSTRING(INT(D122*10000),2)&amp;"元整"</f>
        <v>#VALUE!</v>
      </c>
      <c r="E123" s="3147"/>
      <c r="F123" s="3147"/>
      <c r="G123" s="3147"/>
      <c r="H123" s="3147"/>
      <c r="I123" s="3146"/>
    </row>
    <row r="124" spans="1:12" ht="18.75" customHeight="1">
      <c r="A124" s="3164" t="str">
        <f>IF(项目基本情况!B9="房地产市场价值","",MID(E109,3,LEN(E109)-2))</f>
        <v>抵押担保权已注销时的房地产抵押价值</v>
      </c>
      <c r="B124" s="3164"/>
      <c r="C124" s="3164"/>
      <c r="D124" s="3140">
        <f ca="1">H109</f>
        <v>32076</v>
      </c>
      <c r="E124" s="3141"/>
      <c r="F124" s="3141"/>
      <c r="G124" s="3141"/>
      <c r="H124" s="3141"/>
      <c r="I124" s="3142"/>
    </row>
    <row r="125" spans="1:12" ht="18.75" customHeight="1">
      <c r="A125" s="3081" t="s">
        <v>2297</v>
      </c>
      <c r="B125" s="3081"/>
      <c r="C125" s="3081"/>
      <c r="D125" s="3145" t="str">
        <f ca="1">NUMBERSTRING(INT(D124*10000),2)&amp;"元整"</f>
        <v>叁亿贰仟零柒拾陆万元整</v>
      </c>
      <c r="E125" s="3147"/>
      <c r="F125" s="3147"/>
      <c r="G125" s="3147"/>
      <c r="H125" s="3147"/>
      <c r="I125" s="3146"/>
    </row>
    <row r="126" spans="1:12" ht="18.75" customHeight="1">
      <c r="A126" s="3164" t="str">
        <f>IF(项目基本情况!B9="房地产市场价值","",MID(E111,3,LEN(E111)-2))</f>
        <v>抵押净值</v>
      </c>
      <c r="B126" s="3164"/>
      <c r="C126" s="3164"/>
      <c r="D126" s="3140">
        <f ca="1">H111</f>
        <v>25589</v>
      </c>
      <c r="E126" s="3141"/>
      <c r="F126" s="3141"/>
      <c r="G126" s="3141"/>
      <c r="H126" s="3141"/>
      <c r="I126" s="3142"/>
    </row>
    <row r="127" spans="1:12" ht="18.75" customHeight="1">
      <c r="A127" s="3081" t="s">
        <v>2297</v>
      </c>
      <c r="B127" s="3081"/>
      <c r="C127" s="3081"/>
      <c r="D127" s="3145" t="str">
        <f ca="1">NUMBERSTRING(INT(D126*10000),2)&amp;"元整"</f>
        <v>贰亿伍仟伍佰捌拾玖万元整</v>
      </c>
      <c r="E127" s="3147"/>
      <c r="F127" s="3147"/>
      <c r="G127" s="3147"/>
      <c r="H127" s="3147"/>
      <c r="I127" s="3146"/>
    </row>
    <row r="128" spans="1:12" ht="21.75" customHeight="1">
      <c r="A128" s="3200" t="s">
        <v>2298</v>
      </c>
      <c r="B128" s="3200"/>
      <c r="C128" s="3200"/>
      <c r="D128" s="3200"/>
      <c r="E128" s="3200"/>
      <c r="F128" s="3200"/>
      <c r="G128" s="3200"/>
      <c r="H128" s="3200"/>
      <c r="I128" s="3200"/>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 ca="1" si="2">ROUND(R133-P133,0)</f>
        <v>15052</v>
      </c>
      <c r="O133" s="2963" t="e">
        <f t="shared" ref="O133" ca="1" si="3">ROUND(S133-Q133,0)</f>
        <v>#DIV/0!</v>
      </c>
      <c r="P133" s="2963">
        <f ca="1">F118-P132</f>
        <v>17024</v>
      </c>
      <c r="Q133" s="2963" t="e">
        <f t="shared" ref="Q133" ca="1" si="4">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[2]结果表!$D$118</f>
        <v>4976</v>
      </c>
      <c r="O134" s="2963">
        <f>[2]结果表!$E$118</f>
        <v>6714</v>
      </c>
      <c r="P134" s="2963">
        <f>[2]结果表!$F$118</f>
        <v>1983</v>
      </c>
      <c r="Q134" s="2963">
        <f>[2]结果表!$G$118</f>
        <v>2676</v>
      </c>
      <c r="R134" s="2963">
        <f>[2]结果表!$H$118</f>
        <v>6959</v>
      </c>
      <c r="S134" s="2963">
        <f>[2]结果表!$I$118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20028</v>
      </c>
      <c r="O135" s="2963">
        <f ca="1">ROUND(N135*10000/L135,0)</f>
        <v>5775</v>
      </c>
      <c r="P135" s="2963">
        <f ca="1">P134+P133+P132</f>
        <v>19007</v>
      </c>
      <c r="Q135" s="2963">
        <f ca="1">ROUND(P135*10000/L135,0)</f>
        <v>5480</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127">
        <f ca="1">N135*10000</f>
        <v>200280000</v>
      </c>
      <c r="O136" s="3127"/>
      <c r="P136" s="3127">
        <f ca="1">P135*10000</f>
        <v>190070000</v>
      </c>
      <c r="Q136" s="3127"/>
      <c r="R136" s="3127">
        <f ca="1">R135*10000</f>
        <v>390350000</v>
      </c>
      <c r="S136" s="3127"/>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Gc7rovneTDGNSVPua3CCPQAiMwEdSNP711lGnDHX/oPDqk58gpk2/kY7xiqV3RDSojwvB2B8nXBdtmeVRRrBaA==" saltValue="jQubHu+mxpc1/rI69oDgig==" spinCount="100000" sheet="1" objects="1" scenarios="1" formatCells="0" formatColumns="0" formatRows="0"/>
  <mergeCells count="117">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B49:C49"/>
    <mergeCell ref="E107:F108"/>
    <mergeCell ref="E111:F112"/>
    <mergeCell ref="E92:H92"/>
    <mergeCell ref="E103:F103"/>
    <mergeCell ref="E101:F102"/>
    <mergeCell ref="A100:D100"/>
    <mergeCell ref="E109:F110"/>
    <mergeCell ref="A12:A13"/>
    <mergeCell ref="D14:D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H34" sqref="H34"/>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92" t="str">
        <f>项目基本情况!S2</f>
        <v>重庆市南岸区江南大道69号（南坪街道南坪南路318号）房地产房地产</v>
      </c>
      <c r="B2" s="3193"/>
      <c r="C2" s="3193"/>
      <c r="D2" s="3193"/>
      <c r="E2" s="3193"/>
      <c r="F2" s="3193"/>
      <c r="G2" s="3193"/>
      <c r="H2" s="3193"/>
      <c r="I2" s="3194"/>
    </row>
    <row r="3" spans="1:12" ht="12.75">
      <c r="A3" s="3195" t="s">
        <v>2106</v>
      </c>
      <c r="B3" s="3196"/>
      <c r="C3" s="3196"/>
      <c r="D3" s="3196"/>
      <c r="E3" s="3196"/>
      <c r="F3" s="3196"/>
      <c r="G3" s="3196"/>
      <c r="H3" s="3196"/>
      <c r="I3" s="3196"/>
    </row>
    <row r="4" spans="1:12" ht="14.25">
      <c r="A4" s="2414" t="s">
        <v>2107</v>
      </c>
      <c r="B4" s="2415" t="s">
        <v>2108</v>
      </c>
      <c r="C4" s="2416" t="s">
        <v>3141</v>
      </c>
      <c r="D4" s="2416" t="s">
        <v>3136</v>
      </c>
      <c r="E4" s="3175" t="s">
        <v>2109</v>
      </c>
      <c r="F4" s="3189"/>
      <c r="G4" s="3189"/>
      <c r="H4" s="3189"/>
      <c r="I4" s="3176"/>
      <c r="K4" s="2417" t="str">
        <f>IF(ISNUMBER(FIND("比较法",'结果表 (酒店净值2)'!C4)),"比较法",IF(ISNUMBER(FIND("成本法",'结果表 (酒店净值2)'!C4)),"成本法",IF(ISNUMBER(FIND("假设开发法",'结果表 (酒店净值2)'!C4)),"假设开发法",IF(ISNUMBER(FIND("收益法",'结果表 (酒店净值2)'!C4)),"收益法","基准地价系数修正法"))))</f>
        <v>成本法</v>
      </c>
      <c r="L4" s="2417" t="str">
        <f>IF(ISNUMBER(FIND("比较法",'结果表 (酒店净值2)'!D4)),"比较法",IF(ISNUMBER(FIND("成本法",'结果表 (酒店净值2)'!D4)),"成本法",IF(ISNUMBER(FIND("假设开发法",'结果表 (酒店净值2)'!D4)),"假设开发法",IF(ISNUMBER(FIND("收益法",'结果表 (酒店净值2)'!D4)),"收益法","基准地价系数修正法"))))</f>
        <v>收益法</v>
      </c>
    </row>
    <row r="5" spans="1:12" ht="12.75">
      <c r="A5" s="3162" t="s">
        <v>2110</v>
      </c>
      <c r="B5" s="3081">
        <v>25</v>
      </c>
      <c r="C5" s="3197"/>
      <c r="D5" s="3163"/>
      <c r="E5" s="139" t="s">
        <v>2111</v>
      </c>
      <c r="F5" s="2418"/>
      <c r="G5" s="2418"/>
      <c r="H5" s="2418"/>
      <c r="I5" s="1826"/>
    </row>
    <row r="6" spans="1:12" ht="12.75">
      <c r="A6" s="3162"/>
      <c r="B6" s="3081"/>
      <c r="C6" s="3199"/>
      <c r="D6" s="3163"/>
      <c r="E6" s="139" t="s">
        <v>2112</v>
      </c>
      <c r="F6" s="2418"/>
      <c r="G6" s="2418"/>
      <c r="H6" s="2418"/>
      <c r="I6" s="1826"/>
    </row>
    <row r="7" spans="1:12" ht="12.75">
      <c r="A7" s="3162"/>
      <c r="B7" s="3081"/>
      <c r="C7" s="3198"/>
      <c r="D7" s="3163"/>
      <c r="E7" s="139" t="s">
        <v>2113</v>
      </c>
      <c r="F7" s="2418"/>
      <c r="G7" s="2418"/>
      <c r="H7" s="2418"/>
      <c r="I7" s="1826"/>
    </row>
    <row r="8" spans="1:12" ht="12.75">
      <c r="A8" s="3162" t="s">
        <v>2114</v>
      </c>
      <c r="B8" s="3081">
        <v>15</v>
      </c>
      <c r="C8" s="3197"/>
      <c r="D8" s="3163"/>
      <c r="E8" s="139" t="s">
        <v>2115</v>
      </c>
      <c r="F8" s="2418"/>
      <c r="G8" s="2418"/>
      <c r="H8" s="2418"/>
      <c r="I8" s="1826"/>
    </row>
    <row r="9" spans="1:12" ht="12.75">
      <c r="A9" s="3162"/>
      <c r="B9" s="3081"/>
      <c r="C9" s="3198"/>
      <c r="D9" s="3163"/>
      <c r="E9" s="139" t="s">
        <v>2116</v>
      </c>
      <c r="F9" s="2418"/>
      <c r="G9" s="2418"/>
      <c r="H9" s="2418"/>
      <c r="I9" s="1826"/>
    </row>
    <row r="10" spans="1:12" ht="12.75">
      <c r="A10" s="3162" t="s">
        <v>2117</v>
      </c>
      <c r="B10" s="3081">
        <v>15</v>
      </c>
      <c r="C10" s="3197"/>
      <c r="D10" s="3163"/>
      <c r="E10" s="139" t="s">
        <v>2118</v>
      </c>
      <c r="F10" s="2418"/>
      <c r="G10" s="2418"/>
      <c r="H10" s="2418"/>
      <c r="I10" s="1826"/>
    </row>
    <row r="11" spans="1:12" ht="12.75">
      <c r="A11" s="3162"/>
      <c r="B11" s="3081"/>
      <c r="C11" s="3198"/>
      <c r="D11" s="3163"/>
      <c r="E11" s="139" t="s">
        <v>2119</v>
      </c>
      <c r="F11" s="2418"/>
      <c r="G11" s="2418"/>
      <c r="H11" s="2418"/>
      <c r="I11" s="1826"/>
    </row>
    <row r="12" spans="1:12" ht="12.75">
      <c r="A12" s="3162" t="s">
        <v>2120</v>
      </c>
      <c r="B12" s="3081">
        <v>15</v>
      </c>
      <c r="C12" s="3197"/>
      <c r="D12" s="3163"/>
      <c r="E12" s="139" t="s">
        <v>2121</v>
      </c>
      <c r="F12" s="2418"/>
      <c r="G12" s="2418"/>
      <c r="H12" s="2418"/>
      <c r="I12" s="1826"/>
    </row>
    <row r="13" spans="1:12" ht="12.75">
      <c r="A13" s="3162"/>
      <c r="B13" s="3081"/>
      <c r="C13" s="3198"/>
      <c r="D13" s="3163"/>
      <c r="E13" s="139" t="s">
        <v>2122</v>
      </c>
      <c r="F13" s="2418"/>
      <c r="G13" s="2418"/>
      <c r="H13" s="2418"/>
      <c r="I13" s="1826"/>
    </row>
    <row r="14" spans="1:12" ht="12.75">
      <c r="A14" s="3162" t="s">
        <v>2123</v>
      </c>
      <c r="B14" s="3081">
        <v>30</v>
      </c>
      <c r="C14" s="3197">
        <v>65</v>
      </c>
      <c r="D14" s="3163">
        <v>35</v>
      </c>
      <c r="E14" s="139" t="s">
        <v>2124</v>
      </c>
      <c r="F14" s="2418"/>
      <c r="G14" s="2418"/>
      <c r="H14" s="2418"/>
      <c r="I14" s="1826"/>
    </row>
    <row r="15" spans="1:12" ht="12.75">
      <c r="A15" s="3162"/>
      <c r="B15" s="3081"/>
      <c r="C15" s="3199"/>
      <c r="D15" s="3163"/>
      <c r="E15" s="139" t="s">
        <v>2125</v>
      </c>
      <c r="F15" s="2418"/>
      <c r="G15" s="2418"/>
      <c r="H15" s="2418"/>
      <c r="I15" s="1826"/>
    </row>
    <row r="16" spans="1:12" ht="12.75">
      <c r="A16" s="3162"/>
      <c r="B16" s="3081"/>
      <c r="C16" s="3198"/>
      <c r="D16" s="3163"/>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 (酒店净值2)'!B19,INDIRECT("'"&amp;C4&amp;"'"&amp;"!B:B"))</f>
        <v>39971</v>
      </c>
      <c r="D19" s="143">
        <f ca="1">SUMIF(INDIRECT("'"&amp;D4&amp;"'"&amp;"!A:A"),'结果表 (酒店净值2)'!B19,INDIRECT("'"&amp;D4&amp;"'"&amp;"!B:B"))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 (酒店净值2)'!B20,INDIRECT("'"&amp;C4&amp;"'"&amp;"!B:B"))</f>
        <v>14657</v>
      </c>
      <c r="D20" s="146">
        <f ca="1">SUMIF(INDIRECT("'"&amp;D4&amp;"'"&amp;"!A:A"),'结果表 (酒店净值2)'!B20,INDIRECT("'"&amp;D4&amp;"'"&amp;"!B:B"))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207" t="s">
        <v>2141</v>
      </c>
      <c r="B24" s="2424" t="s">
        <v>2133</v>
      </c>
      <c r="C24" s="144">
        <f>IF(B30=0,0,D30)</f>
        <v>0</v>
      </c>
      <c r="D24" s="2431"/>
      <c r="E24" s="137"/>
      <c r="F24" s="137"/>
      <c r="G24" s="137"/>
      <c r="H24" s="137"/>
      <c r="I24" s="137"/>
      <c r="J24" s="797"/>
    </row>
    <row r="25" spans="1:35" ht="15" hidden="1" thickBot="1">
      <c r="A25" s="3208"/>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3144</v>
      </c>
      <c r="D33" s="2441" t="s">
        <v>3141</v>
      </c>
      <c r="E33" s="2442" t="s">
        <v>2150</v>
      </c>
      <c r="F33" s="2991" t="str">
        <f>IF(D32="楼面单价","取值（单价）","取值（总价）")</f>
        <v>取值（总价）</v>
      </c>
      <c r="G33" s="137"/>
      <c r="H33" s="137"/>
      <c r="I33" s="137"/>
      <c r="J33" s="794" t="s">
        <v>3276</v>
      </c>
    </row>
    <row r="34" spans="1:15" ht="15">
      <c r="A34" s="2444"/>
      <c r="B34" s="2445" t="s">
        <v>2151</v>
      </c>
      <c r="C34" s="156">
        <f ca="1">IF(C33="自定义",F34,C32-C35)</f>
        <v>18412</v>
      </c>
      <c r="D34" s="1053">
        <f ca="1">IF(C33="自定义",ROUND(C34/C32,3),IF(C33="收益比率",SUMIF(INDIRECT("'"&amp;D33&amp;"'"&amp;"!b:b"),"土地收益比率",INDIRECT("'"&amp;D33&amp;"'"&amp;"!c:c")),SUMIF(INDIRECT("'"&amp;D33&amp;"'"&amp;"!b:b"),"土地成本比率",INDIRECT("'"&amp;D33&amp;"'"&amp;"!c:c"))))</f>
        <v>0.57400000000000007</v>
      </c>
      <c r="E34" s="2446" t="s">
        <v>2152</v>
      </c>
      <c r="F34" s="1731">
        <f ca="1">G19-F35</f>
        <v>15052</v>
      </c>
      <c r="G34" s="137"/>
      <c r="H34" s="137"/>
      <c r="I34" s="137"/>
      <c r="J34" s="794">
        <v>38991</v>
      </c>
    </row>
    <row r="35" spans="1:15" ht="15.75" thickBot="1">
      <c r="A35" s="2447"/>
      <c r="B35" s="2448" t="s">
        <v>2153</v>
      </c>
      <c r="C35" s="1437">
        <f ca="1">IF(C33="自定义",F35,ROUND(C32*D35,0))</f>
        <v>13664</v>
      </c>
      <c r="D35" s="1438">
        <f ca="1">IF(C33="自定义",ROUND(C35/C32,3),IF(C33="收益比率",SUMIF(INDIRECT("'"&amp;D33&amp;"'"&amp;"!b:b"),"建筑物收益比率",INDIRECT("'"&amp;D33&amp;"'"&amp;"!c:c")),SUMIF(INDIRECT("'"&amp;D33&amp;"'"&amp;"!b:b"),"建筑物成本比率",INDIRECT("'"&amp;D33&amp;"'"&amp;"!c:c"))))</f>
        <v>0.42599999999999999</v>
      </c>
      <c r="E35" s="2449" t="s">
        <v>2154</v>
      </c>
      <c r="F35" s="162">
        <f ca="1">'收益法-酒店'!C13</f>
        <v>17024</v>
      </c>
      <c r="G35" s="137"/>
      <c r="H35" s="137"/>
      <c r="I35" s="137"/>
      <c r="J35" s="2982"/>
    </row>
    <row r="36" spans="1:15" ht="15.75" thickBot="1">
      <c r="A36" s="3186" t="s">
        <v>2155</v>
      </c>
      <c r="B36" s="2450" t="s">
        <v>2156</v>
      </c>
      <c r="C36" s="153"/>
      <c r="D36" s="2451" t="s">
        <v>3145</v>
      </c>
      <c r="E36" s="2452"/>
      <c r="F36" s="2453"/>
      <c r="G36" s="137"/>
      <c r="H36" s="137"/>
      <c r="I36" s="137"/>
      <c r="J36" s="2982"/>
    </row>
    <row r="37" spans="1:15" ht="15.75" thickBot="1">
      <c r="A37" s="3187"/>
      <c r="B37" s="2257" t="s">
        <v>2157</v>
      </c>
      <c r="C37" s="155"/>
      <c r="D37" s="1388"/>
      <c r="E37" s="1388"/>
      <c r="F37" s="2453"/>
      <c r="G37" s="137"/>
      <c r="H37" s="137"/>
      <c r="I37" s="137"/>
    </row>
    <row r="38" spans="1:15" ht="15.75" thickBot="1">
      <c r="A38" s="3188"/>
      <c r="B38" s="2454" t="s">
        <v>2158</v>
      </c>
      <c r="C38" s="726"/>
      <c r="D38" s="2455" t="s">
        <v>2159</v>
      </c>
      <c r="E38" s="1388"/>
      <c r="F38" s="2453"/>
      <c r="G38" s="137"/>
      <c r="H38" s="137"/>
      <c r="I38" s="137"/>
    </row>
    <row r="39" spans="1:15" ht="15">
      <c r="A39" s="2426" t="s">
        <v>2160</v>
      </c>
      <c r="B39" s="2456" t="s">
        <v>2143</v>
      </c>
      <c r="C39" s="2457" t="s">
        <v>2144</v>
      </c>
      <c r="D39" s="2457" t="s">
        <v>2163</v>
      </c>
      <c r="E39" s="2458" t="s">
        <v>2145</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204" t="s">
        <v>2169</v>
      </c>
      <c r="B45" s="3205"/>
      <c r="C45" s="3206"/>
      <c r="D45" s="163">
        <f ca="1">G19-结果表!D45</f>
        <v>4581</v>
      </c>
      <c r="E45" s="164" t="s">
        <v>2170</v>
      </c>
      <c r="F45" s="165">
        <v>1</v>
      </c>
      <c r="G45" s="166" t="s">
        <v>2171</v>
      </c>
      <c r="H45" s="137"/>
      <c r="I45" s="137"/>
      <c r="J45" s="3130" t="s">
        <v>2172</v>
      </c>
      <c r="K45" s="3130"/>
      <c r="L45" s="3130"/>
      <c r="M45" s="3130"/>
      <c r="N45" s="3130"/>
      <c r="O45" s="3130"/>
    </row>
    <row r="46" spans="1:15" ht="14.25" customHeight="1">
      <c r="A46" s="3201" t="s">
        <v>2173</v>
      </c>
      <c r="B46" s="3202"/>
      <c r="C46" s="3202"/>
      <c r="D46" s="3202"/>
      <c r="E46" s="3202"/>
      <c r="F46" s="3202"/>
      <c r="G46" s="3203"/>
      <c r="H46" s="2469"/>
      <c r="I46" s="167"/>
      <c r="J46" s="2993">
        <v>1</v>
      </c>
      <c r="K46" s="3130" t="s">
        <v>2174</v>
      </c>
      <c r="L46" s="3130"/>
      <c r="M46" s="3131"/>
      <c r="N46" s="3131"/>
      <c r="O46" s="3131"/>
    </row>
    <row r="47" spans="1:15" ht="12" customHeight="1">
      <c r="A47" s="168" t="s">
        <v>2175</v>
      </c>
      <c r="B47" s="169"/>
      <c r="C47" s="170"/>
      <c r="D47" s="171" t="s">
        <v>2176</v>
      </c>
      <c r="E47" s="24" t="s">
        <v>2177</v>
      </c>
      <c r="F47" s="172" t="s">
        <v>2178</v>
      </c>
      <c r="G47" s="173" t="s">
        <v>2179</v>
      </c>
      <c r="H47" s="2469"/>
      <c r="I47" s="167"/>
      <c r="J47" s="2993">
        <v>2</v>
      </c>
      <c r="K47" s="3130" t="s">
        <v>2180</v>
      </c>
      <c r="L47" s="3130"/>
      <c r="M47" s="3132">
        <f>'数据-取费表'!B2</f>
        <v>44312</v>
      </c>
      <c r="N47" s="3132"/>
      <c r="O47" s="3132"/>
    </row>
    <row r="48" spans="1:15" ht="25.5">
      <c r="A48" s="3190" t="s">
        <v>2181</v>
      </c>
      <c r="B48" s="3191"/>
      <c r="C48" s="3191"/>
      <c r="D48" s="139">
        <f ca="1">IF(H48="情况1",0,IF(H48="情况2",D52,IF(H48="情况3",D53,IF(H48="情况4",D54))))</f>
        <v>56</v>
      </c>
      <c r="E48" s="2996" t="str">
        <f>IF(H48="情况4","(销售额-原购置价)×税（费）率","销售额×税（费）率")</f>
        <v>(销售额-原购置价)×税（费）率</v>
      </c>
      <c r="F48" s="174">
        <f>IF(H48="情况1","免征",'数据-取费表'!B41)</f>
        <v>5.6000000000000001E-2</v>
      </c>
      <c r="G48" s="2470" t="s">
        <v>2182</v>
      </c>
      <c r="H48" s="2471" t="s">
        <v>3278</v>
      </c>
      <c r="I48" s="2469"/>
      <c r="J48" s="2993">
        <v>3</v>
      </c>
      <c r="K48" s="3130" t="s">
        <v>2183</v>
      </c>
      <c r="L48" s="3130"/>
      <c r="M48" s="3133">
        <f ca="1">D45</f>
        <v>4581</v>
      </c>
      <c r="N48" s="3133"/>
      <c r="O48" s="3133"/>
    </row>
    <row r="49" spans="1:35" ht="25.5" customHeight="1">
      <c r="A49" s="175" t="s">
        <v>2184</v>
      </c>
      <c r="B49" s="3148" t="s">
        <v>2185</v>
      </c>
      <c r="C49" s="3148"/>
      <c r="D49" s="176">
        <v>0</v>
      </c>
      <c r="E49" s="23" t="s">
        <v>2186</v>
      </c>
      <c r="F49" s="28" t="s">
        <v>34</v>
      </c>
      <c r="G49" s="3216"/>
      <c r="H49" s="137"/>
      <c r="I49" s="2472"/>
      <c r="J49" s="2993">
        <v>4</v>
      </c>
      <c r="K49" s="3130" t="str">
        <f>IF(项目基本情况!E8="房地产抵押价值","房地产抵押价值","抵押担保权已注销时的房地产抵押价值")</f>
        <v>抵押担保权已注销时的房地产抵押价值</v>
      </c>
      <c r="L49" s="3130"/>
      <c r="M49" s="3133">
        <f ca="1">M48</f>
        <v>4581</v>
      </c>
      <c r="N49" s="3133"/>
      <c r="O49" s="3133"/>
    </row>
    <row r="50" spans="1:35" ht="25.5" customHeight="1">
      <c r="A50" s="177"/>
      <c r="B50" s="3148" t="s">
        <v>2187</v>
      </c>
      <c r="C50" s="3148"/>
      <c r="D50" s="178"/>
      <c r="E50" s="31"/>
      <c r="F50" s="179"/>
      <c r="G50" s="3217"/>
      <c r="H50" s="137"/>
      <c r="I50" s="2472"/>
      <c r="J50" s="3130" t="s">
        <v>2188</v>
      </c>
      <c r="K50" s="3130"/>
      <c r="L50" s="3130"/>
      <c r="M50" s="3130"/>
      <c r="N50" s="3130"/>
      <c r="O50" s="3130"/>
    </row>
    <row r="51" spans="1:35" ht="12" customHeight="1">
      <c r="A51" s="180"/>
      <c r="B51" s="3148" t="s">
        <v>2189</v>
      </c>
      <c r="C51" s="3148"/>
      <c r="D51" s="181"/>
      <c r="E51" s="30"/>
      <c r="F51" s="179"/>
      <c r="G51" s="3218"/>
      <c r="H51" s="137"/>
      <c r="I51" s="2472"/>
      <c r="J51" s="2992" t="s">
        <v>2190</v>
      </c>
      <c r="K51" s="3130" t="s">
        <v>2191</v>
      </c>
      <c r="L51" s="3130"/>
      <c r="M51" s="2992" t="s">
        <v>2192</v>
      </c>
      <c r="N51" s="2992" t="s">
        <v>2193</v>
      </c>
      <c r="O51" s="2992" t="s">
        <v>2194</v>
      </c>
    </row>
    <row r="52" spans="1:35" ht="24" customHeight="1">
      <c r="A52" s="182" t="s">
        <v>2195</v>
      </c>
      <c r="B52" s="3148" t="s">
        <v>2196</v>
      </c>
      <c r="C52" s="3148"/>
      <c r="D52" s="181">
        <f ca="1">ROUND(D45*'数据-取费表'!B41/(1+'数据-取费表'!C42),0)</f>
        <v>244</v>
      </c>
      <c r="E52" s="11" t="s">
        <v>2197</v>
      </c>
      <c r="F52" s="183">
        <f>'数据-取费表'!B41</f>
        <v>5.6000000000000001E-2</v>
      </c>
      <c r="G52" s="2474"/>
      <c r="H52" s="137"/>
      <c r="I52" s="2472"/>
      <c r="J52" s="2993">
        <v>1</v>
      </c>
      <c r="K52" s="3136" t="s">
        <v>2198</v>
      </c>
      <c r="L52" s="3136"/>
      <c r="M52" s="1746">
        <f ca="1">D48</f>
        <v>56</v>
      </c>
      <c r="N52" s="2993" t="str">
        <f>E48</f>
        <v>(销售额-原购置价)×税（费）率</v>
      </c>
      <c r="O52" s="1747">
        <f>F48</f>
        <v>5.6000000000000001E-2</v>
      </c>
    </row>
    <row r="53" spans="1:35" ht="12" customHeight="1">
      <c r="A53" s="182" t="s">
        <v>2199</v>
      </c>
      <c r="B53" s="3168" t="s">
        <v>2200</v>
      </c>
      <c r="C53" s="3169"/>
      <c r="D53" s="181">
        <f ca="1">ROUND(D45*'数据-取费表'!B41/(1+'数据-取费表'!C42),0)</f>
        <v>244</v>
      </c>
      <c r="E53" s="11" t="s">
        <v>2197</v>
      </c>
      <c r="F53" s="183">
        <f>'数据-取费表'!B41</f>
        <v>5.6000000000000001E-2</v>
      </c>
      <c r="G53" s="2474"/>
      <c r="H53" s="137"/>
      <c r="I53" s="2472"/>
      <c r="J53" s="2993">
        <v>2</v>
      </c>
      <c r="K53" s="3136" t="s">
        <v>2201</v>
      </c>
      <c r="L53" s="3136"/>
      <c r="M53" s="1746">
        <f t="shared" ref="M53:O54" ca="1" si="0">D55</f>
        <v>2</v>
      </c>
      <c r="N53" s="2993" t="str">
        <f t="shared" si="0"/>
        <v>销售额×税（费）率</v>
      </c>
      <c r="O53" s="1747">
        <f t="shared" si="0"/>
        <v>5.0000000000000001E-4</v>
      </c>
    </row>
    <row r="54" spans="1:35" ht="12" customHeight="1">
      <c r="A54" s="182" t="s">
        <v>2202</v>
      </c>
      <c r="B54" s="3168" t="s">
        <v>2203</v>
      </c>
      <c r="C54" s="3169"/>
      <c r="D54" s="181">
        <f ca="1">C68</f>
        <v>56</v>
      </c>
      <c r="E54" s="30" t="s">
        <v>2204</v>
      </c>
      <c r="F54" s="183">
        <f>'数据-取费表'!B41</f>
        <v>5.6000000000000001E-2</v>
      </c>
      <c r="G54" s="2474"/>
      <c r="H54" s="2475"/>
      <c r="I54" s="2472"/>
      <c r="J54" s="2993">
        <v>3</v>
      </c>
      <c r="K54" s="3136" t="s">
        <v>2205</v>
      </c>
      <c r="L54" s="3136"/>
      <c r="M54" s="1746">
        <f t="shared" ca="1" si="0"/>
        <v>259</v>
      </c>
      <c r="N54" s="2993" t="str">
        <f t="shared" si="0"/>
        <v>增值额×税（费）率</v>
      </c>
      <c r="O54" s="1748" t="str">
        <f t="shared" si="0"/>
        <v>——</v>
      </c>
    </row>
    <row r="55" spans="1:35" ht="24" customHeight="1">
      <c r="A55" s="3210" t="s">
        <v>2206</v>
      </c>
      <c r="B55" s="3191"/>
      <c r="C55" s="3191"/>
      <c r="D55" s="184">
        <f ca="1">IF(H55="个人住宅",0,ROUND(D45*I55,0))</f>
        <v>2</v>
      </c>
      <c r="E55" s="11" t="s">
        <v>2207</v>
      </c>
      <c r="F55" s="183">
        <f>IF(H55="正常",I55,"免征")</f>
        <v>5.0000000000000001E-4</v>
      </c>
      <c r="G55" s="2474"/>
      <c r="H55" s="2471" t="s">
        <v>2208</v>
      </c>
      <c r="I55" s="185">
        <f>'数据-取费表'!B49</f>
        <v>5.0000000000000001E-4</v>
      </c>
      <c r="J55" s="2993" t="str">
        <f>IF(H59="非个人房产","",4)</f>
        <v/>
      </c>
      <c r="K55" s="3136" t="str">
        <f>IF(H59="非个人房产","——","个人所得税")</f>
        <v>——</v>
      </c>
      <c r="L55" s="3136"/>
      <c r="M55" s="1749" t="str">
        <f>D59</f>
        <v>——</v>
      </c>
      <c r="N55" s="3003" t="str">
        <f>E59</f>
        <v>——</v>
      </c>
      <c r="O55" s="1750" t="str">
        <f>F59</f>
        <v>——</v>
      </c>
    </row>
    <row r="56" spans="1:35" ht="24.75">
      <c r="A56" s="3210" t="s">
        <v>2209</v>
      </c>
      <c r="B56" s="3191"/>
      <c r="C56" s="3191"/>
      <c r="D56" s="184">
        <f ca="1">IF(H56="个人住宅",D57,D58)</f>
        <v>259</v>
      </c>
      <c r="E56" s="11" t="s">
        <v>2210</v>
      </c>
      <c r="F56" s="183" t="str">
        <f>IF(H56="正常",F58,"免征")</f>
        <v>——</v>
      </c>
      <c r="G56" s="2476" t="s">
        <v>2211</v>
      </c>
      <c r="H56" s="2477" t="s">
        <v>2208</v>
      </c>
      <c r="I56" s="2478"/>
      <c r="J56" s="2993" t="str">
        <f>IF(项目基本情况!K6="上海银行",IF(J55="",4,J55+1),"")</f>
        <v/>
      </c>
      <c r="K56" s="3137" t="str">
        <f>IF(项目基本情况!K6="上海银行","其他处置费用","")</f>
        <v/>
      </c>
      <c r="L56" s="3138"/>
      <c r="M56" s="1746" t="str">
        <f>IF(项目基本情况!K6="上海银行",M69,"")</f>
        <v/>
      </c>
      <c r="N56" s="3128" t="str">
        <f>IF(项目基本情况!K6="上海银行","包含处置中涉及的律师、诉讼、拍卖、评估等费用","")</f>
        <v/>
      </c>
      <c r="O56" s="3129"/>
    </row>
    <row r="57" spans="1:35" ht="12.75">
      <c r="A57" s="182" t="s">
        <v>2184</v>
      </c>
      <c r="B57" s="3175" t="s">
        <v>2212</v>
      </c>
      <c r="C57" s="3176"/>
      <c r="D57" s="186">
        <v>0</v>
      </c>
      <c r="E57" s="23" t="s">
        <v>2186</v>
      </c>
      <c r="F57" s="154"/>
      <c r="G57" s="2474"/>
      <c r="H57" s="2478"/>
      <c r="I57" s="2478"/>
      <c r="J57" s="3136">
        <f>IF(AND(J55="",J56=""),4,IF(项目基本情况!K6="上海银行",'结果表 (酒店净值2)'!J56+1,'结果表 (酒店净值2)'!J55+1))</f>
        <v>4</v>
      </c>
      <c r="K57" s="3136" t="s">
        <v>2213</v>
      </c>
      <c r="L57" s="2479" t="s">
        <v>2214</v>
      </c>
      <c r="M57" s="1751"/>
      <c r="N57" s="1752">
        <f ca="1">SUMIF(M52:M56,"&lt;9e307")</f>
        <v>317</v>
      </c>
      <c r="O57" s="2480"/>
      <c r="P57" s="1745">
        <f ca="1">N57/M49</f>
        <v>6.919886487666449E-2</v>
      </c>
    </row>
    <row r="58" spans="1:35" ht="24.75">
      <c r="A58" s="182" t="s">
        <v>2195</v>
      </c>
      <c r="B58" s="3175" t="s">
        <v>2215</v>
      </c>
      <c r="C58" s="3189"/>
      <c r="D58" s="184">
        <f ca="1">IF(H58="转让取得",C81,C97)</f>
        <v>259</v>
      </c>
      <c r="E58" s="11" t="s">
        <v>2210</v>
      </c>
      <c r="F58" s="24" t="s">
        <v>34</v>
      </c>
      <c r="G58" s="2474"/>
      <c r="H58" s="2477" t="s">
        <v>3279</v>
      </c>
      <c r="I58" s="2478"/>
      <c r="J58" s="3136"/>
      <c r="K58" s="3136"/>
      <c r="L58" s="2479" t="s">
        <v>2216</v>
      </c>
      <c r="M58" s="1753"/>
      <c r="N58" s="2481" t="str">
        <f ca="1">NUMBERSTRING(INT(N57*10000),2)&amp;"元整"</f>
        <v>叁佰壹拾柒万元整</v>
      </c>
      <c r="O58" s="2482"/>
    </row>
    <row r="59" spans="1:35" ht="24.75" thickBot="1">
      <c r="A59" s="3214" t="s">
        <v>2217</v>
      </c>
      <c r="B59" s="3215"/>
      <c r="C59" s="3215"/>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134">
        <f>J57+1</f>
        <v>5</v>
      </c>
      <c r="K59" s="3136" t="s">
        <v>2219</v>
      </c>
      <c r="L59" s="2993" t="s">
        <v>2214</v>
      </c>
      <c r="M59" s="1754"/>
      <c r="N59" s="1755">
        <f ca="1">M49-N57</f>
        <v>4264</v>
      </c>
      <c r="O59" s="2484"/>
    </row>
    <row r="60" spans="1:35" ht="12" customHeight="1">
      <c r="A60" s="2485"/>
      <c r="B60" s="2407"/>
      <c r="C60" s="2407"/>
      <c r="D60" s="2407"/>
      <c r="E60" s="2157"/>
      <c r="F60" s="2478"/>
      <c r="G60" s="2478"/>
      <c r="H60" s="2486"/>
      <c r="I60" s="137"/>
      <c r="J60" s="3135"/>
      <c r="K60" s="3136"/>
      <c r="L60" s="2479" t="s">
        <v>2216</v>
      </c>
      <c r="M60" s="1753"/>
      <c r="N60" s="2481" t="str">
        <f ca="1">NUMBERSTRING(INT(N59*10000),2)&amp;"元整"</f>
        <v>肆仟贰佰陆拾肆万元整</v>
      </c>
      <c r="O60" s="2482"/>
    </row>
    <row r="61" spans="1:35" ht="13.5" thickBot="1">
      <c r="A61" s="3209" t="s">
        <v>2220</v>
      </c>
      <c r="B61" s="3209"/>
      <c r="C61" s="3209"/>
      <c r="D61" s="3209"/>
      <c r="E61" s="3209"/>
      <c r="F61" s="2478"/>
      <c r="G61" s="2478"/>
      <c r="H61" s="2486"/>
      <c r="I61" s="137"/>
      <c r="J61" s="2993">
        <f>J59+1</f>
        <v>6</v>
      </c>
      <c r="K61" s="3136" t="s">
        <v>2221</v>
      </c>
      <c r="L61" s="3136"/>
      <c r="M61" s="1756"/>
      <c r="N61" s="1757">
        <f ca="1">ROUND(N59*10000/'数据-基础表'!G14,0)</f>
        <v>10945</v>
      </c>
      <c r="O61" s="2487"/>
    </row>
    <row r="62" spans="1:35" ht="12.75">
      <c r="A62" s="3170" t="s">
        <v>2222</v>
      </c>
      <c r="B62" s="3171"/>
      <c r="C62" s="2998"/>
      <c r="D62" s="2998" t="s">
        <v>2223</v>
      </c>
      <c r="E62" s="191" t="s">
        <v>2224</v>
      </c>
      <c r="F62" s="2478"/>
      <c r="G62" s="2478"/>
      <c r="H62" s="2486"/>
      <c r="I62" s="137"/>
    </row>
    <row r="63" spans="1:35" ht="12.75">
      <c r="A63" s="202" t="s">
        <v>775</v>
      </c>
      <c r="B63" s="192" t="s">
        <v>2225</v>
      </c>
      <c r="C63" s="193">
        <f ca="1">ROUND((C64+C65)/(1+'数据-取费表'!C42),0)</f>
        <v>4363</v>
      </c>
      <c r="D63" s="194"/>
      <c r="E63" s="195"/>
      <c r="F63" s="2478"/>
      <c r="G63" s="2478"/>
      <c r="H63" s="2486"/>
      <c r="I63" s="137"/>
      <c r="J63" s="3139" t="s">
        <v>2226</v>
      </c>
      <c r="K63" s="3004" t="s">
        <v>2227</v>
      </c>
      <c r="L63" s="1744">
        <f ca="1">IF(M49&gt;10000,M49*0.5%,IF(AND(M49&gt;1000,M49&lt;=10000),M49*1%,IF(AND(M49&gt;100,M49&lt;=1000),M49*3%,IF(AND(M49&gt;10,M49&lt;=100),M49*5%,M49*8%))))</f>
        <v>45.81</v>
      </c>
      <c r="M63" s="24">
        <f ca="1">ROUND(L63,1)</f>
        <v>45.8</v>
      </c>
      <c r="Z63" s="2412"/>
      <c r="AI63" s="2413"/>
    </row>
    <row r="64" spans="1:35" ht="14.25" customHeight="1">
      <c r="A64" s="196" t="s">
        <v>770</v>
      </c>
      <c r="B64" s="197" t="s">
        <v>2228</v>
      </c>
      <c r="C64" s="198">
        <f ca="1">D45</f>
        <v>4581</v>
      </c>
      <c r="D64" s="199" t="s">
        <v>32</v>
      </c>
      <c r="E64" s="200"/>
      <c r="F64" s="2478"/>
      <c r="G64" s="2478"/>
      <c r="H64" s="2486"/>
      <c r="I64" s="137"/>
      <c r="J64" s="3139"/>
      <c r="K64" s="3004" t="s">
        <v>2229</v>
      </c>
      <c r="L64" s="1744">
        <f ca="1">IF(M49&gt;2000,M49*0.5%,IF(AND(M49&gt;1000,M49&lt;=2000),M49*0.6%,IF(AND(M49&gt;500,M49&lt;=1000),M49*0.7%,IF(AND(M49&gt;200,M49&lt;=500),M49*0.8%,IF(AND(M49&gt;100,M49&lt;=200),M49*0.9%,IF(AND(M49&gt;50,M49&lt;=100),M49*1%,IF(AND(M49&gt;20,M49&lt;=50),M49*1.5%,IF(AND(M49&gt;10,M49&lt;=20),M49*2%,IF(AND(M49&gt;1,M49&lt;=10),M49*2.5%)))))))))</f>
        <v>22.905000000000001</v>
      </c>
      <c r="M64" s="24">
        <f t="shared" ref="M64:M65" ca="1" si="1">ROUND(L64,1)</f>
        <v>22.9</v>
      </c>
      <c r="N64" s="137" t="s">
        <v>2230</v>
      </c>
      <c r="Z64" s="2412"/>
      <c r="AI64" s="2413"/>
    </row>
    <row r="65" spans="1:35" ht="14.25" customHeight="1">
      <c r="A65" s="196" t="s">
        <v>771</v>
      </c>
      <c r="B65" s="197" t="s">
        <v>2231</v>
      </c>
      <c r="C65" s="201"/>
      <c r="D65" s="199"/>
      <c r="E65" s="200"/>
      <c r="F65" s="2478"/>
      <c r="G65" s="2478"/>
      <c r="H65" s="2486"/>
      <c r="I65" s="137"/>
      <c r="J65" s="3139"/>
      <c r="K65" s="3004" t="s">
        <v>2232</v>
      </c>
      <c r="L65" s="1744">
        <f ca="1">IF(M49&gt;1000,M49*0.1%,IF(AND(M49&gt;500,M49&lt;=1000),M49*0.5%,IF(AND(M49&gt;50,M49&lt;=500),M49*1%,IF(AND(M49&gt;1,M49&lt;=50),M49*1.5%))))</f>
        <v>4.5810000000000004</v>
      </c>
      <c r="M65" s="24">
        <f t="shared" ca="1" si="1"/>
        <v>4.5999999999999996</v>
      </c>
      <c r="N65" s="137" t="s">
        <v>2230</v>
      </c>
      <c r="Z65" s="2412"/>
      <c r="AI65" s="2413"/>
    </row>
    <row r="66" spans="1:35" ht="14.25" customHeight="1">
      <c r="A66" s="202" t="s">
        <v>772</v>
      </c>
      <c r="B66" s="203" t="s">
        <v>2233</v>
      </c>
      <c r="C66" s="204">
        <f>C75</f>
        <v>3370</v>
      </c>
      <c r="D66" s="205" t="s">
        <v>32</v>
      </c>
      <c r="E66" s="1768" t="s">
        <v>1370</v>
      </c>
      <c r="F66" s="2478"/>
      <c r="G66" s="2478"/>
      <c r="H66" s="2486"/>
      <c r="I66" s="137"/>
      <c r="J66" s="3139"/>
      <c r="K66" s="3004" t="s">
        <v>2234</v>
      </c>
      <c r="L66" s="1744">
        <f ca="1">M49*0.5%</f>
        <v>22.905000000000001</v>
      </c>
      <c r="M66" s="24">
        <f ca="1">IF(L66&gt;0.5,0.5,ROUND(L66,0))</f>
        <v>0.5</v>
      </c>
      <c r="N66" s="137" t="s">
        <v>2235</v>
      </c>
      <c r="Z66" s="2412"/>
      <c r="AI66" s="2413"/>
    </row>
    <row r="67" spans="1:35" ht="14.25" customHeight="1">
      <c r="A67" s="202" t="s">
        <v>773</v>
      </c>
      <c r="B67" s="203" t="s">
        <v>2236</v>
      </c>
      <c r="C67" s="206">
        <f ca="1">C63-C66</f>
        <v>993</v>
      </c>
      <c r="D67" s="199" t="s">
        <v>32</v>
      </c>
      <c r="E67" s="200"/>
      <c r="F67" s="2478"/>
      <c r="G67" s="2478"/>
      <c r="H67" s="2486"/>
      <c r="I67" s="137"/>
      <c r="J67" s="3139"/>
      <c r="K67" s="3004" t="s">
        <v>2237</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7" t="s">
        <v>774</v>
      </c>
      <c r="B68" s="208" t="s">
        <v>2238</v>
      </c>
      <c r="C68" s="209">
        <f ca="1">IF(C67&lt;=0,0,ROUND(C67*D68,0))</f>
        <v>56</v>
      </c>
      <c r="D68" s="210">
        <f>'数据-取费表'!B41</f>
        <v>5.6000000000000001E-2</v>
      </c>
      <c r="E68" s="211"/>
      <c r="F68" s="2478"/>
      <c r="G68" s="2478"/>
      <c r="H68" s="2486"/>
      <c r="I68" s="137"/>
      <c r="J68" s="3139"/>
      <c r="K68" s="3004" t="s">
        <v>2239</v>
      </c>
      <c r="L68" s="1744">
        <f ca="1">IF(M49&gt;10000,M49*0.5%,IF(AND(M49&gt;5000,M49&lt;=10000),M49*1%,IF(AND(M49&gt;1000,M49&lt;=5000),M49*2%,IF(AND(M49&gt;200,M49&lt;=1000),M49*3%,M49*5%))))</f>
        <v>91.62</v>
      </c>
      <c r="M68" s="24">
        <f ca="1">ROUND(L68,1)</f>
        <v>91.6</v>
      </c>
      <c r="Z68" s="2412"/>
      <c r="AI68" s="2413"/>
    </row>
    <row r="69" spans="1:35" s="2435" customFormat="1" ht="16.5" customHeight="1">
      <c r="A69" s="2489"/>
      <c r="B69" s="2490"/>
      <c r="C69" s="2491"/>
      <c r="D69" s="2492"/>
      <c r="E69" s="2493"/>
      <c r="F69" s="2157"/>
      <c r="G69" s="2157"/>
      <c r="H69" s="2156"/>
      <c r="I69" s="2407"/>
      <c r="J69" s="3139"/>
      <c r="K69" s="3004" t="s">
        <v>2240</v>
      </c>
      <c r="L69" s="2494"/>
      <c r="M69" s="24">
        <f ca="1">ROUND(SUM(M63:M68),0)</f>
        <v>168</v>
      </c>
      <c r="N69" s="1745">
        <f ca="1">M69/M49</f>
        <v>3.6673215455140802E-2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73" t="s">
        <v>2241</v>
      </c>
      <c r="B70" s="3174"/>
      <c r="C70" s="3174"/>
      <c r="D70" s="3174"/>
      <c r="E70" s="3174"/>
      <c r="F70" s="3174"/>
      <c r="G70" s="3174"/>
      <c r="H70" s="317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70" t="s">
        <v>2222</v>
      </c>
      <c r="B71" s="3171"/>
      <c r="C71" s="2998"/>
      <c r="D71" s="2998"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4363</v>
      </c>
      <c r="D72" s="199" t="s">
        <v>32</v>
      </c>
      <c r="E72" s="3000"/>
      <c r="F72" s="2999"/>
      <c r="G72" s="299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3499</v>
      </c>
      <c r="D73" s="199" t="s">
        <v>32</v>
      </c>
      <c r="E73" s="3000"/>
      <c r="F73" s="2999"/>
      <c r="G73" s="299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3473</v>
      </c>
      <c r="D74" s="199" t="s">
        <v>32</v>
      </c>
      <c r="E74" s="3000"/>
      <c r="F74" s="2999"/>
      <c r="G74" s="299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ROUND(30000/'数据-基础表'!B3*'数据-基础表'!G14,0)</f>
        <v>3370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8" t="s">
        <v>2249</v>
      </c>
      <c r="F76" s="3148"/>
      <c r="G76" s="3148"/>
      <c r="H76" s="317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103</v>
      </c>
      <c r="D77" s="222">
        <f>'数据-取费表'!B48+'数据-取费表'!B49</f>
        <v>3.0499999999999999E-2</v>
      </c>
      <c r="E77" s="3002" t="s">
        <v>2251</v>
      </c>
      <c r="F77" s="223"/>
      <c r="G77" s="2502" t="s">
        <v>3314</v>
      </c>
      <c r="H77" s="30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26</v>
      </c>
      <c r="D78" s="225">
        <f>'数据-取费表'!B43</f>
        <v>6.000000000000001E-3</v>
      </c>
      <c r="E78" s="3155" t="s">
        <v>2253</v>
      </c>
      <c r="F78" s="3156"/>
      <c r="G78" s="3156"/>
      <c r="H78" s="315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773</v>
      </c>
      <c r="B79" s="203" t="s">
        <v>2254</v>
      </c>
      <c r="C79" s="206">
        <f ca="1">C72-C73</f>
        <v>864</v>
      </c>
      <c r="D79" s="199" t="s">
        <v>32</v>
      </c>
      <c r="E79" s="3000"/>
      <c r="F79" s="2999"/>
      <c r="G79" s="299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0.24692769362675049</v>
      </c>
      <c r="D80" s="199" t="s">
        <v>32</v>
      </c>
      <c r="E80" s="3002" t="str">
        <f ca="1">IF(C80&gt;=200%,"增值额超过扣除项目金额200%",IF(C80&gt;=100%,"增值额超过扣除项目金额100%，未超过200%",IF(C80&gt;=50%,"增值额超过扣除项目金额50%，未超过100%",IF(C80&lt;50%,"增值额未超过扣除项目金额50%"))))</f>
        <v>增值额未超过扣除项目金额50%</v>
      </c>
      <c r="F80" s="2999"/>
      <c r="G80" s="299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259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3" t="s">
        <v>2257</v>
      </c>
      <c r="B83" s="3174"/>
      <c r="C83" s="3174"/>
      <c r="D83" s="3174"/>
      <c r="E83" s="3174"/>
      <c r="F83" s="3174"/>
      <c r="G83" s="3174"/>
      <c r="H83" s="317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70" t="s">
        <v>2222</v>
      </c>
      <c r="B84" s="3171"/>
      <c r="C84" s="2998"/>
      <c r="D84" s="2998"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4363</v>
      </c>
      <c r="D85" s="199" t="s">
        <v>32</v>
      </c>
      <c r="E85" s="3000"/>
      <c r="F85" s="2999"/>
      <c r="G85" s="299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26</v>
      </c>
      <c r="D86" s="234"/>
      <c r="E86" s="3000"/>
      <c r="F86" s="2999"/>
      <c r="G86" s="299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2994"/>
      <c r="F87" s="2995"/>
      <c r="G87" s="2995"/>
      <c r="H87" s="2997"/>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2995"/>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2995"/>
      <c r="G89" s="2995"/>
      <c r="H89" s="2997"/>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2995"/>
      <c r="G90" s="2995"/>
      <c r="H90" s="2997"/>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55" t="s">
        <v>2266</v>
      </c>
      <c r="F91" s="3156"/>
      <c r="G91" s="3156"/>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55" t="s">
        <v>2270</v>
      </c>
      <c r="F92" s="3156"/>
      <c r="G92" s="3156"/>
      <c r="H92" s="315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26</v>
      </c>
      <c r="D93" s="225">
        <f>'数据-取费表'!B43</f>
        <v>6.000000000000001E-3</v>
      </c>
      <c r="E93" s="3155" t="s">
        <v>2253</v>
      </c>
      <c r="F93" s="3156"/>
      <c r="G93" s="3156"/>
      <c r="H93" s="315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211" t="s">
        <v>2274</v>
      </c>
      <c r="F94" s="3212"/>
      <c r="G94" s="3212"/>
      <c r="H94" s="321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773</v>
      </c>
      <c r="B95" s="203" t="s">
        <v>2254</v>
      </c>
      <c r="C95" s="206">
        <f ca="1">ROUND(C85-C86,0)</f>
        <v>4337</v>
      </c>
      <c r="D95" s="199" t="s">
        <v>32</v>
      </c>
      <c r="E95" s="3000"/>
      <c r="F95" s="2999"/>
      <c r="G95" s="299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166.80769230769232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99"/>
      <c r="G96" s="299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2593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2" t="s">
        <v>2276</v>
      </c>
      <c r="B100" s="3103"/>
      <c r="C100" s="3103"/>
      <c r="D100" s="3161"/>
      <c r="E100" s="3103" t="s">
        <v>2277</v>
      </c>
      <c r="F100" s="3103"/>
      <c r="G100" s="3103"/>
      <c r="H100" s="3161"/>
      <c r="I100" s="137"/>
    </row>
    <row r="101" spans="1:35" ht="18.75" customHeight="1">
      <c r="A101" s="3219" t="s">
        <v>2278</v>
      </c>
      <c r="B101" s="3220"/>
      <c r="C101" s="735" t="str">
        <f>C4</f>
        <v>成本法</v>
      </c>
      <c r="D101" s="736" t="str">
        <f>D4</f>
        <v>收益法-酒店</v>
      </c>
      <c r="E101" s="3160" t="s">
        <v>2279</v>
      </c>
      <c r="F101" s="3150"/>
      <c r="G101" s="2509" t="s">
        <v>2280</v>
      </c>
      <c r="H101" s="1043">
        <f ca="1">H118</f>
        <v>32076</v>
      </c>
      <c r="I101" s="137"/>
    </row>
    <row r="102" spans="1:35" ht="18.75" customHeight="1">
      <c r="A102" s="3165" t="s">
        <v>2281</v>
      </c>
      <c r="B102" s="2509" t="s">
        <v>2280</v>
      </c>
      <c r="C102" s="735">
        <f ca="1">C19</f>
        <v>39971</v>
      </c>
      <c r="D102" s="736">
        <f ca="1">D19</f>
        <v>17415</v>
      </c>
      <c r="E102" s="3160"/>
      <c r="F102" s="3150"/>
      <c r="G102" s="2509" t="s">
        <v>2282</v>
      </c>
      <c r="H102" s="370">
        <f ca="1">I118</f>
        <v>11762</v>
      </c>
      <c r="I102" s="137"/>
    </row>
    <row r="103" spans="1:35" ht="42.75" customHeight="1">
      <c r="A103" s="3165"/>
      <c r="B103" s="2509" t="s">
        <v>2282</v>
      </c>
      <c r="C103" s="737">
        <f ca="1">C20</f>
        <v>14657</v>
      </c>
      <c r="D103" s="738">
        <f ca="1">D20</f>
        <v>7317</v>
      </c>
      <c r="E103" s="3158" t="s">
        <v>2283</v>
      </c>
      <c r="F103" s="3159"/>
      <c r="G103" s="2510" t="s">
        <v>2284</v>
      </c>
      <c r="H103" s="1043">
        <f>IF(D36="正常操作",H104+H105+H106,H105+H106)</f>
        <v>0</v>
      </c>
      <c r="I103" s="137"/>
      <c r="J103" s="794">
        <f ca="1">ROUND(C102*10000/B118,0)</f>
        <v>14657</v>
      </c>
      <c r="K103" s="794">
        <f ca="1">ROUND(D102*10000/B118,0)</f>
        <v>6386</v>
      </c>
    </row>
    <row r="104" spans="1:35" ht="18.75" customHeight="1">
      <c r="A104" s="3165"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66"/>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49" t="str">
        <f>IF(项目基本情况!E8="已注销","——","3.房地产抵押价值")</f>
        <v>——</v>
      </c>
      <c r="F107" s="3150"/>
      <c r="G107" s="2509" t="s">
        <v>2280</v>
      </c>
      <c r="H107" s="1043" t="str">
        <f>IF(E107="——","——",H101-H103)</f>
        <v>——</v>
      </c>
      <c r="I107" s="137"/>
    </row>
    <row r="108" spans="1:35" ht="18.75" customHeight="1">
      <c r="A108" s="137"/>
      <c r="B108" s="137"/>
      <c r="C108" s="137"/>
      <c r="D108" s="137"/>
      <c r="E108" s="3149"/>
      <c r="F108" s="3150"/>
      <c r="G108" s="2509" t="s">
        <v>2282</v>
      </c>
      <c r="H108" s="370" t="e">
        <f>ROUND(H107*10000/'数据-汇总表'!E3,0)</f>
        <v>#VALUE!</v>
      </c>
      <c r="I108" s="137"/>
    </row>
    <row r="109" spans="1:35" ht="18.75" customHeight="1">
      <c r="A109" s="137"/>
      <c r="B109" s="137"/>
      <c r="C109" s="137"/>
      <c r="D109" s="137"/>
      <c r="E109" s="3149" t="str">
        <f>IF(项目基本情况!E8="已注销及未注销","4.抵押担保权已注销时的房地产抵押价值",IF(项目基本情况!E8="已注销","3.抵押担保权已注销时的房地产抵押价值","——"))</f>
        <v>3.抵押担保权已注销时的房地产抵押价值</v>
      </c>
      <c r="F109" s="3150"/>
      <c r="G109" s="2509" t="s">
        <v>2280</v>
      </c>
      <c r="H109" s="347">
        <f ca="1">IF(E109="——","——",H101-H105-H106)</f>
        <v>32076</v>
      </c>
      <c r="I109" s="137"/>
    </row>
    <row r="110" spans="1:35" ht="18.75" customHeight="1">
      <c r="A110" s="137"/>
      <c r="B110" s="137"/>
      <c r="C110" s="137"/>
      <c r="D110" s="137"/>
      <c r="E110" s="3149"/>
      <c r="F110" s="3150"/>
      <c r="G110" s="2509" t="s">
        <v>2282</v>
      </c>
      <c r="H110" s="370">
        <f ca="1">IF(H109="——","——",ROUND(H109*10000/'数据-汇总表'!E3,0))</f>
        <v>11762</v>
      </c>
      <c r="I110" s="137"/>
    </row>
    <row r="111" spans="1:35" ht="18.75" customHeight="1">
      <c r="A111" s="137"/>
      <c r="B111" s="137"/>
      <c r="C111" s="137"/>
      <c r="D111" s="137"/>
      <c r="E111" s="3151" t="str">
        <f>IF(项目基本情况!E9="抵押净值",IF(OR(项目基本情况!E8="已注销",项目基本情况!E8="房地产抵押价值"),"4.抵押净值","5.抵押净值"),"——")</f>
        <v>4.抵押净值</v>
      </c>
      <c r="F111" s="3152"/>
      <c r="G111" s="2509" t="s">
        <v>2280</v>
      </c>
      <c r="H111" s="1043">
        <f ca="1">IF(E111="——","——",N59)</f>
        <v>4264</v>
      </c>
      <c r="I111" s="137"/>
    </row>
    <row r="112" spans="1:35" ht="18.75" customHeight="1" thickBot="1">
      <c r="A112" s="137"/>
      <c r="B112" s="137"/>
      <c r="C112" s="137"/>
      <c r="D112" s="137"/>
      <c r="E112" s="3153"/>
      <c r="F112" s="3154"/>
      <c r="G112" s="2514" t="s">
        <v>2282</v>
      </c>
      <c r="H112" s="789">
        <f ca="1">IF(E111="——","——",N61)</f>
        <v>10945</v>
      </c>
      <c r="I112" s="137"/>
    </row>
    <row r="113" spans="1:15" ht="18.75" customHeight="1">
      <c r="A113" s="137"/>
      <c r="B113" s="137"/>
      <c r="C113" s="137"/>
      <c r="D113" s="137"/>
      <c r="E113" s="3167" t="s">
        <v>2288</v>
      </c>
      <c r="F113" s="3167"/>
      <c r="G113" s="3167"/>
      <c r="H113" s="3167"/>
      <c r="I113" s="137"/>
    </row>
    <row r="114" spans="1:15" ht="3.75" customHeight="1">
      <c r="A114" s="2407"/>
      <c r="B114" s="2407"/>
      <c r="C114" s="2407"/>
      <c r="D114" s="2407"/>
      <c r="E114" s="2485"/>
      <c r="F114" s="2485"/>
      <c r="G114" s="2485"/>
      <c r="H114" s="2485"/>
      <c r="I114" s="2407"/>
    </row>
    <row r="115" spans="1:15" ht="18.75" customHeight="1">
      <c r="A115" s="3181" t="s">
        <v>2290</v>
      </c>
      <c r="B115" s="3182"/>
      <c r="C115" s="3182"/>
      <c r="D115" s="3182"/>
      <c r="E115" s="3182"/>
      <c r="F115" s="3182"/>
      <c r="G115" s="3182"/>
      <c r="H115" s="3182"/>
      <c r="I115" s="3183"/>
    </row>
    <row r="116" spans="1:15" ht="27" customHeight="1">
      <c r="A116" s="3081" t="s">
        <v>2291</v>
      </c>
      <c r="B116" s="3143" t="s">
        <v>3179</v>
      </c>
      <c r="C116" s="3143" t="s">
        <v>3180</v>
      </c>
      <c r="D116" s="3184" t="s">
        <v>2292</v>
      </c>
      <c r="E116" s="3185"/>
      <c r="F116" s="3177" t="s">
        <v>3258</v>
      </c>
      <c r="G116" s="3177"/>
      <c r="H116" s="3081" t="s">
        <v>2293</v>
      </c>
      <c r="I116" s="3081"/>
    </row>
    <row r="117" spans="1:15" ht="18.75" customHeight="1">
      <c r="A117" s="3081"/>
      <c r="B117" s="3144"/>
      <c r="C117" s="3144"/>
      <c r="D117" s="2990" t="s">
        <v>2294</v>
      </c>
      <c r="E117" s="2990" t="s">
        <v>2295</v>
      </c>
      <c r="F117" s="2990" t="s">
        <v>2294</v>
      </c>
      <c r="G117" s="2990" t="s">
        <v>2296</v>
      </c>
      <c r="H117" s="2990" t="s">
        <v>2294</v>
      </c>
      <c r="I117" s="2990" t="s">
        <v>2296</v>
      </c>
      <c r="K117" s="2985"/>
    </row>
    <row r="118" spans="1:15" ht="24.75" customHeight="1">
      <c r="A118" s="2515" t="str">
        <f>项目基本情况!S2</f>
        <v>重庆市南岸区江南大道69号（南坪街道南坪南路318号）房地产房地产</v>
      </c>
      <c r="B118" s="2990">
        <f>M18</f>
        <v>27271.82</v>
      </c>
      <c r="C118" s="2990">
        <f>M19</f>
        <v>5686.65</v>
      </c>
      <c r="D118" s="2990">
        <f ca="1">ROUND(IF(D32="总价",C34,E118*B118/10000),0)</f>
        <v>18412</v>
      </c>
      <c r="E118" s="2990">
        <f ca="1">ROUND(IF(C33="自定义",IF(D32="楼面单价",C34,D118*10000/B118),I118-G118),0)</f>
        <v>6752</v>
      </c>
      <c r="F118" s="2990">
        <f ca="1">ROUND(IF(D32="总价",C35,G118*B118/10000),0)</f>
        <v>13664</v>
      </c>
      <c r="G118" s="2990">
        <f ca="1">ROUND(IF(D32="楼面单价",C35,F118*10000/B118),0)</f>
        <v>5010</v>
      </c>
      <c r="H118" s="2990">
        <f ca="1">ROUND(IF(D32="总价",C32,I118*B118/10000),0)</f>
        <v>32076</v>
      </c>
      <c r="I118" s="2990">
        <f ca="1">ROUND(IF(D32="楼面单价",C32,H118*10000/B118),0)</f>
        <v>11762</v>
      </c>
      <c r="J118" s="794">
        <f ca="1">D118+[3]结果表!$D$118</f>
        <v>22655</v>
      </c>
      <c r="K118" s="794">
        <f ca="1">O118-M118</f>
        <v>6532</v>
      </c>
      <c r="L118" s="794">
        <f ca="1">F118+[3]结果表!$F$118</f>
        <v>16207</v>
      </c>
      <c r="M118" s="794">
        <f ca="1">ROUND(L118/系统读取表!B1*10000,0)</f>
        <v>4673</v>
      </c>
      <c r="N118" s="794">
        <f ca="1">H118+[3]结果表!$H$118</f>
        <v>38862</v>
      </c>
      <c r="O118" s="794">
        <f ca="1">ROUND(N118/系统读取表!B1*10000,0)</f>
        <v>11205</v>
      </c>
    </row>
    <row r="119" spans="1:15" ht="18.75" customHeight="1">
      <c r="A119" s="3081" t="s">
        <v>2297</v>
      </c>
      <c r="B119" s="3081"/>
      <c r="C119" s="3081"/>
      <c r="D119" s="3145" t="str">
        <f ca="1">NUMBERSTRING(INT(D118*10000),2)&amp;"元整"</f>
        <v>壹亿捌仟肆佰壹拾贰万元整</v>
      </c>
      <c r="E119" s="3146"/>
      <c r="F119" s="3145" t="str">
        <f ca="1">NUMBERSTRING(INT(F118*10000),2)&amp;"元整"</f>
        <v>壹亿叁仟陆佰陆拾肆万元整</v>
      </c>
      <c r="G119" s="3146"/>
      <c r="H119" s="3145" t="str">
        <f ca="1">NUMBERSTRING(INT(H118*10000),2)&amp;"元整"</f>
        <v>叁亿贰仟零柒拾陆万元整</v>
      </c>
      <c r="I119" s="3146"/>
      <c r="K119" s="2985"/>
      <c r="L119" s="2985"/>
    </row>
    <row r="120" spans="1:15"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5" ht="18.75" customHeight="1">
      <c r="A121" s="3178" t="s">
        <v>2297</v>
      </c>
      <c r="B121" s="3179"/>
      <c r="C121" s="3180"/>
      <c r="D121" s="3145" t="str">
        <f>IF(D120=0,"零元整",NUMBERSTRING(INT(D120*10000),2)&amp;"元整")</f>
        <v>零元整</v>
      </c>
      <c r="E121" s="3147"/>
      <c r="F121" s="3147"/>
      <c r="G121" s="3147"/>
      <c r="H121" s="3147"/>
      <c r="I121" s="3146"/>
    </row>
    <row r="122" spans="1:15" ht="18.75" customHeight="1">
      <c r="A122" s="3164" t="str">
        <f>IF(项目基本情况!B9="房地产市场价值","",MID(E107,3,LEN(E107)-2))</f>
        <v/>
      </c>
      <c r="B122" s="3164"/>
      <c r="C122" s="3164"/>
      <c r="D122" s="3140" t="str">
        <f>H107</f>
        <v>——</v>
      </c>
      <c r="E122" s="3141"/>
      <c r="F122" s="3141"/>
      <c r="G122" s="3141"/>
      <c r="H122" s="3141"/>
      <c r="I122" s="3142"/>
    </row>
    <row r="123" spans="1:15" ht="18.75" customHeight="1">
      <c r="A123" s="3081" t="s">
        <v>2297</v>
      </c>
      <c r="B123" s="3081"/>
      <c r="C123" s="3081"/>
      <c r="D123" s="3145" t="e">
        <f>NUMBERSTRING(INT(D122*10000),2)&amp;"元整"</f>
        <v>#VALUE!</v>
      </c>
      <c r="E123" s="3147"/>
      <c r="F123" s="3147"/>
      <c r="G123" s="3147"/>
      <c r="H123" s="3147"/>
      <c r="I123" s="3146"/>
    </row>
    <row r="124" spans="1:15" ht="18.75" customHeight="1">
      <c r="A124" s="3164" t="str">
        <f>IF(项目基本情况!B9="房地产市场价值","",MID(E109,3,LEN(E109)-2))</f>
        <v>抵押担保权已注销时的房地产抵押价值</v>
      </c>
      <c r="B124" s="3164"/>
      <c r="C124" s="3164"/>
      <c r="D124" s="3140">
        <f ca="1">H109</f>
        <v>32076</v>
      </c>
      <c r="E124" s="3141"/>
      <c r="F124" s="3141"/>
      <c r="G124" s="3141"/>
      <c r="H124" s="3141"/>
      <c r="I124" s="3142"/>
    </row>
    <row r="125" spans="1:15" ht="18.75" customHeight="1">
      <c r="A125" s="3081" t="s">
        <v>2297</v>
      </c>
      <c r="B125" s="3081"/>
      <c r="C125" s="3081"/>
      <c r="D125" s="3145" t="str">
        <f ca="1">NUMBERSTRING(INT(D124*10000),2)&amp;"元整"</f>
        <v>叁亿贰仟零柒拾陆万元整</v>
      </c>
      <c r="E125" s="3147"/>
      <c r="F125" s="3147"/>
      <c r="G125" s="3147"/>
      <c r="H125" s="3147"/>
      <c r="I125" s="3146"/>
    </row>
    <row r="126" spans="1:15" ht="18.75" customHeight="1">
      <c r="A126" s="3164" t="str">
        <f>IF(项目基本情况!B9="房地产市场价值","",MID(E111,3,LEN(E111)-2))</f>
        <v>抵押净值</v>
      </c>
      <c r="B126" s="3164"/>
      <c r="C126" s="3164"/>
      <c r="D126" s="3140">
        <f ca="1">H111</f>
        <v>4264</v>
      </c>
      <c r="E126" s="3141"/>
      <c r="F126" s="3141"/>
      <c r="G126" s="3141"/>
      <c r="H126" s="3141"/>
      <c r="I126" s="3142"/>
    </row>
    <row r="127" spans="1:15" ht="18.75" customHeight="1">
      <c r="A127" s="3081" t="s">
        <v>2297</v>
      </c>
      <c r="B127" s="3081"/>
      <c r="C127" s="3081"/>
      <c r="D127" s="3145" t="str">
        <f ca="1">NUMBERSTRING(INT(D126*10000),2)&amp;"元整"</f>
        <v>肆仟贰佰陆拾肆万元整</v>
      </c>
      <c r="E127" s="3147"/>
      <c r="F127" s="3147"/>
      <c r="G127" s="3147"/>
      <c r="H127" s="3147"/>
      <c r="I127" s="3146"/>
    </row>
    <row r="128" spans="1:15" ht="21.75" customHeight="1">
      <c r="A128" s="3200" t="s">
        <v>2298</v>
      </c>
      <c r="B128" s="3200"/>
      <c r="C128" s="3200"/>
      <c r="D128" s="3200"/>
      <c r="E128" s="3200"/>
      <c r="F128" s="3200"/>
      <c r="G128" s="3200"/>
      <c r="H128" s="3200"/>
      <c r="I128" s="3200"/>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O133" ca="1" si="2">ROUND(R133-P133,0)</f>
        <v>18412</v>
      </c>
      <c r="O133" s="2963" t="e">
        <f t="shared" ca="1" si="2"/>
        <v>#DIV/0!</v>
      </c>
      <c r="P133" s="2963">
        <f ca="1">F118-P132</f>
        <v>13664</v>
      </c>
      <c r="Q133" s="2963" t="e">
        <f t="shared" ref="Q133" ca="1" si="3">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[2]结果表!$D$118</f>
        <v>4976</v>
      </c>
      <c r="O134" s="2963">
        <f>[2]结果表!$E$118</f>
        <v>6714</v>
      </c>
      <c r="P134" s="2963">
        <f>[2]结果表!$F$118</f>
        <v>1983</v>
      </c>
      <c r="Q134" s="2963">
        <f>[2]结果表!$G$118</f>
        <v>2676</v>
      </c>
      <c r="R134" s="2963">
        <f>[2]结果表!$H$118</f>
        <v>6959</v>
      </c>
      <c r="S134" s="2963">
        <f>[2]结果表!$I$118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23388</v>
      </c>
      <c r="O135" s="2963">
        <f ca="1">ROUND(N135*10000/L135,0)</f>
        <v>6743</v>
      </c>
      <c r="P135" s="2963">
        <f ca="1">P134+P133+P132</f>
        <v>15647</v>
      </c>
      <c r="Q135" s="2963">
        <f ca="1">ROUND(P135*10000/L135,0)</f>
        <v>4511</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127">
        <f ca="1">N135*10000</f>
        <v>233880000</v>
      </c>
      <c r="O136" s="3127"/>
      <c r="P136" s="3127">
        <f ca="1">P135*10000</f>
        <v>156470000</v>
      </c>
      <c r="Q136" s="3127"/>
      <c r="R136" s="3127">
        <f ca="1">R135*10000</f>
        <v>390350000</v>
      </c>
      <c r="S136" s="3127"/>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L8vUfJsFRGpt+DJ/M5t3XQjF0wWaF6SG7mnjeMKnlmyQ0tssWOXHSD+PDjnMnWebHueQVTU+0238s+4iVYkJ0A==" saltValue="Rqgtso6NBhtWW7zecWkXSA==" spinCount="100000" sheet="1" objects="1" scenarios="1" formatCells="0" formatColumns="0" formatRows="0"/>
  <mergeCells count="117">
    <mergeCell ref="A127:C127"/>
    <mergeCell ref="D127:I127"/>
    <mergeCell ref="A128:I128"/>
    <mergeCell ref="N136:O136"/>
    <mergeCell ref="P136:Q136"/>
    <mergeCell ref="R136:S136"/>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5" t="str">
        <f>项目基本情况!B1</f>
        <v>重庆市南岸区江南大道69号（南坪街道南坪南路318号）房地产房地产抵押价值预评估</v>
      </c>
      <c r="C37" s="3015"/>
      <c r="D37" s="3015"/>
      <c r="E37" s="3015"/>
      <c r="F37" s="3015"/>
      <c r="G37" s="3015"/>
      <c r="H37" s="3015"/>
      <c r="I37" s="3015"/>
    </row>
    <row r="38" spans="1:9">
      <c r="A38" s="1015"/>
      <c r="B38" s="1015"/>
    </row>
    <row r="39" spans="1:9">
      <c r="A39" s="1013" t="s">
        <v>818</v>
      </c>
      <c r="B39" s="1013" t="s">
        <v>820</v>
      </c>
    </row>
    <row r="40" spans="1:9">
      <c r="A40" s="1013"/>
      <c r="B40" s="1937" t="str">
        <f>项目基本情况!B5</f>
        <v>昆仑信托有限责任公司</v>
      </c>
    </row>
    <row r="41" spans="1:9">
      <c r="A41" s="1013"/>
      <c r="B41" s="1013"/>
    </row>
    <row r="42" spans="1:9">
      <c r="A42" s="1013" t="s">
        <v>818</v>
      </c>
      <c r="B42" s="1013" t="s">
        <v>821</v>
      </c>
    </row>
    <row r="43" spans="1:9">
      <c r="A43" s="1013"/>
      <c r="B43" s="1937" t="s">
        <v>822</v>
      </c>
    </row>
    <row r="44" spans="1:9">
      <c r="A44" s="1013"/>
      <c r="B44" s="1013"/>
    </row>
    <row r="45" spans="1:9">
      <c r="A45" s="1013" t="s">
        <v>818</v>
      </c>
      <c r="B45" s="1013" t="s">
        <v>823</v>
      </c>
    </row>
    <row r="46" spans="1:9" s="1013" customFormat="1" ht="12.75">
      <c r="B46" s="1937" t="str">
        <f ca="1">项目基本情况!K4</f>
        <v>王鹏（注册号：1120050019)、郑燚（注册号：0)</v>
      </c>
    </row>
    <row r="47" spans="1:9">
      <c r="A47" s="1013"/>
      <c r="B47" s="1013" t="str">
        <f>项目基本情况!K5</f>
        <v/>
      </c>
    </row>
    <row r="48" spans="1:9">
      <c r="A48" s="1013" t="s">
        <v>818</v>
      </c>
      <c r="B48" s="1013"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5" zoomScaleNormal="85" workbookViewId="0">
      <selection activeCell="B2" sqref="B2"/>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14257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5990</v>
      </c>
      <c r="C3" s="246" t="s">
        <v>2726</v>
      </c>
      <c r="D3" s="1578">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22" t="s">
        <v>2628</v>
      </c>
      <c r="AC4" s="3221" t="s">
        <v>2629</v>
      </c>
    </row>
    <row r="5" spans="1:30" ht="15">
      <c r="A5" s="403"/>
      <c r="B5" s="404"/>
      <c r="C5" s="3232" t="s">
        <v>2522</v>
      </c>
      <c r="D5" s="3233"/>
      <c r="E5" s="3230" t="str">
        <f>土地案例!A2</f>
        <v>南岸区南坪组团C分区C14-3/03地块</v>
      </c>
      <c r="F5" s="3231"/>
      <c r="G5" s="3232" t="str">
        <f>土地案例!A9</f>
        <v>渝中区渝中组团C分区C30-2/03地块</v>
      </c>
      <c r="H5" s="3233"/>
      <c r="I5" s="3232" t="str">
        <f>土地案例!A6</f>
        <v>南岸区南坪组团J分区J10-2/04(部分)宗地</v>
      </c>
      <c r="J5" s="3233"/>
      <c r="K5" s="609"/>
      <c r="L5" s="1128"/>
      <c r="M5" s="1129"/>
      <c r="N5" s="1129"/>
      <c r="O5" s="1129"/>
      <c r="P5" s="3245"/>
      <c r="Q5" s="3246"/>
      <c r="R5" s="3228"/>
      <c r="S5" s="3229"/>
      <c r="T5" s="3228"/>
      <c r="U5" s="3229"/>
      <c r="V5" s="3251"/>
      <c r="W5" s="3251"/>
      <c r="X5" s="1808"/>
      <c r="Y5" s="3228"/>
      <c r="Z5" s="3229"/>
      <c r="AA5" s="3222"/>
      <c r="AB5" s="3222"/>
      <c r="AC5" s="3222"/>
    </row>
    <row r="6" spans="1:30" ht="15.75" thickBot="1">
      <c r="A6" s="405"/>
      <c r="B6" s="406"/>
      <c r="C6" s="3234" t="s">
        <v>2526</v>
      </c>
      <c r="D6" s="3235"/>
      <c r="E6" s="3236" t="s">
        <v>2526</v>
      </c>
      <c r="F6" s="3237"/>
      <c r="G6" s="3234" t="s">
        <v>2526</v>
      </c>
      <c r="H6" s="3235"/>
      <c r="I6" s="3234" t="s">
        <v>2526</v>
      </c>
      <c r="J6" s="3235"/>
      <c r="K6" s="609" t="s">
        <v>2527</v>
      </c>
      <c r="L6" s="1128"/>
      <c r="M6" s="1129"/>
      <c r="N6" s="1129"/>
      <c r="O6" s="1129"/>
      <c r="P6" s="3247"/>
      <c r="Q6" s="3248"/>
      <c r="R6" s="3228"/>
      <c r="S6" s="3229"/>
      <c r="T6" s="3249"/>
      <c r="U6" s="3250"/>
      <c r="V6" s="3251"/>
      <c r="W6" s="3251"/>
      <c r="X6" s="1808"/>
      <c r="Y6" s="3249"/>
      <c r="Z6" s="3250"/>
      <c r="AA6" s="3223"/>
      <c r="AB6" s="3223"/>
      <c r="AC6" s="3223"/>
    </row>
    <row r="7" spans="1:30" s="116" customFormat="1" ht="15.75" thickBot="1">
      <c r="A7" s="407" t="s">
        <v>2528</v>
      </c>
      <c r="B7" s="408"/>
      <c r="C7" s="409">
        <f>'数据-取费表'!B2</f>
        <v>44312</v>
      </c>
      <c r="D7" s="410">
        <v>100</v>
      </c>
      <c r="E7" s="411" t="str">
        <f>土地案例!J2</f>
        <v>2020-12-29</v>
      </c>
      <c r="F7" s="412">
        <f>SUMIF(70:70,YEAR(E7)&amp;"-"&amp;INT((MONTH(E7)+2)/3),71:71)</f>
        <v>99.4</v>
      </c>
      <c r="G7" s="2687" t="str">
        <f>土地案例!I9</f>
        <v>2020-12-29</v>
      </c>
      <c r="H7" s="410">
        <f>SUMIF(70:70,YEAR(G7)&amp;"-"&amp;INT((MONTH(G7)+2)/3),71:71)</f>
        <v>99.4</v>
      </c>
      <c r="I7" s="2687" t="str">
        <f>土地案例!J6</f>
        <v>2017-05-16</v>
      </c>
      <c r="J7" s="410">
        <f>SUMIF(70:70,YEAR(I7)&amp;"-"&amp;INT((MONTH(I7)+2)/3),71:71)</f>
        <v>93.000000000000014</v>
      </c>
      <c r="K7" s="610"/>
      <c r="L7" s="1130"/>
      <c r="M7" s="1131"/>
      <c r="N7" s="1131"/>
      <c r="O7" s="1131"/>
      <c r="P7" s="3224" t="s">
        <v>2529</v>
      </c>
      <c r="Q7" s="3252"/>
      <c r="R7" s="769" t="s">
        <v>17</v>
      </c>
      <c r="S7" s="770">
        <f t="shared" ref="S7:S15" si="0">F7</f>
        <v>99.4</v>
      </c>
      <c r="T7" s="769" t="s">
        <v>17</v>
      </c>
      <c r="U7" s="770">
        <f t="shared" ref="U7:U15" si="1">H7</f>
        <v>99.4</v>
      </c>
      <c r="V7" s="769" t="s">
        <v>17</v>
      </c>
      <c r="W7" s="770">
        <f t="shared" ref="W7:W15" si="2">J7</f>
        <v>93.000000000000014</v>
      </c>
      <c r="X7" s="771"/>
      <c r="Y7" s="3224" t="s">
        <v>2529</v>
      </c>
      <c r="Z7" s="3225"/>
      <c r="AA7" s="772">
        <f>D7/F7</f>
        <v>1.0060362173038229</v>
      </c>
      <c r="AB7" s="772">
        <f>D7/H7</f>
        <v>1.0060362173038229</v>
      </c>
      <c r="AC7" s="772">
        <f>D7/J7</f>
        <v>1.075268817204301</v>
      </c>
    </row>
    <row r="8" spans="1:30" s="116" customFormat="1" ht="15.7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24" t="s">
        <v>2532</v>
      </c>
      <c r="Q8" s="3225"/>
      <c r="R8" s="769" t="s">
        <v>17</v>
      </c>
      <c r="S8" s="770">
        <f t="shared" si="0"/>
        <v>100</v>
      </c>
      <c r="T8" s="769" t="s">
        <v>17</v>
      </c>
      <c r="U8" s="770">
        <f t="shared" si="1"/>
        <v>100</v>
      </c>
      <c r="V8" s="769" t="s">
        <v>17</v>
      </c>
      <c r="W8" s="770">
        <f t="shared" si="2"/>
        <v>100</v>
      </c>
      <c r="X8" s="771"/>
      <c r="Y8" s="3224" t="s">
        <v>2532</v>
      </c>
      <c r="Z8" s="3225"/>
      <c r="AA8" s="772">
        <f t="shared" ref="AA8:AA45" si="3">D8/F8</f>
        <v>1</v>
      </c>
      <c r="AB8" s="772">
        <f t="shared" ref="AB8:AB45" si="4">D8/H8</f>
        <v>1</v>
      </c>
      <c r="AC8" s="772">
        <f t="shared" ref="AC8:AC45" si="5">D8/J8</f>
        <v>1</v>
      </c>
    </row>
    <row r="9" spans="1:30" s="116" customFormat="1">
      <c r="A9" s="414" t="s">
        <v>2533</v>
      </c>
      <c r="B9" s="71" t="s">
        <v>2534</v>
      </c>
      <c r="C9" s="2973" t="s">
        <v>1376</v>
      </c>
      <c r="D9" s="134">
        <v>100</v>
      </c>
      <c r="E9" s="2690" t="s">
        <v>1376</v>
      </c>
      <c r="F9" s="134">
        <f>SUMIF(75:75,E9,76:76)-SUMIF(75:75,C9,76:76)+100</f>
        <v>100</v>
      </c>
      <c r="G9" s="2690" t="s">
        <v>1376</v>
      </c>
      <c r="H9" s="134">
        <f>SUMIF(75:75,G9,76:76)-SUMIF(75:75,C9,76:76)+100</f>
        <v>100</v>
      </c>
      <c r="I9" s="2690" t="s">
        <v>1376</v>
      </c>
      <c r="J9" s="134">
        <f>SUMIF(75:75,I9,76:76)-SUMIF(75:75,C9,76:76)+100</f>
        <v>100</v>
      </c>
      <c r="K9" s="610"/>
      <c r="L9" s="1130"/>
      <c r="M9" s="1131"/>
      <c r="N9" s="1131"/>
      <c r="O9" s="1132"/>
      <c r="P9" s="3238"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772">
        <f t="shared" si="5"/>
        <v>1</v>
      </c>
    </row>
    <row r="10" spans="1:30" s="426" customFormat="1" ht="27">
      <c r="A10" s="420"/>
      <c r="B10" s="421" t="s">
        <v>2537</v>
      </c>
      <c r="C10" s="431">
        <f>'数据-取费表'!F6</f>
        <v>21.6</v>
      </c>
      <c r="D10" s="135">
        <v>100</v>
      </c>
      <c r="E10" s="464" t="s">
        <v>3176</v>
      </c>
      <c r="F10" s="135">
        <f>ROUND(100/'数据-取费表'!G16,0)</f>
        <v>132</v>
      </c>
      <c r="G10" s="464" t="s">
        <v>3176</v>
      </c>
      <c r="H10" s="135">
        <f>ROUND(100/'数据-取费表'!G16,0)</f>
        <v>132</v>
      </c>
      <c r="I10" s="464" t="s">
        <v>3107</v>
      </c>
      <c r="J10" s="135">
        <f>ROUND(100/'数据-取费表'!G16,0)</f>
        <v>132</v>
      </c>
      <c r="K10" s="671"/>
      <c r="L10" s="1133"/>
      <c r="M10" s="1134"/>
      <c r="N10" s="1134"/>
      <c r="O10" s="1135"/>
      <c r="P10" s="3238"/>
      <c r="Q10" s="1790" t="str">
        <f t="shared" si="6"/>
        <v>土地使用年限（年）</v>
      </c>
      <c r="R10" s="769" t="s">
        <v>17</v>
      </c>
      <c r="S10" s="770">
        <f t="shared" si="0"/>
        <v>132</v>
      </c>
      <c r="T10" s="769" t="s">
        <v>17</v>
      </c>
      <c r="U10" s="770">
        <f t="shared" si="1"/>
        <v>132</v>
      </c>
      <c r="V10" s="769" t="s">
        <v>17</v>
      </c>
      <c r="W10" s="770">
        <f t="shared" si="2"/>
        <v>132</v>
      </c>
      <c r="X10" s="771"/>
      <c r="Y10" s="3081"/>
      <c r="Z10" s="55" t="str">
        <f t="shared" si="7"/>
        <v>土地使用年限（年）</v>
      </c>
      <c r="AA10" s="772">
        <f t="shared" si="3"/>
        <v>0.75757575757575757</v>
      </c>
      <c r="AB10" s="772">
        <f t="shared" si="4"/>
        <v>0.75757575757575757</v>
      </c>
      <c r="AC10" s="772">
        <f t="shared" si="5"/>
        <v>0.75757575757575757</v>
      </c>
    </row>
    <row r="11" spans="1:30" ht="15">
      <c r="A11" s="427"/>
      <c r="B11" s="421" t="s">
        <v>2538</v>
      </c>
      <c r="C11" s="428">
        <f>'数据-汇总表'!I4</f>
        <v>4.2699999999999996</v>
      </c>
      <c r="D11" s="135">
        <v>100</v>
      </c>
      <c r="E11" s="428">
        <v>3</v>
      </c>
      <c r="F11" s="135">
        <f>LOOKUP(E11,80:80,81:81)-LOOKUP(C11,80:80,81:81)+100</f>
        <v>103</v>
      </c>
      <c r="G11" s="429">
        <v>3</v>
      </c>
      <c r="H11" s="135">
        <f>LOOKUP(G11,80:80,81:81)-LOOKUP(C11,80:80,81:81)+100</f>
        <v>103</v>
      </c>
      <c r="I11" s="428">
        <v>2</v>
      </c>
      <c r="J11" s="135">
        <f>LOOKUP(I11,80:80,81:81)-LOOKUP(C11,80:80,81:81)+100</f>
        <v>106</v>
      </c>
      <c r="K11" s="672">
        <v>3</v>
      </c>
      <c r="L11" s="1136"/>
      <c r="M11" s="1129"/>
      <c r="N11" s="1129"/>
      <c r="O11" s="1137"/>
      <c r="P11" s="3238"/>
      <c r="Q11" s="1790" t="str">
        <f t="shared" si="6"/>
        <v>容积率</v>
      </c>
      <c r="R11" s="769" t="s">
        <v>17</v>
      </c>
      <c r="S11" s="770">
        <f t="shared" si="0"/>
        <v>103</v>
      </c>
      <c r="T11" s="769" t="s">
        <v>17</v>
      </c>
      <c r="U11" s="770">
        <f t="shared" si="1"/>
        <v>103</v>
      </c>
      <c r="V11" s="769" t="s">
        <v>17</v>
      </c>
      <c r="W11" s="770">
        <f t="shared" si="2"/>
        <v>106</v>
      </c>
      <c r="X11" s="771"/>
      <c r="Y11" s="3081"/>
      <c r="Z11" s="55" t="str">
        <f t="shared" si="7"/>
        <v>容积率</v>
      </c>
      <c r="AA11" s="772">
        <f t="shared" si="3"/>
        <v>0.970873786407767</v>
      </c>
      <c r="AB11" s="772">
        <f t="shared" si="4"/>
        <v>0.970873786407767</v>
      </c>
      <c r="AC11" s="772">
        <f t="shared" si="5"/>
        <v>0.94339622641509435</v>
      </c>
    </row>
    <row r="12" spans="1:30" s="116" customFormat="1" ht="15" hidden="1">
      <c r="A12" s="430"/>
      <c r="B12" s="2591"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38"/>
      <c r="Q12" s="1790" t="str">
        <f t="shared" si="6"/>
        <v>配建</v>
      </c>
      <c r="R12" s="769" t="s">
        <v>17</v>
      </c>
      <c r="S12" s="770">
        <f t="shared" si="0"/>
        <v>100</v>
      </c>
      <c r="T12" s="769" t="s">
        <v>17</v>
      </c>
      <c r="U12" s="770">
        <f t="shared" si="1"/>
        <v>100</v>
      </c>
      <c r="V12" s="769" t="s">
        <v>17</v>
      </c>
      <c r="W12" s="770">
        <f t="shared" si="2"/>
        <v>100</v>
      </c>
      <c r="X12" s="771"/>
      <c r="Y12" s="3081"/>
      <c r="Z12" s="55" t="str">
        <f t="shared" si="7"/>
        <v>配建</v>
      </c>
      <c r="AA12" s="772">
        <f>D12/F12</f>
        <v>1</v>
      </c>
      <c r="AB12" s="772">
        <f>D12/H12</f>
        <v>1</v>
      </c>
      <c r="AC12" s="772">
        <f>D12/J12</f>
        <v>1</v>
      </c>
    </row>
    <row r="13" spans="1:30" ht="15" hidden="1">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8"/>
      <c r="Q13" s="1790">
        <f t="shared" si="6"/>
        <v>111</v>
      </c>
      <c r="R13" s="769" t="s">
        <v>17</v>
      </c>
      <c r="S13" s="770">
        <f t="shared" si="0"/>
        <v>100</v>
      </c>
      <c r="T13" s="769" t="s">
        <v>17</v>
      </c>
      <c r="U13" s="770">
        <f t="shared" si="1"/>
        <v>100</v>
      </c>
      <c r="V13" s="769" t="s">
        <v>17</v>
      </c>
      <c r="W13" s="770">
        <f t="shared" si="2"/>
        <v>100</v>
      </c>
      <c r="X13" s="771"/>
      <c r="Y13" s="3081"/>
      <c r="Z13" s="55">
        <f t="shared" si="7"/>
        <v>111</v>
      </c>
      <c r="AA13" s="772">
        <f>D13/F13</f>
        <v>1</v>
      </c>
      <c r="AB13" s="772">
        <f>D13/H13</f>
        <v>1</v>
      </c>
      <c r="AC13" s="772">
        <f>D13/J13</f>
        <v>1</v>
      </c>
    </row>
    <row r="14" spans="1:30" ht="15.75" hidden="1"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8"/>
      <c r="Q14" s="1790">
        <f t="shared" si="6"/>
        <v>111</v>
      </c>
      <c r="R14" s="769" t="s">
        <v>17</v>
      </c>
      <c r="S14" s="770">
        <f t="shared" si="0"/>
        <v>100</v>
      </c>
      <c r="T14" s="769" t="s">
        <v>17</v>
      </c>
      <c r="U14" s="770">
        <f t="shared" si="1"/>
        <v>100</v>
      </c>
      <c r="V14" s="769" t="s">
        <v>17</v>
      </c>
      <c r="W14" s="770">
        <f t="shared" si="2"/>
        <v>100</v>
      </c>
      <c r="X14" s="771"/>
      <c r="Y14" s="3081"/>
      <c r="Z14" s="55">
        <f t="shared" si="7"/>
        <v>111</v>
      </c>
      <c r="AA14" s="772">
        <f>D14/F14</f>
        <v>1</v>
      </c>
      <c r="AB14" s="772">
        <f>D14/H14</f>
        <v>1</v>
      </c>
      <c r="AC14" s="772">
        <f>D14/J14</f>
        <v>1</v>
      </c>
    </row>
    <row r="15" spans="1:30" ht="15" hidden="1">
      <c r="A15" s="439" t="s">
        <v>2539</v>
      </c>
      <c r="B15" s="69" t="s">
        <v>2075</v>
      </c>
      <c r="C15" s="2594"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3" t="s">
        <v>2540</v>
      </c>
      <c r="Q15" s="1805" t="str">
        <f t="shared" si="6"/>
        <v>居住社区成熟度</v>
      </c>
      <c r="R15" s="773" t="s">
        <v>17</v>
      </c>
      <c r="S15" s="774">
        <f t="shared" si="0"/>
        <v>100</v>
      </c>
      <c r="T15" s="773" t="s">
        <v>17</v>
      </c>
      <c r="U15" s="774">
        <f t="shared" si="1"/>
        <v>100</v>
      </c>
      <c r="V15" s="773" t="s">
        <v>17</v>
      </c>
      <c r="W15" s="774">
        <f t="shared" si="2"/>
        <v>100</v>
      </c>
      <c r="X15" s="1808"/>
      <c r="Y15" s="3253" t="s">
        <v>2540</v>
      </c>
      <c r="Z15" s="1809" t="str">
        <f t="shared" si="7"/>
        <v>居住社区成熟度</v>
      </c>
      <c r="AA15" s="1806">
        <f t="shared" si="3"/>
        <v>1</v>
      </c>
      <c r="AB15" s="1806">
        <f t="shared" si="4"/>
        <v>1</v>
      </c>
      <c r="AC15" s="1806">
        <f t="shared" si="5"/>
        <v>1</v>
      </c>
    </row>
    <row r="16" spans="1:30" ht="15" hidden="1">
      <c r="A16" s="427"/>
      <c r="B16" s="445"/>
      <c r="C16" s="446"/>
      <c r="D16" s="447"/>
      <c r="E16" s="2596"/>
      <c r="F16" s="447"/>
      <c r="G16" s="2596"/>
      <c r="H16" s="449"/>
      <c r="I16" s="2595"/>
      <c r="J16" s="447"/>
      <c r="K16" s="671"/>
      <c r="L16" s="1138"/>
      <c r="M16" s="1129"/>
      <c r="N16" s="1129"/>
      <c r="O16" s="1137"/>
      <c r="P16" s="3254"/>
      <c r="Q16" s="1805"/>
      <c r="R16" s="773"/>
      <c r="S16" s="774"/>
      <c r="T16" s="773"/>
      <c r="U16" s="774"/>
      <c r="V16" s="773"/>
      <c r="W16" s="774"/>
      <c r="X16" s="1808"/>
      <c r="Y16" s="3254"/>
      <c r="Z16" s="1809"/>
      <c r="AA16" s="1806">
        <v>1</v>
      </c>
      <c r="AB16" s="1806">
        <v>1</v>
      </c>
      <c r="AC16" s="1806">
        <v>1</v>
      </c>
    </row>
    <row r="17" spans="1:29" ht="15">
      <c r="A17" s="427"/>
      <c r="B17" s="450" t="s">
        <v>2633</v>
      </c>
      <c r="C17" s="2655"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v>3</v>
      </c>
      <c r="L17" s="1138"/>
      <c r="M17" s="1129"/>
      <c r="N17" s="1129"/>
      <c r="O17" s="1137"/>
      <c r="P17" s="3254"/>
      <c r="Q17" s="1805" t="str">
        <f>B17</f>
        <v>商业繁华度</v>
      </c>
      <c r="R17" s="773" t="s">
        <v>17</v>
      </c>
      <c r="S17" s="774">
        <f>F17</f>
        <v>100</v>
      </c>
      <c r="T17" s="773" t="s">
        <v>17</v>
      </c>
      <c r="U17" s="774">
        <f>H17</f>
        <v>100</v>
      </c>
      <c r="V17" s="773" t="s">
        <v>17</v>
      </c>
      <c r="W17" s="774">
        <f>J17</f>
        <v>100</v>
      </c>
      <c r="X17" s="1808"/>
      <c r="Y17" s="3254"/>
      <c r="Z17" s="1809" t="str">
        <f>Q17</f>
        <v>商业繁华度</v>
      </c>
      <c r="AA17" s="1806">
        <f t="shared" si="3"/>
        <v>1</v>
      </c>
      <c r="AB17" s="1806">
        <f t="shared" si="4"/>
        <v>1</v>
      </c>
      <c r="AC17" s="1806">
        <f t="shared" si="5"/>
        <v>1</v>
      </c>
    </row>
    <row r="18" spans="1:29" ht="15">
      <c r="A18" s="427"/>
      <c r="B18" s="455"/>
      <c r="C18" s="2599" t="s">
        <v>3066</v>
      </c>
      <c r="D18" s="449"/>
      <c r="E18" s="2599" t="s">
        <v>3066</v>
      </c>
      <c r="F18" s="449"/>
      <c r="G18" s="2599" t="s">
        <v>3066</v>
      </c>
      <c r="H18" s="447"/>
      <c r="I18" s="2599" t="s">
        <v>3066</v>
      </c>
      <c r="J18" s="447"/>
      <c r="K18" s="671"/>
      <c r="L18" s="1138"/>
      <c r="M18" s="1129"/>
      <c r="N18" s="1129"/>
      <c r="O18" s="1137"/>
      <c r="P18" s="3254"/>
      <c r="Q18" s="1805"/>
      <c r="R18" s="773"/>
      <c r="S18" s="774"/>
      <c r="T18" s="773"/>
      <c r="U18" s="774"/>
      <c r="V18" s="773"/>
      <c r="W18" s="774"/>
      <c r="X18" s="1808"/>
      <c r="Y18" s="3254"/>
      <c r="Z18" s="1809"/>
      <c r="AA18" s="1806">
        <v>1</v>
      </c>
      <c r="AB18" s="1806">
        <v>1</v>
      </c>
      <c r="AC18" s="1806">
        <v>1</v>
      </c>
    </row>
    <row r="19" spans="1:29" ht="15" hidden="1">
      <c r="A19" s="427"/>
      <c r="B19" s="450" t="s">
        <v>2667</v>
      </c>
      <c r="C19" s="2655"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4"/>
      <c r="Q19" s="1805" t="str">
        <f>B19</f>
        <v>办公集聚程度</v>
      </c>
      <c r="R19" s="773" t="s">
        <v>17</v>
      </c>
      <c r="S19" s="774">
        <f>F19</f>
        <v>100</v>
      </c>
      <c r="T19" s="773" t="s">
        <v>17</v>
      </c>
      <c r="U19" s="774">
        <f>H19</f>
        <v>100</v>
      </c>
      <c r="V19" s="773" t="s">
        <v>17</v>
      </c>
      <c r="W19" s="774">
        <f>J19</f>
        <v>100</v>
      </c>
      <c r="X19" s="1808"/>
      <c r="Y19" s="3254"/>
      <c r="Z19" s="1809" t="str">
        <f>Q19</f>
        <v>办公集聚程度</v>
      </c>
      <c r="AA19" s="1806">
        <f t="shared" si="3"/>
        <v>1</v>
      </c>
      <c r="AB19" s="1806">
        <f t="shared" si="4"/>
        <v>1</v>
      </c>
      <c r="AC19" s="1806">
        <f t="shared" si="5"/>
        <v>1</v>
      </c>
    </row>
    <row r="20" spans="1:29" ht="15" hidden="1">
      <c r="A20" s="427"/>
      <c r="B20" s="455"/>
      <c r="C20" s="446"/>
      <c r="D20" s="447"/>
      <c r="E20" s="2596"/>
      <c r="F20" s="447"/>
      <c r="G20" s="2596"/>
      <c r="H20" s="447"/>
      <c r="I20" s="2595"/>
      <c r="J20" s="447"/>
      <c r="K20" s="671"/>
      <c r="L20" s="1138"/>
      <c r="M20" s="1129"/>
      <c r="N20" s="1129"/>
      <c r="O20" s="1137"/>
      <c r="P20" s="3254"/>
      <c r="Q20" s="1805"/>
      <c r="R20" s="773"/>
      <c r="S20" s="774"/>
      <c r="T20" s="773"/>
      <c r="U20" s="774"/>
      <c r="V20" s="773"/>
      <c r="W20" s="774"/>
      <c r="X20" s="1808"/>
      <c r="Y20" s="3254"/>
      <c r="Z20" s="1809"/>
      <c r="AA20" s="1806">
        <v>1</v>
      </c>
      <c r="AB20" s="1806">
        <v>1</v>
      </c>
      <c r="AC20" s="1806">
        <v>1</v>
      </c>
    </row>
    <row r="21" spans="1:29" ht="15">
      <c r="A21" s="427"/>
      <c r="B21" s="450" t="s">
        <v>2689</v>
      </c>
      <c r="C21" s="2598"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54"/>
      <c r="Q21" s="1805" t="str">
        <f>B21</f>
        <v>交通便捷度</v>
      </c>
      <c r="R21" s="773" t="s">
        <v>17</v>
      </c>
      <c r="S21" s="774">
        <f>F21</f>
        <v>100</v>
      </c>
      <c r="T21" s="773" t="s">
        <v>17</v>
      </c>
      <c r="U21" s="774">
        <f>H21</f>
        <v>100</v>
      </c>
      <c r="V21" s="773" t="s">
        <v>17</v>
      </c>
      <c r="W21" s="774">
        <f>J21</f>
        <v>100</v>
      </c>
      <c r="X21" s="1808"/>
      <c r="Y21" s="3254"/>
      <c r="Z21" s="1809" t="str">
        <f>Q21</f>
        <v>交通便捷度</v>
      </c>
      <c r="AA21" s="1806">
        <f t="shared" si="3"/>
        <v>1</v>
      </c>
      <c r="AB21" s="1806">
        <f t="shared" si="4"/>
        <v>1</v>
      </c>
      <c r="AC21" s="1806">
        <f t="shared" si="5"/>
        <v>1</v>
      </c>
    </row>
    <row r="22" spans="1:29" ht="15">
      <c r="A22" s="427"/>
      <c r="B22" s="1381"/>
      <c r="C22" s="446" t="s">
        <v>3066</v>
      </c>
      <c r="D22" s="449"/>
      <c r="E22" s="446" t="s">
        <v>3066</v>
      </c>
      <c r="F22" s="447"/>
      <c r="G22" s="446" t="s">
        <v>3066</v>
      </c>
      <c r="H22" s="447"/>
      <c r="I22" s="446" t="s">
        <v>3066</v>
      </c>
      <c r="J22" s="447"/>
      <c r="K22" s="671"/>
      <c r="L22" s="1138"/>
      <c r="M22" s="1129"/>
      <c r="N22" s="1129"/>
      <c r="O22" s="1137"/>
      <c r="P22" s="3254"/>
      <c r="Q22" s="1805"/>
      <c r="R22" s="773"/>
      <c r="S22" s="774"/>
      <c r="T22" s="773"/>
      <c r="U22" s="774"/>
      <c r="V22" s="773"/>
      <c r="W22" s="774"/>
      <c r="X22" s="1808"/>
      <c r="Y22" s="3254"/>
      <c r="Z22" s="1809"/>
      <c r="AA22" s="1806">
        <v>1</v>
      </c>
      <c r="AB22" s="1806">
        <v>1</v>
      </c>
      <c r="AC22" s="1806">
        <v>1</v>
      </c>
    </row>
    <row r="23" spans="1:29" ht="15">
      <c r="A23" s="403"/>
      <c r="B23" s="450" t="s">
        <v>2728</v>
      </c>
      <c r="C23" s="1386"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54"/>
      <c r="Q23" s="1805" t="str">
        <f t="shared" ref="Q23:Q37" si="8">B23</f>
        <v>区域土地利用方向</v>
      </c>
      <c r="R23" s="773" t="s">
        <v>17</v>
      </c>
      <c r="S23" s="774">
        <f>F23</f>
        <v>100</v>
      </c>
      <c r="T23" s="773" t="s">
        <v>17</v>
      </c>
      <c r="U23" s="774">
        <f>H23</f>
        <v>100</v>
      </c>
      <c r="V23" s="773" t="s">
        <v>17</v>
      </c>
      <c r="W23" s="774">
        <f>J23</f>
        <v>100</v>
      </c>
      <c r="X23" s="1808"/>
      <c r="Y23" s="3254"/>
      <c r="Z23" s="1809" t="str">
        <f>Q23</f>
        <v>区域土地利用方向</v>
      </c>
      <c r="AA23" s="1806">
        <f t="shared" si="3"/>
        <v>1</v>
      </c>
      <c r="AB23" s="1806">
        <f t="shared" si="4"/>
        <v>1</v>
      </c>
      <c r="AC23" s="1806">
        <f t="shared" si="5"/>
        <v>1</v>
      </c>
    </row>
    <row r="24" spans="1:29" ht="15">
      <c r="A24" s="403"/>
      <c r="B24" s="455"/>
      <c r="C24" s="615" t="s">
        <v>3066</v>
      </c>
      <c r="D24" s="447"/>
      <c r="E24" s="615" t="s">
        <v>3066</v>
      </c>
      <c r="F24" s="447"/>
      <c r="G24" s="615" t="s">
        <v>3066</v>
      </c>
      <c r="H24" s="447"/>
      <c r="I24" s="615" t="s">
        <v>3066</v>
      </c>
      <c r="J24" s="447"/>
      <c r="K24" s="808"/>
      <c r="L24" s="1138"/>
      <c r="M24" s="1129"/>
      <c r="N24" s="1129"/>
      <c r="O24" s="1137"/>
      <c r="P24" s="3254"/>
      <c r="Q24" s="1805"/>
      <c r="R24" s="773"/>
      <c r="S24" s="774"/>
      <c r="T24" s="773"/>
      <c r="U24" s="774"/>
      <c r="V24" s="773"/>
      <c r="W24" s="774"/>
      <c r="X24" s="1808"/>
      <c r="Y24" s="3254"/>
      <c r="Z24" s="1809"/>
      <c r="AA24" s="1806"/>
      <c r="AB24" s="1806"/>
      <c r="AC24" s="1806"/>
    </row>
    <row r="25" spans="1:29" ht="27">
      <c r="A25" s="403"/>
      <c r="B25" s="1381" t="s">
        <v>2729</v>
      </c>
      <c r="C25" s="2655"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54"/>
      <c r="Q25" s="1805" t="str">
        <f t="shared" si="8"/>
        <v>自然及人文环境状况</v>
      </c>
      <c r="R25" s="773" t="s">
        <v>17</v>
      </c>
      <c r="S25" s="774">
        <f>F25</f>
        <v>100</v>
      </c>
      <c r="T25" s="773" t="s">
        <v>17</v>
      </c>
      <c r="U25" s="774">
        <f>H25</f>
        <v>100</v>
      </c>
      <c r="V25" s="773" t="s">
        <v>17</v>
      </c>
      <c r="W25" s="774">
        <f>J25</f>
        <v>100</v>
      </c>
      <c r="X25" s="1808"/>
      <c r="Y25" s="3254"/>
      <c r="Z25" s="1809" t="str">
        <f>Q25</f>
        <v>自然及人文环境状况</v>
      </c>
      <c r="AA25" s="1806">
        <f t="shared" si="3"/>
        <v>1</v>
      </c>
      <c r="AB25" s="1806">
        <f t="shared" si="4"/>
        <v>1</v>
      </c>
      <c r="AC25" s="1806">
        <f t="shared" si="5"/>
        <v>1</v>
      </c>
    </row>
    <row r="26" spans="1:29" ht="15">
      <c r="A26" s="403"/>
      <c r="B26" s="455"/>
      <c r="C26" s="446" t="s">
        <v>3066</v>
      </c>
      <c r="D26" s="447"/>
      <c r="E26" s="446" t="s">
        <v>3066</v>
      </c>
      <c r="F26" s="447"/>
      <c r="G26" s="446" t="s">
        <v>3066</v>
      </c>
      <c r="H26" s="447"/>
      <c r="I26" s="446" t="s">
        <v>3066</v>
      </c>
      <c r="J26" s="447"/>
      <c r="K26" s="671"/>
      <c r="L26" s="1138"/>
      <c r="M26" s="1129"/>
      <c r="N26" s="1129"/>
      <c r="O26" s="1137"/>
      <c r="P26" s="3254"/>
      <c r="Q26" s="1805"/>
      <c r="R26" s="773"/>
      <c r="S26" s="774"/>
      <c r="T26" s="773"/>
      <c r="U26" s="774"/>
      <c r="V26" s="773"/>
      <c r="W26" s="774"/>
      <c r="X26" s="1808"/>
      <c r="Y26" s="3254"/>
      <c r="Z26" s="1809"/>
      <c r="AA26" s="1806">
        <v>1</v>
      </c>
      <c r="AB26" s="1806">
        <v>1</v>
      </c>
      <c r="AC26" s="1806">
        <v>1</v>
      </c>
    </row>
    <row r="27" spans="1:29" s="116" customFormat="1" ht="15">
      <c r="A27" s="648"/>
      <c r="B27" s="1381" t="s">
        <v>2634</v>
      </c>
      <c r="C27" s="2598"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0"/>
      <c r="M27" s="1131"/>
      <c r="N27" s="1131"/>
      <c r="O27" s="1132"/>
      <c r="P27" s="3254"/>
      <c r="Q27" s="1790" t="str">
        <f t="shared" si="8"/>
        <v>公共配套设施</v>
      </c>
      <c r="R27" s="769" t="s">
        <v>17</v>
      </c>
      <c r="S27" s="770">
        <f>F27</f>
        <v>100</v>
      </c>
      <c r="T27" s="769" t="s">
        <v>17</v>
      </c>
      <c r="U27" s="770">
        <f>H27</f>
        <v>100</v>
      </c>
      <c r="V27" s="769" t="s">
        <v>17</v>
      </c>
      <c r="W27" s="770">
        <f>J27</f>
        <v>100</v>
      </c>
      <c r="X27" s="771"/>
      <c r="Y27" s="3254"/>
      <c r="Z27" s="55" t="str">
        <f>Q27</f>
        <v>公共配套设施</v>
      </c>
      <c r="AA27" s="1806">
        <f>D27/F27</f>
        <v>1</v>
      </c>
      <c r="AB27" s="1806">
        <f>D27/H27</f>
        <v>1</v>
      </c>
      <c r="AC27" s="1806">
        <f>D27/J27</f>
        <v>1</v>
      </c>
    </row>
    <row r="28" spans="1:29" s="116" customFormat="1" ht="15">
      <c r="A28" s="648"/>
      <c r="B28" s="455"/>
      <c r="C28" s="2691" t="s">
        <v>3066</v>
      </c>
      <c r="D28" s="447"/>
      <c r="E28" s="2691" t="s">
        <v>3066</v>
      </c>
      <c r="F28" s="447"/>
      <c r="G28" s="2691" t="s">
        <v>3066</v>
      </c>
      <c r="H28" s="447"/>
      <c r="I28" s="2691" t="s">
        <v>3066</v>
      </c>
      <c r="J28" s="447"/>
      <c r="K28" s="671"/>
      <c r="L28" s="1130"/>
      <c r="M28" s="1131"/>
      <c r="N28" s="1131"/>
      <c r="O28" s="1132"/>
      <c r="P28" s="3254"/>
      <c r="Q28" s="1790"/>
      <c r="R28" s="769"/>
      <c r="S28" s="770"/>
      <c r="T28" s="769"/>
      <c r="U28" s="770"/>
      <c r="V28" s="769"/>
      <c r="W28" s="770"/>
      <c r="X28" s="771"/>
      <c r="Y28" s="3254"/>
      <c r="Z28" s="55"/>
      <c r="AA28" s="1806">
        <v>1</v>
      </c>
      <c r="AB28" s="1806">
        <v>1</v>
      </c>
      <c r="AC28" s="1806">
        <v>1</v>
      </c>
    </row>
    <row r="29" spans="1:29" s="116" customFormat="1" ht="15">
      <c r="A29" s="648"/>
      <c r="B29" s="1381" t="s">
        <v>2635</v>
      </c>
      <c r="C29" s="2598"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54"/>
      <c r="Q29" s="1790"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6">
        <f>D29/F29</f>
        <v>1</v>
      </c>
      <c r="AB29" s="1806">
        <f>D29/H29</f>
        <v>1</v>
      </c>
      <c r="AC29" s="1806">
        <f>D29/J29</f>
        <v>1</v>
      </c>
    </row>
    <row r="30" spans="1:29" s="116" customFormat="1" ht="15.75" thickBot="1">
      <c r="A30" s="648"/>
      <c r="B30" s="455"/>
      <c r="C30" s="2691" t="s">
        <v>3068</v>
      </c>
      <c r="D30" s="447"/>
      <c r="E30" s="2691" t="s">
        <v>3068</v>
      </c>
      <c r="F30" s="447"/>
      <c r="G30" s="2691" t="s">
        <v>3068</v>
      </c>
      <c r="H30" s="447"/>
      <c r="I30" s="2691" t="s">
        <v>3068</v>
      </c>
      <c r="J30" s="447"/>
      <c r="K30" s="671"/>
      <c r="L30" s="1130"/>
      <c r="M30" s="1131"/>
      <c r="N30" s="1131"/>
      <c r="O30" s="1132"/>
      <c r="P30" s="3254"/>
      <c r="Q30" s="1790"/>
      <c r="R30" s="769"/>
      <c r="S30" s="770"/>
      <c r="T30" s="769"/>
      <c r="U30" s="770"/>
      <c r="V30" s="769"/>
      <c r="W30" s="770"/>
      <c r="X30" s="771"/>
      <c r="Y30" s="3254"/>
      <c r="Z30" s="55"/>
      <c r="AA30" s="1806">
        <v>1</v>
      </c>
      <c r="AB30" s="1806">
        <v>1</v>
      </c>
      <c r="AC30" s="1806">
        <v>1</v>
      </c>
    </row>
    <row r="31" spans="1:29" ht="1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4"/>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54"/>
      <c r="Z31" s="1809" t="str">
        <f t="shared" ref="Z31:Z45" si="13">Q31</f>
        <v>临街状况</v>
      </c>
      <c r="AA31" s="1806">
        <f t="shared" si="3"/>
        <v>1</v>
      </c>
      <c r="AB31" s="1806">
        <f t="shared" si="4"/>
        <v>1</v>
      </c>
      <c r="AC31" s="1806">
        <f t="shared" si="5"/>
        <v>1</v>
      </c>
    </row>
    <row r="32" spans="1:29" ht="27" hidden="1">
      <c r="A32" s="427"/>
      <c r="B32" s="1381"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4"/>
      <c r="Q32" s="1805" t="str">
        <f t="shared" si="8"/>
        <v>毗邻道路的类型与等级</v>
      </c>
      <c r="R32" s="773" t="s">
        <v>17</v>
      </c>
      <c r="S32" s="774">
        <f t="shared" si="10"/>
        <v>100</v>
      </c>
      <c r="T32" s="773" t="s">
        <v>17</v>
      </c>
      <c r="U32" s="774">
        <f t="shared" si="11"/>
        <v>100</v>
      </c>
      <c r="V32" s="773" t="s">
        <v>17</v>
      </c>
      <c r="W32" s="774">
        <f t="shared" si="12"/>
        <v>100</v>
      </c>
      <c r="X32" s="1808"/>
      <c r="Y32" s="3254"/>
      <c r="Z32" s="1809" t="str">
        <f t="shared" si="13"/>
        <v>毗邻道路的类型与等级</v>
      </c>
      <c r="AA32" s="1806">
        <f t="shared" si="3"/>
        <v>1</v>
      </c>
      <c r="AB32" s="1806">
        <f t="shared" si="4"/>
        <v>1</v>
      </c>
      <c r="AC32" s="1806">
        <f t="shared" si="5"/>
        <v>1</v>
      </c>
    </row>
    <row r="33" spans="1:29" ht="15" hidden="1">
      <c r="A33" s="427"/>
      <c r="B33" s="455"/>
      <c r="C33" s="446"/>
      <c r="D33" s="447"/>
      <c r="E33" s="2602"/>
      <c r="F33" s="447"/>
      <c r="G33" s="2602"/>
      <c r="H33" s="447"/>
      <c r="I33" s="446"/>
      <c r="J33" s="447"/>
      <c r="K33" s="612"/>
      <c r="L33" s="1138"/>
      <c r="M33" s="1129"/>
      <c r="N33" s="1129"/>
      <c r="O33" s="1137"/>
      <c r="P33" s="3254"/>
      <c r="Q33" s="1805"/>
      <c r="R33" s="773"/>
      <c r="S33" s="774"/>
      <c r="T33" s="773"/>
      <c r="U33" s="774"/>
      <c r="V33" s="773"/>
      <c r="W33" s="774"/>
      <c r="X33" s="1808"/>
      <c r="Y33" s="3254"/>
      <c r="Z33" s="1809"/>
      <c r="AA33" s="1806">
        <v>1</v>
      </c>
      <c r="AB33" s="1806">
        <v>1</v>
      </c>
      <c r="AC33" s="1806">
        <v>1</v>
      </c>
    </row>
    <row r="34" spans="1:29" ht="1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4"/>
      <c r="Q34" s="1805" t="str">
        <f t="shared" si="8"/>
        <v>土地级别</v>
      </c>
      <c r="R34" s="773" t="s">
        <v>17</v>
      </c>
      <c r="S34" s="774">
        <f t="shared" si="10"/>
        <v>100</v>
      </c>
      <c r="T34" s="773" t="s">
        <v>17</v>
      </c>
      <c r="U34" s="774">
        <f t="shared" si="11"/>
        <v>100</v>
      </c>
      <c r="V34" s="773" t="s">
        <v>17</v>
      </c>
      <c r="W34" s="774">
        <f t="shared" si="12"/>
        <v>100</v>
      </c>
      <c r="X34" s="1808"/>
      <c r="Y34" s="3254"/>
      <c r="Z34" s="1809" t="str">
        <f t="shared" si="13"/>
        <v>土地级别</v>
      </c>
      <c r="AA34" s="1806">
        <f t="shared" si="3"/>
        <v>1</v>
      </c>
      <c r="AB34" s="1806">
        <f t="shared" si="4"/>
        <v>1</v>
      </c>
      <c r="AC34" s="1806">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4"/>
      <c r="Q35" s="1805">
        <f t="shared" si="8"/>
        <v>111</v>
      </c>
      <c r="R35" s="773" t="s">
        <v>17</v>
      </c>
      <c r="S35" s="774">
        <f t="shared" si="10"/>
        <v>100</v>
      </c>
      <c r="T35" s="773" t="s">
        <v>17</v>
      </c>
      <c r="U35" s="774">
        <f t="shared" si="11"/>
        <v>100</v>
      </c>
      <c r="V35" s="773" t="s">
        <v>17</v>
      </c>
      <c r="W35" s="774">
        <f t="shared" si="12"/>
        <v>100</v>
      </c>
      <c r="X35" s="1808"/>
      <c r="Y35" s="3254"/>
      <c r="Z35" s="1809">
        <f t="shared" si="13"/>
        <v>111</v>
      </c>
      <c r="AA35" s="1806">
        <f t="shared" si="3"/>
        <v>1</v>
      </c>
      <c r="AB35" s="1806">
        <f t="shared" si="4"/>
        <v>1</v>
      </c>
      <c r="AC35" s="1806">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55" t="s">
        <v>2545</v>
      </c>
      <c r="Q36" s="1805">
        <f t="shared" si="8"/>
        <v>111</v>
      </c>
      <c r="R36" s="773" t="s">
        <v>17</v>
      </c>
      <c r="S36" s="774">
        <f t="shared" si="10"/>
        <v>100</v>
      </c>
      <c r="T36" s="773" t="s">
        <v>17</v>
      </c>
      <c r="U36" s="774">
        <f t="shared" si="11"/>
        <v>100</v>
      </c>
      <c r="V36" s="773" t="s">
        <v>17</v>
      </c>
      <c r="W36" s="774">
        <f t="shared" si="12"/>
        <v>100</v>
      </c>
      <c r="X36" s="1808"/>
      <c r="Y36" s="3256" t="s">
        <v>2545</v>
      </c>
      <c r="Z36" s="1809">
        <f t="shared" si="13"/>
        <v>111</v>
      </c>
      <c r="AA36" s="1806">
        <f t="shared" si="3"/>
        <v>1</v>
      </c>
      <c r="AB36" s="1806">
        <f t="shared" si="4"/>
        <v>1</v>
      </c>
      <c r="AC36" s="1806">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56"/>
      <c r="Q37" s="1805">
        <f t="shared" si="8"/>
        <v>111</v>
      </c>
      <c r="R37" s="776" t="s">
        <v>17</v>
      </c>
      <c r="S37" s="777">
        <f t="shared" si="10"/>
        <v>100</v>
      </c>
      <c r="T37" s="776" t="s">
        <v>17</v>
      </c>
      <c r="U37" s="777">
        <f t="shared" si="11"/>
        <v>100</v>
      </c>
      <c r="V37" s="776" t="s">
        <v>17</v>
      </c>
      <c r="W37" s="777">
        <f t="shared" si="12"/>
        <v>100</v>
      </c>
      <c r="X37" s="778"/>
      <c r="Y37" s="3256"/>
      <c r="Z37" s="779">
        <f t="shared" si="13"/>
        <v>111</v>
      </c>
      <c r="AA37" s="1806">
        <f t="shared" si="3"/>
        <v>1</v>
      </c>
      <c r="AB37" s="1806">
        <f t="shared" si="4"/>
        <v>1</v>
      </c>
      <c r="AC37" s="1806">
        <f t="shared" si="5"/>
        <v>1</v>
      </c>
    </row>
    <row r="38" spans="1:29" ht="15">
      <c r="A38" s="471" t="s">
        <v>2543</v>
      </c>
      <c r="B38" s="455" t="s">
        <v>2731</v>
      </c>
      <c r="C38" s="678">
        <v>7232</v>
      </c>
      <c r="D38" s="466">
        <v>100</v>
      </c>
      <c r="E38" s="678">
        <f>土地案例!D2</f>
        <v>30395.8</v>
      </c>
      <c r="F38" s="466">
        <f>LOOKUP(E38,117:117,118:118)-LOOKUP(C38,117:117,118:118)+100</f>
        <v>102</v>
      </c>
      <c r="G38" s="678">
        <f>土地案例!D9</f>
        <v>17083.27</v>
      </c>
      <c r="H38" s="466">
        <f>LOOKUP(G38,117:117,118:118)-LOOKUP(C38,117:117,118:118)+100</f>
        <v>101</v>
      </c>
      <c r="I38" s="529">
        <f>土地案例!D6</f>
        <v>14159</v>
      </c>
      <c r="J38" s="466">
        <f>LOOKUP(I38,117:117,118:118)-LOOKUP(C38,117:117,118:118)+100</f>
        <v>101</v>
      </c>
      <c r="K38" s="612"/>
      <c r="L38" s="1138"/>
      <c r="M38" s="1129"/>
      <c r="N38" s="1129"/>
      <c r="O38" s="1137"/>
      <c r="P38" s="3256"/>
      <c r="Q38" s="1805" t="str">
        <f>B38</f>
        <v>宗地面积</v>
      </c>
      <c r="R38" s="773" t="s">
        <v>17</v>
      </c>
      <c r="S38" s="774">
        <f t="shared" si="10"/>
        <v>102</v>
      </c>
      <c r="T38" s="773" t="s">
        <v>17</v>
      </c>
      <c r="U38" s="774">
        <f t="shared" si="11"/>
        <v>101</v>
      </c>
      <c r="V38" s="773" t="s">
        <v>17</v>
      </c>
      <c r="W38" s="774">
        <f t="shared" si="12"/>
        <v>101</v>
      </c>
      <c r="X38" s="1808"/>
      <c r="Y38" s="3256"/>
      <c r="Z38" s="1809" t="str">
        <f t="shared" si="13"/>
        <v>宗地面积</v>
      </c>
      <c r="AA38" s="1806">
        <f t="shared" si="3"/>
        <v>0.98039215686274506</v>
      </c>
      <c r="AB38" s="1806">
        <f t="shared" si="4"/>
        <v>0.99009900990099009</v>
      </c>
      <c r="AC38" s="1806">
        <f t="shared" si="5"/>
        <v>0.99009900990099009</v>
      </c>
    </row>
    <row r="39" spans="1:29" ht="15">
      <c r="A39" s="471"/>
      <c r="B39" s="421" t="s">
        <v>2732</v>
      </c>
      <c r="C39" s="2604" t="s">
        <v>3113</v>
      </c>
      <c r="D39" s="434">
        <v>100</v>
      </c>
      <c r="E39" s="2604" t="s">
        <v>3113</v>
      </c>
      <c r="F39" s="434">
        <f>SUMIF(119:119,E39,120:120)-SUMIF(119:119,C39,120:120)+100</f>
        <v>100</v>
      </c>
      <c r="G39" s="2604" t="s">
        <v>3113</v>
      </c>
      <c r="H39" s="434">
        <f>SUMIF(119:119,G39,120:120)-SUMIF(119:119,C39,120:120)+100</f>
        <v>100</v>
      </c>
      <c r="I39" s="2604" t="s">
        <v>3113</v>
      </c>
      <c r="J39" s="434">
        <f>SUMIF(119:119,I39,120:120)-SUMIF(119:119,C39,120:120)+100</f>
        <v>100</v>
      </c>
      <c r="K39" s="611">
        <v>2</v>
      </c>
      <c r="L39" s="1138"/>
      <c r="M39" s="1129"/>
      <c r="N39" s="1129"/>
      <c r="O39" s="1137"/>
      <c r="P39" s="3256"/>
      <c r="Q39" s="1805" t="str">
        <f t="shared" ref="Q39:Q45" si="14">B39</f>
        <v>宗地形状</v>
      </c>
      <c r="R39" s="773" t="s">
        <v>17</v>
      </c>
      <c r="S39" s="774">
        <f t="shared" si="10"/>
        <v>100</v>
      </c>
      <c r="T39" s="773" t="s">
        <v>17</v>
      </c>
      <c r="U39" s="774">
        <f t="shared" si="11"/>
        <v>100</v>
      </c>
      <c r="V39" s="773" t="s">
        <v>17</v>
      </c>
      <c r="W39" s="774">
        <f t="shared" si="12"/>
        <v>100</v>
      </c>
      <c r="X39" s="1808"/>
      <c r="Y39" s="3256"/>
      <c r="Z39" s="1809" t="str">
        <f t="shared" si="13"/>
        <v>宗地形状</v>
      </c>
      <c r="AA39" s="1806">
        <f t="shared" si="3"/>
        <v>1</v>
      </c>
      <c r="AB39" s="1806">
        <f t="shared" si="4"/>
        <v>1</v>
      </c>
      <c r="AC39" s="1806">
        <f t="shared" si="5"/>
        <v>1</v>
      </c>
    </row>
    <row r="40" spans="1:29" ht="15">
      <c r="A40" s="471"/>
      <c r="B40" s="421" t="s">
        <v>2733</v>
      </c>
      <c r="C40" s="2604" t="s">
        <v>3118</v>
      </c>
      <c r="D40" s="434">
        <v>100</v>
      </c>
      <c r="E40" s="2604" t="s">
        <v>3118</v>
      </c>
      <c r="F40" s="434">
        <f>SUMIF(121:121,E40,122:122)-SUMIF(121:121,C40,122:122)+100</f>
        <v>100</v>
      </c>
      <c r="G40" s="2604" t="s">
        <v>3118</v>
      </c>
      <c r="H40" s="434">
        <f>SUMIF(121:121,G40,122:122)-SUMIF(121:121,C40,122:122)+100</f>
        <v>100</v>
      </c>
      <c r="I40" s="2604" t="s">
        <v>3118</v>
      </c>
      <c r="J40" s="434">
        <f>SUMIF(121:121,I40,122:122)-SUMIF(121:121,C40,122:122)+100</f>
        <v>100</v>
      </c>
      <c r="K40" s="611">
        <v>2</v>
      </c>
      <c r="L40" s="1138"/>
      <c r="M40" s="1129">
        <f ca="1">结果表!G19</f>
        <v>32076</v>
      </c>
      <c r="N40" s="1129"/>
      <c r="O40" s="1137"/>
      <c r="P40" s="3256"/>
      <c r="Q40" s="1805" t="str">
        <f t="shared" si="14"/>
        <v>临街宽度及深度</v>
      </c>
      <c r="R40" s="773" t="s">
        <v>17</v>
      </c>
      <c r="S40" s="774">
        <f t="shared" si="10"/>
        <v>100</v>
      </c>
      <c r="T40" s="773" t="s">
        <v>17</v>
      </c>
      <c r="U40" s="774">
        <f t="shared" si="11"/>
        <v>100</v>
      </c>
      <c r="V40" s="773" t="s">
        <v>17</v>
      </c>
      <c r="W40" s="774">
        <f t="shared" si="12"/>
        <v>100</v>
      </c>
      <c r="X40" s="1808"/>
      <c r="Y40" s="3256"/>
      <c r="Z40" s="1809" t="str">
        <f t="shared" si="13"/>
        <v>临街宽度及深度</v>
      </c>
      <c r="AA40" s="1806">
        <f t="shared" si="3"/>
        <v>1</v>
      </c>
      <c r="AB40" s="1806">
        <f t="shared" si="4"/>
        <v>1</v>
      </c>
      <c r="AC40" s="1806">
        <f t="shared" si="5"/>
        <v>1</v>
      </c>
    </row>
    <row r="41" spans="1:29" s="116" customFormat="1" ht="15">
      <c r="A41" s="472"/>
      <c r="B41" s="421" t="s">
        <v>2734</v>
      </c>
      <c r="C41" s="2693" t="s">
        <v>3068</v>
      </c>
      <c r="D41" s="135">
        <v>100</v>
      </c>
      <c r="E41" s="2693" t="s">
        <v>3068</v>
      </c>
      <c r="F41" s="434">
        <f>SUMIF(123:123,E41,124:124)-SUMIF(123:123,C41,124:124)+100</f>
        <v>100</v>
      </c>
      <c r="G41" s="2693" t="s">
        <v>3068</v>
      </c>
      <c r="H41" s="434">
        <f>SUMIF(123:123,G41,124:124)-SUMIF(123:123,C41,124:124)+100</f>
        <v>100</v>
      </c>
      <c r="I41" s="2693" t="s">
        <v>3068</v>
      </c>
      <c r="J41" s="434">
        <f>SUMIF(123:123,I41,124:124)-SUMIF(123:123,C41,124:124)+100</f>
        <v>100</v>
      </c>
      <c r="K41" s="611">
        <v>1</v>
      </c>
      <c r="L41" s="1130"/>
      <c r="M41" s="1131"/>
      <c r="N41" s="1131"/>
      <c r="O41" s="1132"/>
      <c r="P41" s="3256"/>
      <c r="Q41" s="1805" t="str">
        <f t="shared" si="14"/>
        <v>宗地开发程度</v>
      </c>
      <c r="R41" s="769" t="s">
        <v>17</v>
      </c>
      <c r="S41" s="770">
        <f t="shared" si="10"/>
        <v>100</v>
      </c>
      <c r="T41" s="769" t="s">
        <v>17</v>
      </c>
      <c r="U41" s="770">
        <f t="shared" si="11"/>
        <v>100</v>
      </c>
      <c r="V41" s="769" t="s">
        <v>17</v>
      </c>
      <c r="W41" s="770">
        <f t="shared" si="12"/>
        <v>100</v>
      </c>
      <c r="X41" s="771"/>
      <c r="Y41" s="3256"/>
      <c r="Z41" s="55" t="str">
        <f t="shared" si="13"/>
        <v>宗地开发程度</v>
      </c>
      <c r="AA41" s="772">
        <f t="shared" si="3"/>
        <v>1</v>
      </c>
      <c r="AB41" s="772">
        <f t="shared" si="4"/>
        <v>1</v>
      </c>
      <c r="AC41" s="772">
        <f t="shared" si="5"/>
        <v>1</v>
      </c>
    </row>
    <row r="42" spans="1:29" ht="15.75" thickBot="1">
      <c r="A42" s="471"/>
      <c r="B42" s="421" t="s">
        <v>2735</v>
      </c>
      <c r="C42" s="2604" t="s">
        <v>3066</v>
      </c>
      <c r="D42" s="434">
        <v>100</v>
      </c>
      <c r="E42" s="2604" t="s">
        <v>3066</v>
      </c>
      <c r="F42" s="434">
        <f>SUMIF(125:125,E42,126:126)-SUMIF(125:125,C42,126:126)+100</f>
        <v>100</v>
      </c>
      <c r="G42" s="2604" t="s">
        <v>3066</v>
      </c>
      <c r="H42" s="434">
        <f>SUMIF(125:125,G42,126:126)-SUMIF(125:125,C42,126:126)+100</f>
        <v>100</v>
      </c>
      <c r="I42" s="2604" t="s">
        <v>3066</v>
      </c>
      <c r="J42" s="434">
        <f>SUMIF(125:125,I42,126:126)-SUMIF(125:125,C42,126:126)+100</f>
        <v>100</v>
      </c>
      <c r="K42" s="611">
        <v>2</v>
      </c>
      <c r="L42" s="1138"/>
      <c r="M42" s="1129"/>
      <c r="N42" s="1129"/>
      <c r="O42" s="1137"/>
      <c r="P42" s="3256" t="s">
        <v>2545</v>
      </c>
      <c r="Q42" s="1805" t="str">
        <f t="shared" si="14"/>
        <v>工程地质条件</v>
      </c>
      <c r="R42" s="773" t="s">
        <v>17</v>
      </c>
      <c r="S42" s="774">
        <f t="shared" si="10"/>
        <v>100</v>
      </c>
      <c r="T42" s="773" t="s">
        <v>17</v>
      </c>
      <c r="U42" s="774">
        <f t="shared" si="11"/>
        <v>100</v>
      </c>
      <c r="V42" s="773" t="s">
        <v>17</v>
      </c>
      <c r="W42" s="774">
        <f t="shared" si="12"/>
        <v>100</v>
      </c>
      <c r="X42" s="1808"/>
      <c r="Y42" s="3256" t="s">
        <v>2545</v>
      </c>
      <c r="Z42" s="1809" t="str">
        <f t="shared" si="13"/>
        <v>工程地质条件</v>
      </c>
      <c r="AA42" s="1806">
        <f t="shared" si="3"/>
        <v>1</v>
      </c>
      <c r="AB42" s="1806">
        <f t="shared" si="4"/>
        <v>1</v>
      </c>
      <c r="AC42" s="1806">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56"/>
      <c r="Q43" s="1805">
        <f t="shared" si="14"/>
        <v>111</v>
      </c>
      <c r="R43" s="773" t="s">
        <v>17</v>
      </c>
      <c r="S43" s="774">
        <f t="shared" si="10"/>
        <v>100</v>
      </c>
      <c r="T43" s="773" t="s">
        <v>17</v>
      </c>
      <c r="U43" s="774">
        <f t="shared" si="11"/>
        <v>100</v>
      </c>
      <c r="V43" s="773" t="s">
        <v>17</v>
      </c>
      <c r="W43" s="774">
        <f t="shared" si="12"/>
        <v>100</v>
      </c>
      <c r="X43" s="1808"/>
      <c r="Y43" s="3256"/>
      <c r="Z43" s="1809">
        <f t="shared" si="13"/>
        <v>111</v>
      </c>
      <c r="AA43" s="1806">
        <f t="shared" si="3"/>
        <v>1</v>
      </c>
      <c r="AB43" s="1806">
        <f t="shared" si="4"/>
        <v>1</v>
      </c>
      <c r="AC43" s="1806">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56"/>
      <c r="Q44" s="1805">
        <f t="shared" si="14"/>
        <v>111</v>
      </c>
      <c r="R44" s="773" t="s">
        <v>17</v>
      </c>
      <c r="S44" s="774">
        <f t="shared" si="10"/>
        <v>100</v>
      </c>
      <c r="T44" s="773" t="s">
        <v>17</v>
      </c>
      <c r="U44" s="774">
        <f t="shared" si="11"/>
        <v>100</v>
      </c>
      <c r="V44" s="773" t="s">
        <v>17</v>
      </c>
      <c r="W44" s="774">
        <f t="shared" si="12"/>
        <v>100</v>
      </c>
      <c r="X44" s="1808"/>
      <c r="Y44" s="3256"/>
      <c r="Z44" s="1809">
        <f t="shared" si="13"/>
        <v>111</v>
      </c>
      <c r="AA44" s="1806">
        <f t="shared" si="3"/>
        <v>1</v>
      </c>
      <c r="AB44" s="1806">
        <f t="shared" si="4"/>
        <v>1</v>
      </c>
      <c r="AC44" s="1806">
        <f t="shared" si="5"/>
        <v>1</v>
      </c>
    </row>
    <row r="45" spans="1:29" s="470" customFormat="1" ht="15.75" hidden="1" thickBot="1">
      <c r="A45" s="467"/>
      <c r="B45" s="1384">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56"/>
      <c r="Q45" s="1805">
        <f t="shared" si="14"/>
        <v>111</v>
      </c>
      <c r="R45" s="776" t="s">
        <v>17</v>
      </c>
      <c r="S45" s="777">
        <f t="shared" si="10"/>
        <v>100</v>
      </c>
      <c r="T45" s="776" t="s">
        <v>17</v>
      </c>
      <c r="U45" s="777">
        <f t="shared" si="11"/>
        <v>100</v>
      </c>
      <c r="V45" s="776" t="s">
        <v>17</v>
      </c>
      <c r="W45" s="777">
        <f t="shared" si="12"/>
        <v>100</v>
      </c>
      <c r="X45" s="778"/>
      <c r="Y45" s="3256"/>
      <c r="Z45" s="779">
        <f t="shared" si="13"/>
        <v>111</v>
      </c>
      <c r="AA45" s="1806">
        <f t="shared" si="3"/>
        <v>1</v>
      </c>
      <c r="AB45" s="1806">
        <f t="shared" si="4"/>
        <v>1</v>
      </c>
      <c r="AC45" s="1806">
        <f t="shared" si="5"/>
        <v>1</v>
      </c>
    </row>
    <row r="46" spans="1:29" ht="15">
      <c r="A46" s="478" t="s">
        <v>2700</v>
      </c>
      <c r="B46" s="2695" t="s">
        <v>2736</v>
      </c>
      <c r="C46" s="681" t="s">
        <v>1</v>
      </c>
      <c r="D46" s="480"/>
      <c r="E46" s="481">
        <f>ROUND(土地案例!M2,0)</f>
        <v>8690</v>
      </c>
      <c r="F46" s="482"/>
      <c r="G46" s="483">
        <f>ROUND(土地案例!M9,0)</f>
        <v>8341</v>
      </c>
      <c r="H46" s="484"/>
      <c r="I46" s="481">
        <f>ROUND(土地案例!M6,0)</f>
        <v>7299</v>
      </c>
      <c r="J46" s="484"/>
      <c r="K46" s="782"/>
      <c r="L46" s="1141"/>
      <c r="M46" s="1142"/>
      <c r="N46" s="1129"/>
      <c r="O46" s="1142"/>
      <c r="P46" s="3238" t="str">
        <f>A46</f>
        <v>成交单价</v>
      </c>
      <c r="Q46" s="3238"/>
      <c r="R46" s="3251">
        <f>E46</f>
        <v>8690</v>
      </c>
      <c r="S46" s="3251"/>
      <c r="T46" s="3251">
        <f>G46</f>
        <v>8341</v>
      </c>
      <c r="U46" s="3251"/>
      <c r="V46" s="3251">
        <f>I46</f>
        <v>7299</v>
      </c>
      <c r="W46" s="3251"/>
      <c r="X46" s="758"/>
      <c r="Y46" s="780"/>
      <c r="Z46" s="758"/>
      <c r="AA46" s="758"/>
      <c r="AB46" s="758"/>
      <c r="AC46" s="758"/>
    </row>
    <row r="47" spans="1:29" ht="15.75" thickBot="1">
      <c r="A47" s="485" t="s">
        <v>2649</v>
      </c>
      <c r="B47" s="682"/>
      <c r="C47" s="489">
        <f>R48</f>
        <v>5990</v>
      </c>
      <c r="D47" s="488"/>
      <c r="E47" s="489">
        <f>R47</f>
        <v>6304</v>
      </c>
      <c r="F47" s="490"/>
      <c r="G47" s="487">
        <f>T47</f>
        <v>6111</v>
      </c>
      <c r="H47" s="488"/>
      <c r="I47" s="489">
        <f>V47</f>
        <v>5554</v>
      </c>
      <c r="J47" s="488"/>
      <c r="K47" s="783"/>
      <c r="L47" s="1141"/>
      <c r="M47" s="1142"/>
      <c r="N47" s="1142"/>
      <c r="O47" s="1142"/>
      <c r="P47" s="3238" t="str">
        <f>A47</f>
        <v>比较价值（元/平方米）</v>
      </c>
      <c r="Q47" s="3238"/>
      <c r="R47" s="3257">
        <f>ROUND(PRODUCT(R46,AA7:AA45),0)</f>
        <v>6304</v>
      </c>
      <c r="S47" s="3257"/>
      <c r="T47" s="3257">
        <f>ROUND(PRODUCT(T46,AB7:AB45),0)</f>
        <v>6111</v>
      </c>
      <c r="U47" s="3257"/>
      <c r="V47" s="3257">
        <f>ROUND(PRODUCT(V46,AC7:AC45),0)</f>
        <v>5554</v>
      </c>
      <c r="W47" s="3257"/>
      <c r="X47" s="758"/>
      <c r="Y47" s="758"/>
      <c r="Z47" s="758"/>
      <c r="AA47" s="758"/>
      <c r="AB47" s="758"/>
      <c r="AC47" s="758"/>
    </row>
    <row r="48" spans="1:29" ht="15.75" thickBot="1">
      <c r="A48" s="491" t="s">
        <v>2737</v>
      </c>
      <c r="B48" s="492"/>
      <c r="C48" s="493">
        <f>R48</f>
        <v>5990</v>
      </c>
      <c r="D48" s="493"/>
      <c r="E48" s="493"/>
      <c r="F48" s="493"/>
      <c r="G48" s="493"/>
      <c r="H48" s="493"/>
      <c r="I48" s="493"/>
      <c r="J48" s="493"/>
      <c r="K48" s="784"/>
      <c r="L48" s="1141"/>
      <c r="M48" s="1142"/>
      <c r="N48" s="1142"/>
      <c r="O48" s="1142"/>
      <c r="P48" s="3258" t="str">
        <f>A48</f>
        <v>估价对象XX用房的比较价值（楼面单价，元/平方米）</v>
      </c>
      <c r="Q48" s="3259"/>
      <c r="R48" s="3260">
        <f>ROUND(AVERAGE(R47:V47),0)</f>
        <v>5990</v>
      </c>
      <c r="S48" s="3260"/>
      <c r="T48" s="3260"/>
      <c r="U48" s="3260"/>
      <c r="V48" s="3260"/>
      <c r="W48" s="326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0.37848984771573613</v>
      </c>
      <c r="F51" s="499" t="str">
        <f>IF(OR(E51&gt;=0.3,E51&lt;=-0.3),"超过30%","")</f>
        <v>超过30%</v>
      </c>
      <c r="G51" s="498">
        <f>IF(G46&lt;G47,G47/G46-1,G46/G47-1)</f>
        <v>0.36491572574046804</v>
      </c>
      <c r="H51" s="499" t="str">
        <f>IF(OR(G51&gt;=0.3,G51&lt;=-0.3),"超过30%","")</f>
        <v>超过30%</v>
      </c>
      <c r="I51" s="498">
        <f>IF(I46&lt;I47,I47/I46-1,I46/I47-1)</f>
        <v>0.31418797263233711</v>
      </c>
      <c r="J51" s="499" t="str">
        <f>IF(OR(I51&gt;=0.3,I51&lt;=-0.3),"超过30%","")</f>
        <v>超过30%</v>
      </c>
      <c r="K51" s="1103"/>
      <c r="L51" s="1104"/>
      <c r="M51" s="1142"/>
      <c r="N51" s="1142"/>
      <c r="O51" s="1142"/>
    </row>
    <row r="52" spans="1:15" ht="13.5" customHeight="1">
      <c r="A52" s="1142"/>
      <c r="B52" s="1142"/>
      <c r="C52" s="496" t="s">
        <v>2652</v>
      </c>
      <c r="D52" s="500"/>
      <c r="E52" s="498">
        <f>IF(E47&lt;G47,G47/E47-1,E47/G47-1)</f>
        <v>3.1582392407134785E-2</v>
      </c>
      <c r="F52" s="499" t="str">
        <f>IF(OR(E52&gt;=0.2,E52&lt;=-0.2),"超过20%","")</f>
        <v/>
      </c>
      <c r="G52" s="498">
        <f>IF(G47&lt;I47,I47/G47-1,G47/I47-1)</f>
        <v>0.10028808066258543</v>
      </c>
      <c r="H52" s="499" t="str">
        <f>IF(OR(G52&gt;=0.2,G52&lt;=-0.2),"超过20%","")</f>
        <v/>
      </c>
      <c r="I52" s="498">
        <f>IF(I47&lt;E47,E47/I47-1,I47/E47-1)</f>
        <v>0.13503781058696429</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4.1841505814650626E-2</v>
      </c>
      <c r="F53" s="499" t="str">
        <f>IF(OR(E53&gt;=0.3,E53&lt;=-0.3),"超过30%","")</f>
        <v/>
      </c>
      <c r="G53" s="498">
        <f>IF(G46&lt;I46,I46/G46-1,G46/I46-1)</f>
        <v>0.14275928209343736</v>
      </c>
      <c r="H53" s="499" t="str">
        <f>IF(OR(G53&gt;=0.3,G53&lt;=-0.3),"超过30%","")</f>
        <v/>
      </c>
      <c r="I53" s="498">
        <f>IF(I46&lt;E46,E46/I46-1,I46/E46-1)</f>
        <v>0.1905740512398959</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6" t="s">
        <v>2740</v>
      </c>
      <c r="D55" s="2697" t="s">
        <v>2741</v>
      </c>
      <c r="E55" s="685" t="s">
        <v>2742</v>
      </c>
      <c r="F55" s="1105" t="s">
        <v>2743</v>
      </c>
      <c r="G55" s="3239" t="s">
        <v>2744</v>
      </c>
      <c r="H55" s="3261"/>
      <c r="I55" s="143" t="s">
        <v>2745</v>
      </c>
      <c r="J55" s="2698" t="str">
        <f>项目基本情况!F35</f>
        <v>重庆市</v>
      </c>
      <c r="K55" s="2699" t="s">
        <v>2746</v>
      </c>
      <c r="L55" s="1104"/>
      <c r="M55" s="1142"/>
      <c r="N55" s="1142"/>
      <c r="O55" s="1142"/>
    </row>
    <row r="56" spans="1:15" s="691" customFormat="1">
      <c r="A56" s="687" t="s">
        <v>2747</v>
      </c>
      <c r="B56" s="688">
        <f>C48</f>
        <v>5990</v>
      </c>
      <c r="C56" s="689">
        <v>1</v>
      </c>
      <c r="D56" s="1161">
        <v>1</v>
      </c>
      <c r="E56" s="689">
        <f>'数据-汇总表'!E8+'数据-汇总表'!E9</f>
        <v>23800.559999999998</v>
      </c>
      <c r="F56" s="1101">
        <f t="shared" ref="F56:F65" si="15">ROUND(B56*E56/10000,0)</f>
        <v>14257</v>
      </c>
      <c r="G56" s="3262"/>
      <c r="H56" s="3238"/>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263"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263"/>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263"/>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263"/>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0"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0" t="s">
        <v>2749</v>
      </c>
      <c r="H64" s="1102">
        <f>项目基本情况!B37</f>
        <v>0</v>
      </c>
      <c r="I64" s="1106">
        <f>SUMIF(修正!A45:A56,H64,修正!H45:H56)</f>
        <v>0</v>
      </c>
      <c r="J64" s="1110"/>
      <c r="K64" s="1143"/>
      <c r="L64" s="940"/>
      <c r="M64" s="940"/>
      <c r="N64" s="940"/>
      <c r="O64" s="940"/>
    </row>
    <row r="65" spans="1:19" s="691" customFormat="1" ht="15" thickBot="1">
      <c r="A65" s="692" t="s">
        <v>2760</v>
      </c>
      <c r="B65" s="261">
        <f t="shared" si="17"/>
        <v>0</v>
      </c>
      <c r="C65" s="199">
        <f t="shared" si="16"/>
        <v>0</v>
      </c>
      <c r="D65" s="1162">
        <v>0.25</v>
      </c>
      <c r="E65" s="260">
        <f>'数据-汇总表'!E15</f>
        <v>0</v>
      </c>
      <c r="F65" s="1101">
        <f t="shared" si="15"/>
        <v>0</v>
      </c>
      <c r="G65" s="2701" t="s">
        <v>2754</v>
      </c>
      <c r="H65" s="1112">
        <f>项目基本情况!C37</f>
        <v>0</v>
      </c>
      <c r="I65" s="1108">
        <f>SUMIF(修正!A45:A56,H65,修正!H45:H56)</f>
        <v>0</v>
      </c>
      <c r="J65" s="1111"/>
      <c r="K65" s="1142"/>
      <c r="L65" s="940"/>
      <c r="M65" s="940"/>
      <c r="N65" s="940"/>
      <c r="O65" s="940"/>
    </row>
    <row r="66" spans="1:19" s="691" customFormat="1" ht="13.5" thickBot="1">
      <c r="A66" s="694" t="s">
        <v>2761</v>
      </c>
      <c r="B66" s="695" t="s">
        <v>28</v>
      </c>
      <c r="C66" s="695" t="s">
        <v>29</v>
      </c>
      <c r="D66" s="695" t="s">
        <v>1029</v>
      </c>
      <c r="E66" s="695">
        <f>IF(B46="楼面地价",SUM(E56:E65),'数据-汇总表'!D3)</f>
        <v>23800.559999999998</v>
      </c>
      <c r="F66" s="696">
        <f>IF(B46="楼面地价",SUM(F56:F65),ROUND(C48*E66/10000,0))</f>
        <v>14257</v>
      </c>
      <c r="G66" s="786"/>
      <c r="H66" s="786"/>
      <c r="I66" s="786"/>
      <c r="J66" s="786"/>
      <c r="K66" s="1156"/>
      <c r="L66" s="940"/>
      <c r="M66" s="940"/>
      <c r="N66" s="940"/>
      <c r="O66" s="940"/>
    </row>
    <row r="67" spans="1:19">
      <c r="A67" s="758"/>
      <c r="B67" s="760"/>
      <c r="C67" s="761"/>
      <c r="D67" s="758"/>
      <c r="E67" s="758"/>
      <c r="F67" s="758"/>
      <c r="G67" s="758"/>
      <c r="H67" s="758"/>
      <c r="I67" s="758"/>
      <c r="J67" s="1142"/>
      <c r="K67" s="1103"/>
      <c r="L67" s="1104"/>
      <c r="M67" s="1142"/>
      <c r="N67" s="1142"/>
      <c r="O67" s="1142"/>
    </row>
    <row r="68" spans="1:19">
      <c r="A68" s="758"/>
      <c r="B68" s="760"/>
      <c r="C68" s="760" t="str">
        <f>YEAR(C7)&amp;"-"&amp;MONTH(C7)&amp;"-1"</f>
        <v>2021-4-1</v>
      </c>
      <c r="D68" s="760">
        <f>EDATE(C68,-3)</f>
        <v>44197</v>
      </c>
      <c r="E68" s="760">
        <f>EDATE(D68,-3)</f>
        <v>44105</v>
      </c>
      <c r="F68" s="760">
        <f t="shared" ref="F68:O68" si="18">EDATE(E68,-3)</f>
        <v>44013</v>
      </c>
      <c r="G68" s="760">
        <f t="shared" si="18"/>
        <v>43922</v>
      </c>
      <c r="H68" s="760">
        <f t="shared" si="18"/>
        <v>43831</v>
      </c>
      <c r="I68" s="760">
        <f t="shared" si="18"/>
        <v>43739</v>
      </c>
      <c r="J68" s="760">
        <f t="shared" si="18"/>
        <v>43647</v>
      </c>
      <c r="K68" s="760">
        <f t="shared" si="18"/>
        <v>43556</v>
      </c>
      <c r="L68" s="760">
        <f t="shared" si="18"/>
        <v>43466</v>
      </c>
      <c r="M68" s="760">
        <f t="shared" si="18"/>
        <v>43374</v>
      </c>
      <c r="N68" s="760">
        <f t="shared" si="18"/>
        <v>43282</v>
      </c>
      <c r="O68" s="760">
        <f t="shared" si="18"/>
        <v>43191</v>
      </c>
    </row>
    <row r="69" spans="1:19" ht="21.75" thickBot="1">
      <c r="A69" s="762" t="s">
        <v>2654</v>
      </c>
      <c r="B69" s="758"/>
      <c r="C69" s="763"/>
      <c r="D69" s="763"/>
      <c r="E69" s="763"/>
      <c r="F69" s="764"/>
      <c r="G69" s="764"/>
      <c r="H69" s="763"/>
      <c r="I69" s="763"/>
      <c r="J69" s="1157"/>
      <c r="K69" s="1158"/>
      <c r="L69" s="1159"/>
      <c r="M69" s="1157"/>
      <c r="N69" s="1157"/>
      <c r="O69" s="1157"/>
      <c r="P69" s="502"/>
      <c r="Q69" s="503"/>
    </row>
    <row r="70" spans="1:19" s="507" customFormat="1" ht="15">
      <c r="A70" s="2702" t="s">
        <v>2762</v>
      </c>
      <c r="B70" s="1356"/>
      <c r="C70" s="1567" t="str">
        <f>YEAR(C68)&amp;"-"&amp;ROUNDUP(MONTH(C68)/3,0)</f>
        <v>2021-2</v>
      </c>
      <c r="D70" s="1567" t="str">
        <f>YEAR(D68)&amp;"-"&amp;ROUNDUP(MONTH(D68)/3,0)</f>
        <v>2021-1</v>
      </c>
      <c r="E70" s="1567" t="str">
        <f t="shared" ref="E70:O70" si="19">YEAR(E68)&amp;"-"&amp;ROUNDUP(MONTH(E68)/3,0)</f>
        <v>2020-4</v>
      </c>
      <c r="F70" s="1567" t="str">
        <f t="shared" si="19"/>
        <v>2020-3</v>
      </c>
      <c r="G70" s="1567" t="str">
        <f t="shared" si="19"/>
        <v>2020-2</v>
      </c>
      <c r="H70" s="1567" t="str">
        <f t="shared" si="19"/>
        <v>2020-1</v>
      </c>
      <c r="I70" s="1567" t="str">
        <f t="shared" si="19"/>
        <v>2019-4</v>
      </c>
      <c r="J70" s="1567" t="str">
        <f t="shared" si="19"/>
        <v>2019-3</v>
      </c>
      <c r="K70" s="1567" t="str">
        <f t="shared" si="19"/>
        <v>2019-2</v>
      </c>
      <c r="L70" s="1567" t="str">
        <f t="shared" si="19"/>
        <v>2019-1</v>
      </c>
      <c r="M70" s="1567" t="str">
        <f t="shared" si="19"/>
        <v>2018-4</v>
      </c>
      <c r="N70" s="1567" t="str">
        <f t="shared" si="19"/>
        <v>2018-3</v>
      </c>
      <c r="O70" s="1567" t="str">
        <f t="shared" si="19"/>
        <v>2018-2</v>
      </c>
      <c r="P70" s="3005">
        <v>43101</v>
      </c>
      <c r="Q70" s="3005">
        <v>42826</v>
      </c>
      <c r="R70" s="507" t="s">
        <v>3308</v>
      </c>
      <c r="S70" s="507" t="s">
        <v>3309</v>
      </c>
    </row>
    <row r="71" spans="1:19" s="116" customFormat="1" ht="30" customHeight="1">
      <c r="A71" s="2703" t="s">
        <v>2763</v>
      </c>
      <c r="B71" s="331" t="str">
        <f>"北京市平均增长率"&amp;TEXT(SUMIF(基准地价修正!N21:N25,A71,基准地价修正!P21:P25),"0.00%")</f>
        <v>北京市平均增长率0.00%</v>
      </c>
      <c r="C71" s="602">
        <v>100</v>
      </c>
      <c r="D71" s="594">
        <f>C71-0.3</f>
        <v>99.7</v>
      </c>
      <c r="E71" s="594">
        <f t="shared" ref="E71:H71" si="20">D71-0.3</f>
        <v>99.4</v>
      </c>
      <c r="F71" s="594">
        <f t="shared" si="20"/>
        <v>99.100000000000009</v>
      </c>
      <c r="G71" s="594">
        <f t="shared" si="20"/>
        <v>98.800000000000011</v>
      </c>
      <c r="H71" s="594">
        <f t="shared" si="20"/>
        <v>98.500000000000014</v>
      </c>
      <c r="I71" s="594">
        <f t="shared" ref="I71:S71" si="21">H71-0.5</f>
        <v>98.000000000000014</v>
      </c>
      <c r="J71" s="594">
        <f t="shared" si="21"/>
        <v>97.500000000000014</v>
      </c>
      <c r="K71" s="594">
        <f t="shared" si="21"/>
        <v>97.000000000000014</v>
      </c>
      <c r="L71" s="594">
        <f t="shared" si="21"/>
        <v>96.500000000000014</v>
      </c>
      <c r="M71" s="594">
        <f t="shared" si="21"/>
        <v>96.000000000000014</v>
      </c>
      <c r="N71" s="594">
        <f t="shared" si="21"/>
        <v>95.500000000000014</v>
      </c>
      <c r="O71" s="594">
        <f t="shared" si="21"/>
        <v>95.000000000000014</v>
      </c>
      <c r="P71" s="594">
        <f t="shared" si="21"/>
        <v>94.500000000000014</v>
      </c>
      <c r="Q71" s="594">
        <f t="shared" si="21"/>
        <v>94.000000000000014</v>
      </c>
      <c r="R71" s="594">
        <f t="shared" si="21"/>
        <v>93.500000000000014</v>
      </c>
      <c r="S71" s="594">
        <f t="shared" si="21"/>
        <v>93.000000000000014</v>
      </c>
    </row>
    <row r="72" spans="1:19" s="116" customFormat="1" ht="15.75" thickBot="1">
      <c r="A72" s="514" t="s">
        <v>2565</v>
      </c>
      <c r="B72" s="515"/>
      <c r="C72" s="516"/>
      <c r="D72" s="517"/>
      <c r="E72" s="517"/>
      <c r="F72" s="517"/>
      <c r="G72" s="517"/>
      <c r="H72" s="517"/>
      <c r="I72" s="517"/>
      <c r="J72" s="517"/>
      <c r="K72" s="517"/>
      <c r="L72" s="517"/>
      <c r="M72" s="518"/>
      <c r="N72" s="517"/>
      <c r="O72" s="1160"/>
      <c r="P72" s="503"/>
      <c r="Q72" s="503"/>
    </row>
    <row r="73" spans="1:19" s="116" customFormat="1" ht="15">
      <c r="A73" s="520" t="s">
        <v>2530</v>
      </c>
      <c r="B73" s="509"/>
      <c r="C73" s="521" t="s">
        <v>2632</v>
      </c>
      <c r="D73" s="522"/>
      <c r="E73" s="522"/>
      <c r="F73" s="522"/>
      <c r="G73" s="522"/>
      <c r="H73" s="522"/>
      <c r="I73" s="522"/>
      <c r="J73" s="522"/>
      <c r="K73" s="522"/>
      <c r="L73" s="523"/>
      <c r="M73" s="524"/>
      <c r="N73" s="1149"/>
      <c r="O73" s="1149"/>
      <c r="P73" s="525"/>
      <c r="Q73" s="503"/>
    </row>
    <row r="74" spans="1:19" s="116" customFormat="1" ht="15.75" thickBot="1">
      <c r="A74" s="520"/>
      <c r="B74" s="509"/>
      <c r="C74" s="638">
        <v>100</v>
      </c>
      <c r="D74" s="511"/>
      <c r="E74" s="511"/>
      <c r="F74" s="511"/>
      <c r="G74" s="511"/>
      <c r="H74" s="511"/>
      <c r="I74" s="511"/>
      <c r="J74" s="511"/>
      <c r="K74" s="511"/>
      <c r="L74" s="511"/>
      <c r="M74" s="513"/>
      <c r="N74" s="1149"/>
      <c r="O74" s="1149"/>
      <c r="P74" s="503"/>
      <c r="Q74" s="503"/>
    </row>
    <row r="75" spans="1:19">
      <c r="A75" s="526" t="s">
        <v>2568</v>
      </c>
      <c r="B75" s="527" t="s">
        <v>2534</v>
      </c>
      <c r="C75" s="2956" t="s">
        <v>3110</v>
      </c>
      <c r="D75" s="2956" t="s">
        <v>3111</v>
      </c>
      <c r="E75" s="2956" t="s">
        <v>3177</v>
      </c>
      <c r="F75" s="529"/>
      <c r="G75" s="529"/>
      <c r="H75" s="529"/>
      <c r="I75" s="529"/>
      <c r="J75" s="529"/>
      <c r="K75" s="530"/>
      <c r="L75" s="531"/>
      <c r="M75" s="532"/>
      <c r="N75" s="1150"/>
      <c r="O75" s="1150"/>
      <c r="P75" s="45"/>
      <c r="Q75" s="503"/>
    </row>
    <row r="76" spans="1:19" ht="15.75" thickBot="1">
      <c r="A76" s="533"/>
      <c r="B76" s="534"/>
      <c r="C76" s="535">
        <v>100</v>
      </c>
      <c r="D76" s="535">
        <v>98</v>
      </c>
      <c r="E76" s="535">
        <v>96</v>
      </c>
      <c r="F76" s="535"/>
      <c r="G76" s="535"/>
      <c r="H76" s="535"/>
      <c r="I76" s="535"/>
      <c r="J76" s="535"/>
      <c r="K76" s="535"/>
      <c r="L76" s="535"/>
      <c r="M76" s="536"/>
      <c r="N76" s="1151"/>
      <c r="O76" s="1151"/>
      <c r="P76" s="45"/>
      <c r="Q76" s="503"/>
    </row>
    <row r="77" spans="1:19" ht="27.75" thickTop="1">
      <c r="A77" s="533"/>
      <c r="B77" s="537" t="s">
        <v>2537</v>
      </c>
      <c r="C77" s="538"/>
      <c r="D77" s="538"/>
      <c r="E77" s="538"/>
      <c r="F77" s="538"/>
      <c r="G77" s="538"/>
      <c r="H77" s="538"/>
      <c r="I77" s="538"/>
      <c r="J77" s="538"/>
      <c r="K77" s="539"/>
      <c r="L77" s="540"/>
      <c r="M77" s="541"/>
      <c r="N77" s="1150"/>
      <c r="O77" s="1150"/>
      <c r="P77" s="45"/>
      <c r="Q77" s="503"/>
    </row>
    <row r="78" spans="1:19" ht="15.75" thickBot="1">
      <c r="A78" s="533"/>
      <c r="B78" s="542"/>
      <c r="C78" s="543"/>
      <c r="D78" s="543"/>
      <c r="E78" s="543"/>
      <c r="F78" s="543"/>
      <c r="G78" s="543"/>
      <c r="H78" s="543"/>
      <c r="I78" s="543"/>
      <c r="J78" s="543"/>
      <c r="K78" s="543"/>
      <c r="L78" s="543"/>
      <c r="M78" s="544"/>
      <c r="N78" s="1151"/>
      <c r="O78" s="1151"/>
      <c r="P78" s="45"/>
      <c r="Q78" s="503"/>
    </row>
    <row r="79" spans="1:19" ht="15.75" thickTop="1">
      <c r="A79" s="533"/>
      <c r="B79" s="545" t="s">
        <v>2538</v>
      </c>
      <c r="C79" s="546" t="str">
        <f>C80&amp;"（含）"&amp;"-"&amp;D80</f>
        <v>0（含）-1</v>
      </c>
      <c r="D79" s="546" t="str">
        <f t="shared" ref="D79:L79" si="22">D80&amp;"（含）"&amp;"-"&amp;E80</f>
        <v>1（含）-2</v>
      </c>
      <c r="E79" s="546" t="str">
        <f t="shared" si="22"/>
        <v>2（含）-3</v>
      </c>
      <c r="F79" s="546" t="str">
        <f t="shared" si="22"/>
        <v>3（含）-4</v>
      </c>
      <c r="G79" s="546" t="str">
        <f t="shared" si="22"/>
        <v>4（含）-5</v>
      </c>
      <c r="H79" s="546" t="str">
        <f t="shared" si="22"/>
        <v>5（含）-6</v>
      </c>
      <c r="I79" s="546" t="str">
        <f t="shared" si="22"/>
        <v>6（含）-7</v>
      </c>
      <c r="J79" s="546" t="str">
        <f t="shared" si="22"/>
        <v>7（含）-8</v>
      </c>
      <c r="K79" s="546" t="str">
        <f t="shared" si="22"/>
        <v>8（含）-9</v>
      </c>
      <c r="L79" s="546" t="str">
        <f t="shared" si="22"/>
        <v>9（含）-</v>
      </c>
      <c r="M79" s="447" t="str">
        <f>M80&amp;"（含）"&amp;"-"&amp;P80</f>
        <v>（含）-</v>
      </c>
      <c r="N79" s="1151"/>
      <c r="O79" s="1151"/>
      <c r="P79" s="45"/>
      <c r="Q79" s="503"/>
    </row>
    <row r="80" spans="1:19" ht="15">
      <c r="A80" s="533"/>
      <c r="B80" s="547"/>
      <c r="C80" s="548">
        <v>0</v>
      </c>
      <c r="D80" s="548">
        <v>1</v>
      </c>
      <c r="E80" s="548">
        <v>2</v>
      </c>
      <c r="F80" s="548">
        <v>3</v>
      </c>
      <c r="G80" s="548">
        <v>4</v>
      </c>
      <c r="H80" s="548">
        <v>5</v>
      </c>
      <c r="I80" s="548">
        <v>6</v>
      </c>
      <c r="J80" s="548">
        <v>7</v>
      </c>
      <c r="K80" s="549">
        <v>8</v>
      </c>
      <c r="L80" s="550">
        <v>9</v>
      </c>
      <c r="M80" s="551"/>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2635</v>
      </c>
      <c r="C102" s="659" t="s">
        <v>2655</v>
      </c>
      <c r="D102" s="659" t="s">
        <v>2656</v>
      </c>
      <c r="E102" s="659" t="s">
        <v>2657</v>
      </c>
      <c r="F102" s="659" t="s">
        <v>2658</v>
      </c>
      <c r="G102" s="659" t="s">
        <v>2659</v>
      </c>
      <c r="H102" s="599"/>
      <c r="I102" s="599"/>
      <c r="J102" s="599"/>
      <c r="K102" s="599"/>
      <c r="L102" s="599"/>
      <c r="M102" s="1382"/>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2"/>
      <c r="N103" s="1152"/>
      <c r="O103" s="1152"/>
      <c r="P103" s="557"/>
      <c r="Q103" s="558"/>
    </row>
    <row r="104" spans="1:17" ht="15.7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2671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5">D107-$K32</f>
        <v>100</v>
      </c>
      <c r="F107" s="543">
        <f t="shared" si="25"/>
        <v>100</v>
      </c>
      <c r="G107" s="543">
        <f t="shared" si="25"/>
        <v>100</v>
      </c>
      <c r="H107" s="543">
        <f t="shared" si="25"/>
        <v>100</v>
      </c>
      <c r="I107" s="543">
        <f t="shared" si="25"/>
        <v>100</v>
      </c>
      <c r="J107" s="543">
        <f t="shared" si="25"/>
        <v>100</v>
      </c>
      <c r="K107" s="543">
        <f t="shared" si="25"/>
        <v>100</v>
      </c>
      <c r="L107" s="543">
        <f t="shared" si="25"/>
        <v>100</v>
      </c>
      <c r="M107" s="543">
        <f t="shared" si="25"/>
        <v>100</v>
      </c>
      <c r="N107" s="1151"/>
      <c r="O107" s="1151"/>
      <c r="P107" s="45"/>
      <c r="Q107" s="503"/>
    </row>
    <row r="108" spans="1:17" ht="15.75" thickTop="1">
      <c r="A108" s="533"/>
      <c r="B108" s="537" t="s">
        <v>2730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2543</v>
      </c>
      <c r="B116" s="527" t="s">
        <v>2771</v>
      </c>
      <c r="C116" s="528" t="str">
        <f>C117&amp;"(含)"&amp;"-"&amp;D117</f>
        <v>0(含)-10000</v>
      </c>
      <c r="D116" s="528" t="str">
        <f t="shared" ref="D116:M116" si="27">D117&amp;"(含)"&amp;"-"&amp;E117</f>
        <v>10000(含)-30000</v>
      </c>
      <c r="E116" s="528" t="str">
        <f t="shared" si="27"/>
        <v>30000(含)-50000</v>
      </c>
      <c r="F116" s="528" t="str">
        <f t="shared" si="27"/>
        <v>50000(含)-100000</v>
      </c>
      <c r="G116" s="528" t="str">
        <f t="shared" si="27"/>
        <v>100000(含)-150000</v>
      </c>
      <c r="H116" s="528" t="str">
        <f t="shared" si="27"/>
        <v>150000(含)-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v>10000</v>
      </c>
      <c r="E117" s="594">
        <v>30000</v>
      </c>
      <c r="F117" s="594">
        <v>50000</v>
      </c>
      <c r="G117" s="594">
        <v>100000</v>
      </c>
      <c r="H117" s="594">
        <v>150000</v>
      </c>
      <c r="I117" s="594"/>
      <c r="J117" s="595"/>
      <c r="K117" s="595"/>
      <c r="L117" s="596"/>
      <c r="M117" s="597"/>
      <c r="N117" s="1150"/>
      <c r="O117" s="1150"/>
      <c r="P117" s="45"/>
      <c r="Q117" s="503"/>
    </row>
    <row r="118" spans="1:17" ht="15.75" thickBot="1">
      <c r="A118" s="533"/>
      <c r="B118" s="542"/>
      <c r="C118" s="569">
        <v>98</v>
      </c>
      <c r="D118" s="590">
        <v>99</v>
      </c>
      <c r="E118" s="590">
        <v>100</v>
      </c>
      <c r="F118" s="590">
        <v>99</v>
      </c>
      <c r="G118" s="590">
        <v>98</v>
      </c>
      <c r="H118" s="590"/>
      <c r="I118" s="590"/>
      <c r="J118" s="590"/>
      <c r="K118" s="590"/>
      <c r="L118" s="590"/>
      <c r="M118" s="591"/>
      <c r="N118" s="1151"/>
      <c r="O118" s="1151"/>
      <c r="P118" s="45"/>
      <c r="Q118" s="503"/>
    </row>
    <row r="119" spans="1:17" ht="15" thickTop="1">
      <c r="A119" s="598"/>
      <c r="B119" s="537" t="s">
        <v>2772</v>
      </c>
      <c r="C119" s="2957" t="s">
        <v>3112</v>
      </c>
      <c r="D119" s="2957" t="s">
        <v>3114</v>
      </c>
      <c r="E119" s="2957" t="s">
        <v>3115</v>
      </c>
      <c r="F119" s="2957" t="s">
        <v>3116</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2773</v>
      </c>
      <c r="C121" s="2958" t="s">
        <v>3117</v>
      </c>
      <c r="D121" s="2958" t="s">
        <v>3119</v>
      </c>
      <c r="E121" s="2958" t="s">
        <v>3120</v>
      </c>
      <c r="F121" s="2957" t="s">
        <v>3121</v>
      </c>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2774</v>
      </c>
      <c r="C123" s="553" t="s">
        <v>3109</v>
      </c>
      <c r="D123" s="553" t="s">
        <v>3068</v>
      </c>
      <c r="E123" s="553" t="s">
        <v>3122</v>
      </c>
      <c r="F123" s="553" t="s">
        <v>3123</v>
      </c>
      <c r="G123" s="553" t="s">
        <v>3124</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557"/>
      <c r="Q124" s="558"/>
    </row>
    <row r="125" spans="1:17" ht="15" thickTop="1">
      <c r="A125" s="598"/>
      <c r="B125" s="537" t="s">
        <v>2775</v>
      </c>
      <c r="C125" s="553" t="s">
        <v>3125</v>
      </c>
      <c r="D125" s="553" t="s">
        <v>3066</v>
      </c>
      <c r="E125" s="582" t="s">
        <v>3126</v>
      </c>
      <c r="F125" s="582" t="s">
        <v>3127</v>
      </c>
      <c r="G125" s="582" t="s">
        <v>3128</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
  <sheetViews>
    <sheetView topLeftCell="A7" workbookViewId="0">
      <selection activeCell="O31" sqref="O31"/>
    </sheetView>
  </sheetViews>
  <sheetFormatPr defaultRowHeight="13.5"/>
  <sheetData>
    <row r="1" spans="1:16">
      <c r="A1" s="3012" t="s">
        <v>3071</v>
      </c>
      <c r="B1" s="3012" t="s">
        <v>3072</v>
      </c>
      <c r="C1" s="3012" t="s">
        <v>3073</v>
      </c>
      <c r="D1" s="3012" t="s">
        <v>3076</v>
      </c>
      <c r="E1" s="3012" t="s">
        <v>3077</v>
      </c>
      <c r="F1" s="3012" t="s">
        <v>3078</v>
      </c>
      <c r="G1" s="3012" t="s">
        <v>3074</v>
      </c>
      <c r="H1" s="3012" t="s">
        <v>3075</v>
      </c>
      <c r="I1" s="3012" t="s">
        <v>3079</v>
      </c>
      <c r="J1" s="3012" t="s">
        <v>3080</v>
      </c>
      <c r="K1" s="3012" t="s">
        <v>3082</v>
      </c>
      <c r="L1" s="3012" t="s">
        <v>3083</v>
      </c>
      <c r="M1" s="3012" t="s">
        <v>3084</v>
      </c>
      <c r="N1" s="3012" t="s">
        <v>3085</v>
      </c>
      <c r="O1" s="3012" t="s">
        <v>3081</v>
      </c>
      <c r="P1" s="3012" t="s">
        <v>3297</v>
      </c>
    </row>
    <row r="2" spans="1:16" s="2986" customFormat="1">
      <c r="A2" s="2988" t="s">
        <v>3298</v>
      </c>
      <c r="B2" s="2988" t="s">
        <v>3034</v>
      </c>
      <c r="C2" s="2988" t="s">
        <v>3087</v>
      </c>
      <c r="D2" s="2988">
        <v>30395.8</v>
      </c>
      <c r="E2" s="2988">
        <v>91187.46</v>
      </c>
      <c r="F2" s="2988" t="s">
        <v>3299</v>
      </c>
      <c r="G2" s="2988" t="s">
        <v>3088</v>
      </c>
      <c r="H2" s="2988" t="s">
        <v>3300</v>
      </c>
      <c r="I2" s="2988" t="s">
        <v>3301</v>
      </c>
      <c r="J2" s="2988" t="s">
        <v>3301</v>
      </c>
      <c r="K2" s="2988">
        <v>79242</v>
      </c>
      <c r="L2" s="2988">
        <v>79242</v>
      </c>
      <c r="M2" s="2988">
        <v>8690.01</v>
      </c>
      <c r="N2" s="2988">
        <v>0</v>
      </c>
      <c r="O2" s="2988" t="s">
        <v>3108</v>
      </c>
      <c r="P2" s="2988" t="s">
        <v>3302</v>
      </c>
    </row>
    <row r="3" spans="1:16">
      <c r="A3" s="3012" t="s">
        <v>3259</v>
      </c>
      <c r="B3" s="3012" t="s">
        <v>3034</v>
      </c>
      <c r="C3" s="3012" t="s">
        <v>3087</v>
      </c>
      <c r="D3" s="3012">
        <v>66914.7</v>
      </c>
      <c r="E3" s="3012">
        <v>133160</v>
      </c>
      <c r="F3" s="3012" t="s">
        <v>3260</v>
      </c>
      <c r="G3" s="3012" t="s">
        <v>3088</v>
      </c>
      <c r="H3" s="3012" t="s">
        <v>3303</v>
      </c>
      <c r="I3" s="3012" t="s">
        <v>3261</v>
      </c>
      <c r="J3" s="3012" t="s">
        <v>3261</v>
      </c>
      <c r="K3" s="3012">
        <v>32722</v>
      </c>
      <c r="L3" s="3012">
        <v>32722</v>
      </c>
      <c r="M3" s="3012">
        <v>2457.34</v>
      </c>
      <c r="N3" s="3012">
        <v>0</v>
      </c>
      <c r="O3" s="3012" t="s">
        <v>3262</v>
      </c>
      <c r="P3" s="3012" t="s">
        <v>3302</v>
      </c>
    </row>
    <row r="4" spans="1:16">
      <c r="A4" s="3012" t="s">
        <v>3086</v>
      </c>
      <c r="B4" s="3012" t="s">
        <v>3034</v>
      </c>
      <c r="C4" s="3012" t="s">
        <v>3087</v>
      </c>
      <c r="D4" s="3012">
        <v>5290</v>
      </c>
      <c r="E4" s="3012">
        <v>5290</v>
      </c>
      <c r="F4" s="3012" t="s">
        <v>3090</v>
      </c>
      <c r="G4" s="3012" t="s">
        <v>3088</v>
      </c>
      <c r="H4" s="3012" t="s">
        <v>3089</v>
      </c>
      <c r="I4" s="3012" t="s">
        <v>3091</v>
      </c>
      <c r="J4" s="3012" t="s">
        <v>3091</v>
      </c>
      <c r="K4" s="3012">
        <v>3107</v>
      </c>
      <c r="L4" s="3012">
        <v>3107</v>
      </c>
      <c r="M4" s="3012">
        <v>5873.35</v>
      </c>
      <c r="N4" s="3012">
        <v>0</v>
      </c>
      <c r="O4" s="3012" t="s">
        <v>3092</v>
      </c>
      <c r="P4" s="3012" t="s">
        <v>3302</v>
      </c>
    </row>
    <row r="5" spans="1:16">
      <c r="A5" s="3012" t="s">
        <v>3093</v>
      </c>
      <c r="B5" s="3012" t="s">
        <v>3034</v>
      </c>
      <c r="C5" s="3012" t="s">
        <v>3087</v>
      </c>
      <c r="D5" s="3012">
        <v>54484</v>
      </c>
      <c r="E5" s="3012">
        <v>128726</v>
      </c>
      <c r="F5" s="3012" t="s">
        <v>3095</v>
      </c>
      <c r="G5" s="3012" t="s">
        <v>3088</v>
      </c>
      <c r="H5" s="3012" t="s">
        <v>3094</v>
      </c>
      <c r="I5" s="3012" t="s">
        <v>3096</v>
      </c>
      <c r="J5" s="3012" t="s">
        <v>3096</v>
      </c>
      <c r="K5" s="3012">
        <v>30185</v>
      </c>
      <c r="L5" s="3012">
        <v>30185</v>
      </c>
      <c r="M5" s="3012">
        <v>2344.9</v>
      </c>
      <c r="N5" s="3012">
        <v>0</v>
      </c>
      <c r="O5" s="3012" t="s">
        <v>3097</v>
      </c>
      <c r="P5" s="3012" t="s">
        <v>3304</v>
      </c>
    </row>
    <row r="6" spans="1:16" s="2986" customFormat="1">
      <c r="A6" s="2988" t="s">
        <v>3098</v>
      </c>
      <c r="B6" s="2988" t="s">
        <v>3034</v>
      </c>
      <c r="C6" s="2988" t="s">
        <v>3087</v>
      </c>
      <c r="D6" s="2988">
        <v>14159</v>
      </c>
      <c r="E6" s="2988">
        <v>26353.89</v>
      </c>
      <c r="F6" s="2988" t="s">
        <v>3100</v>
      </c>
      <c r="G6" s="2988" t="s">
        <v>3088</v>
      </c>
      <c r="H6" s="2988" t="s">
        <v>3099</v>
      </c>
      <c r="I6" s="2988" t="s">
        <v>3101</v>
      </c>
      <c r="J6" s="2988" t="s">
        <v>3101</v>
      </c>
      <c r="K6" s="2988">
        <v>19235</v>
      </c>
      <c r="L6" s="2988">
        <v>19235</v>
      </c>
      <c r="M6" s="2988">
        <v>7298.72</v>
      </c>
      <c r="N6" s="2988">
        <v>0</v>
      </c>
      <c r="O6" s="2988" t="s">
        <v>3102</v>
      </c>
      <c r="P6" s="2988" t="s">
        <v>3302</v>
      </c>
    </row>
    <row r="8" spans="1:16">
      <c r="A8" s="3013" t="s">
        <v>3071</v>
      </c>
      <c r="B8" s="3013" t="s">
        <v>3072</v>
      </c>
      <c r="C8" s="3013" t="s">
        <v>3073</v>
      </c>
      <c r="D8" s="3013" t="s">
        <v>3076</v>
      </c>
      <c r="E8" s="3013" t="s">
        <v>3077</v>
      </c>
      <c r="F8" s="3013" t="s">
        <v>3078</v>
      </c>
      <c r="G8" s="3013" t="s">
        <v>3074</v>
      </c>
      <c r="H8" s="3013" t="s">
        <v>3075</v>
      </c>
      <c r="I8" s="3013" t="s">
        <v>3079</v>
      </c>
      <c r="J8" s="3013" t="s">
        <v>3080</v>
      </c>
      <c r="K8" s="3013" t="s">
        <v>3082</v>
      </c>
      <c r="L8" s="3013" t="s">
        <v>3083</v>
      </c>
      <c r="M8" s="3013" t="s">
        <v>3084</v>
      </c>
      <c r="N8" s="3013" t="s">
        <v>3085</v>
      </c>
      <c r="O8" s="3013" t="s">
        <v>3081</v>
      </c>
      <c r="P8" s="3013" t="s">
        <v>3297</v>
      </c>
    </row>
    <row r="9" spans="1:16" s="2986" customFormat="1">
      <c r="A9" s="2988" t="s">
        <v>3305</v>
      </c>
      <c r="B9" s="2988" t="s">
        <v>3034</v>
      </c>
      <c r="C9" s="2988" t="s">
        <v>3087</v>
      </c>
      <c r="D9" s="2988">
        <v>17083.27</v>
      </c>
      <c r="E9" s="2988">
        <v>51249.81</v>
      </c>
      <c r="F9" s="2988" t="s">
        <v>3299</v>
      </c>
      <c r="G9" s="2988" t="s">
        <v>3088</v>
      </c>
      <c r="H9" s="2988" t="s">
        <v>3103</v>
      </c>
      <c r="I9" s="2988" t="s">
        <v>3301</v>
      </c>
      <c r="J9" s="2988" t="s">
        <v>3301</v>
      </c>
      <c r="K9" s="2988">
        <v>42746</v>
      </c>
      <c r="L9" s="2988">
        <v>42746</v>
      </c>
      <c r="M9" s="2988">
        <v>8340.7000000000007</v>
      </c>
      <c r="N9" s="2988">
        <v>0</v>
      </c>
      <c r="O9" s="2988" t="s">
        <v>3306</v>
      </c>
      <c r="P9" s="2988" t="s">
        <v>3302</v>
      </c>
    </row>
    <row r="10" spans="1:16" s="2986" customFormat="1">
      <c r="A10" s="2988" t="s">
        <v>3283</v>
      </c>
      <c r="B10" s="2988" t="s">
        <v>3034</v>
      </c>
      <c r="C10" s="2988" t="s">
        <v>3087</v>
      </c>
      <c r="D10" s="2988">
        <v>7354.3</v>
      </c>
      <c r="E10" s="2988">
        <v>55157.25</v>
      </c>
      <c r="F10" s="2988" t="s">
        <v>3284</v>
      </c>
      <c r="G10" s="2988" t="s">
        <v>3088</v>
      </c>
      <c r="H10" s="2988" t="s">
        <v>3307</v>
      </c>
      <c r="I10" s="2988" t="s">
        <v>3285</v>
      </c>
      <c r="J10" s="2988" t="s">
        <v>3285</v>
      </c>
      <c r="K10" s="2988">
        <v>33418</v>
      </c>
      <c r="L10" s="2988">
        <v>33418</v>
      </c>
      <c r="M10" s="2988">
        <v>6058.68</v>
      </c>
      <c r="N10" s="2988">
        <v>0</v>
      </c>
      <c r="O10" s="2988" t="s">
        <v>3286</v>
      </c>
      <c r="P10" s="2988" t="s">
        <v>3302</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4"/>
  <sheetViews>
    <sheetView workbookViewId="0">
      <selection activeCell="N23" sqref="N23"/>
    </sheetView>
  </sheetViews>
  <sheetFormatPr defaultRowHeight="13.5"/>
  <cols>
    <col min="1" max="1" width="14.875" customWidth="1"/>
  </cols>
  <sheetData>
    <row r="1" spans="1:16">
      <c r="A1" s="2987" t="s">
        <v>3071</v>
      </c>
      <c r="B1" s="2987" t="s">
        <v>3072</v>
      </c>
      <c r="C1" s="2987" t="s">
        <v>3073</v>
      </c>
      <c r="D1" s="2987" t="s">
        <v>3076</v>
      </c>
      <c r="E1" s="2987" t="s">
        <v>3077</v>
      </c>
      <c r="F1" s="2987" t="s">
        <v>3078</v>
      </c>
      <c r="G1" s="2987" t="s">
        <v>3074</v>
      </c>
      <c r="H1" s="2987" t="s">
        <v>3079</v>
      </c>
      <c r="I1" s="2987" t="s">
        <v>3082</v>
      </c>
      <c r="J1" s="2987" t="s">
        <v>3083</v>
      </c>
      <c r="K1" s="2987" t="s">
        <v>3084</v>
      </c>
      <c r="L1" s="2987" t="s">
        <v>3085</v>
      </c>
      <c r="M1" s="2987" t="s">
        <v>3081</v>
      </c>
    </row>
    <row r="2" spans="1:16">
      <c r="A2" s="2987" t="s">
        <v>3259</v>
      </c>
      <c r="B2" s="2987" t="s">
        <v>3034</v>
      </c>
      <c r="C2" s="2987" t="s">
        <v>3087</v>
      </c>
      <c r="D2" s="2987">
        <v>66914.7</v>
      </c>
      <c r="E2" s="2987">
        <v>133160</v>
      </c>
      <c r="F2" s="2987" t="s">
        <v>3260</v>
      </c>
      <c r="G2" s="2987" t="s">
        <v>3088</v>
      </c>
      <c r="H2" s="2987" t="s">
        <v>3261</v>
      </c>
      <c r="I2" s="2987">
        <v>32722</v>
      </c>
      <c r="J2" s="2987">
        <v>32722</v>
      </c>
      <c r="K2" s="2987">
        <v>2457.34</v>
      </c>
      <c r="L2" s="2987">
        <v>0</v>
      </c>
      <c r="M2" s="2987" t="s">
        <v>3262</v>
      </c>
    </row>
    <row r="3" spans="1:16">
      <c r="A3" s="2987" t="s">
        <v>3086</v>
      </c>
      <c r="B3" s="2987" t="s">
        <v>3034</v>
      </c>
      <c r="C3" s="2987" t="s">
        <v>3087</v>
      </c>
      <c r="D3" s="2987">
        <v>5290</v>
      </c>
      <c r="E3" s="2987">
        <v>5290</v>
      </c>
      <c r="F3" s="2987" t="s">
        <v>3090</v>
      </c>
      <c r="G3" s="2987" t="s">
        <v>3088</v>
      </c>
      <c r="H3" s="2987" t="s">
        <v>3091</v>
      </c>
      <c r="I3" s="2987">
        <v>3107</v>
      </c>
      <c r="J3" s="2987">
        <v>3107</v>
      </c>
      <c r="K3" s="2987">
        <v>5873.35</v>
      </c>
      <c r="L3" s="2987">
        <v>0</v>
      </c>
      <c r="M3" s="2987" t="s">
        <v>3092</v>
      </c>
    </row>
    <row r="4" spans="1:16">
      <c r="A4" s="2987" t="s">
        <v>3093</v>
      </c>
      <c r="B4" s="2987" t="s">
        <v>3034</v>
      </c>
      <c r="C4" s="2987" t="s">
        <v>3087</v>
      </c>
      <c r="D4" s="2987">
        <v>54484</v>
      </c>
      <c r="E4" s="2987">
        <v>128726</v>
      </c>
      <c r="F4" s="2987" t="s">
        <v>3095</v>
      </c>
      <c r="G4" s="2987" t="s">
        <v>3088</v>
      </c>
      <c r="H4" s="2987" t="s">
        <v>3096</v>
      </c>
      <c r="I4" s="2987">
        <v>30185</v>
      </c>
      <c r="J4" s="2987">
        <v>30185</v>
      </c>
      <c r="K4" s="2987">
        <v>2344.9</v>
      </c>
      <c r="L4" s="2987">
        <v>0</v>
      </c>
      <c r="M4" s="2987" t="s">
        <v>3097</v>
      </c>
    </row>
    <row r="5" spans="1:16" s="2986" customFormat="1">
      <c r="A5" s="2988" t="s">
        <v>3098</v>
      </c>
      <c r="B5" s="2988" t="s">
        <v>3034</v>
      </c>
      <c r="C5" s="2988" t="s">
        <v>3087</v>
      </c>
      <c r="D5" s="2988">
        <v>14159</v>
      </c>
      <c r="E5" s="2988">
        <v>26353.89</v>
      </c>
      <c r="F5" s="2988" t="s">
        <v>3100</v>
      </c>
      <c r="G5" s="2988" t="s">
        <v>3088</v>
      </c>
      <c r="H5" s="2988" t="s">
        <v>3101</v>
      </c>
      <c r="I5" s="2988">
        <v>19235</v>
      </c>
      <c r="J5" s="2988">
        <v>19235</v>
      </c>
      <c r="K5" s="2988">
        <v>7298.72</v>
      </c>
      <c r="L5" s="2988">
        <v>0</v>
      </c>
      <c r="M5" s="2988" t="s">
        <v>3102</v>
      </c>
    </row>
    <row r="7" spans="1:16">
      <c r="A7" s="2989" t="s">
        <v>3071</v>
      </c>
      <c r="B7" s="2989" t="s">
        <v>3072</v>
      </c>
      <c r="C7" s="2989" t="s">
        <v>3073</v>
      </c>
      <c r="D7" s="2989" t="s">
        <v>3076</v>
      </c>
      <c r="E7" s="2989" t="s">
        <v>3077</v>
      </c>
      <c r="F7" s="2989" t="s">
        <v>3078</v>
      </c>
      <c r="G7" s="2989" t="s">
        <v>3074</v>
      </c>
      <c r="H7" s="2989" t="s">
        <v>3079</v>
      </c>
      <c r="I7" s="2989" t="s">
        <v>3082</v>
      </c>
      <c r="J7" s="2989" t="s">
        <v>3083</v>
      </c>
      <c r="K7" s="2989" t="s">
        <v>3084</v>
      </c>
      <c r="L7" s="2989" t="s">
        <v>3085</v>
      </c>
      <c r="M7" s="2989" t="s">
        <v>3081</v>
      </c>
    </row>
    <row r="8" spans="1:16" s="2986" customFormat="1">
      <c r="A8" s="2988" t="s">
        <v>3263</v>
      </c>
      <c r="B8" s="2988" t="s">
        <v>3034</v>
      </c>
      <c r="C8" s="2988" t="s">
        <v>3087</v>
      </c>
      <c r="D8" s="2988">
        <v>67523.100000000006</v>
      </c>
      <c r="E8" s="2988">
        <v>169894.75</v>
      </c>
      <c r="F8" s="2988" t="s">
        <v>3106</v>
      </c>
      <c r="G8" s="2988" t="s">
        <v>3104</v>
      </c>
      <c r="H8" s="2988" t="s">
        <v>3264</v>
      </c>
      <c r="I8" s="2988">
        <v>86350</v>
      </c>
      <c r="J8" s="2988">
        <v>130000</v>
      </c>
      <c r="K8" s="2988">
        <v>7651.8</v>
      </c>
      <c r="L8" s="2988">
        <v>50.55</v>
      </c>
      <c r="M8" s="2988" t="s">
        <v>3265</v>
      </c>
    </row>
    <row r="9" spans="1:16" s="2986" customFormat="1">
      <c r="A9" s="2988" t="s">
        <v>3266</v>
      </c>
      <c r="B9" s="2988" t="s">
        <v>3034</v>
      </c>
      <c r="C9" s="2988" t="s">
        <v>3087</v>
      </c>
      <c r="D9" s="2988">
        <v>4777.05</v>
      </c>
      <c r="E9" s="2988">
        <v>22278.3</v>
      </c>
      <c r="F9" s="2988" t="s">
        <v>3267</v>
      </c>
      <c r="G9" s="2988" t="s">
        <v>3088</v>
      </c>
      <c r="H9" s="2988" t="s">
        <v>3268</v>
      </c>
      <c r="I9" s="2988">
        <v>14424</v>
      </c>
      <c r="J9" s="2988">
        <v>14424</v>
      </c>
      <c r="K9" s="2988">
        <v>6474.46</v>
      </c>
      <c r="L9" s="2988">
        <v>0</v>
      </c>
      <c r="M9" s="2988" t="s">
        <v>3269</v>
      </c>
    </row>
    <row r="10" spans="1:16">
      <c r="A10" s="2989" t="s">
        <v>3270</v>
      </c>
      <c r="B10" s="2989" t="s">
        <v>3034</v>
      </c>
      <c r="C10" s="2989" t="s">
        <v>3087</v>
      </c>
      <c r="D10" s="2989">
        <v>988.14</v>
      </c>
      <c r="E10" s="2989">
        <v>4886.21</v>
      </c>
      <c r="F10" s="2989" t="s">
        <v>3271</v>
      </c>
      <c r="G10" s="2989" t="s">
        <v>3104</v>
      </c>
      <c r="H10" s="2989" t="s">
        <v>3272</v>
      </c>
      <c r="I10" s="2989">
        <v>2976</v>
      </c>
      <c r="J10" s="2989">
        <v>7200</v>
      </c>
      <c r="K10" s="2989">
        <v>14735.35</v>
      </c>
      <c r="L10" s="2989">
        <v>141.94</v>
      </c>
      <c r="M10" s="2989" t="s">
        <v>3265</v>
      </c>
    </row>
    <row r="11" spans="1:16">
      <c r="A11" s="2989" t="s">
        <v>3273</v>
      </c>
      <c r="B11" s="2989" t="s">
        <v>3034</v>
      </c>
      <c r="C11" s="2989" t="s">
        <v>3087</v>
      </c>
      <c r="D11" s="2989">
        <v>4984</v>
      </c>
      <c r="E11" s="2989">
        <v>7476</v>
      </c>
      <c r="F11" s="2989">
        <v>1.5</v>
      </c>
      <c r="G11" s="2989" t="s">
        <v>3088</v>
      </c>
      <c r="H11" s="2989" t="s">
        <v>3274</v>
      </c>
      <c r="I11" s="2989">
        <v>3240</v>
      </c>
      <c r="J11" s="2989">
        <v>3240</v>
      </c>
      <c r="K11" s="2989">
        <v>4333.8599999999997</v>
      </c>
      <c r="L11" s="2989">
        <v>0</v>
      </c>
      <c r="M11" s="2989" t="s">
        <v>3105</v>
      </c>
    </row>
    <row r="13" spans="1:16">
      <c r="A13" s="3006" t="s">
        <v>3071</v>
      </c>
      <c r="B13" s="3006" t="s">
        <v>3072</v>
      </c>
      <c r="C13" s="3006" t="s">
        <v>3073</v>
      </c>
      <c r="D13" s="3006" t="s">
        <v>3076</v>
      </c>
      <c r="E13" s="3006" t="s">
        <v>3077</v>
      </c>
      <c r="F13" s="3006" t="s">
        <v>3078</v>
      </c>
      <c r="G13" s="3006" t="s">
        <v>3074</v>
      </c>
      <c r="H13" s="3006" t="s">
        <v>3079</v>
      </c>
      <c r="I13" s="3006" t="s">
        <v>3082</v>
      </c>
      <c r="J13" s="3006" t="s">
        <v>3083</v>
      </c>
      <c r="K13" s="3006" t="s">
        <v>3084</v>
      </c>
      <c r="L13" s="3006" t="s">
        <v>3085</v>
      </c>
      <c r="M13" s="3006" t="s">
        <v>3081</v>
      </c>
      <c r="P13" s="3006"/>
    </row>
    <row r="14" spans="1:16" s="2986" customFormat="1">
      <c r="A14" s="2988" t="s">
        <v>3283</v>
      </c>
      <c r="B14" s="2988" t="s">
        <v>3034</v>
      </c>
      <c r="C14" s="2988" t="s">
        <v>3087</v>
      </c>
      <c r="D14" s="2988">
        <v>7354.3</v>
      </c>
      <c r="E14" s="2988">
        <v>55157.25</v>
      </c>
      <c r="F14" s="2988" t="s">
        <v>3284</v>
      </c>
      <c r="G14" s="2988" t="s">
        <v>3088</v>
      </c>
      <c r="H14" s="2988" t="s">
        <v>3285</v>
      </c>
      <c r="I14" s="2988">
        <v>33418</v>
      </c>
      <c r="J14" s="2988">
        <v>33418</v>
      </c>
      <c r="K14" s="2988">
        <v>6058.68</v>
      </c>
      <c r="L14" s="2988">
        <v>0</v>
      </c>
      <c r="M14" s="2988" t="s">
        <v>3286</v>
      </c>
      <c r="P14" s="2988"/>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4" sqref="C34: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32"/>
      <c r="C1" s="241"/>
      <c r="D1" s="241"/>
      <c r="E1" s="241"/>
      <c r="F1" s="241"/>
      <c r="G1" s="1376">
        <f>MATCH(B1,'数据-取费表'!A6:A16,0)+5</f>
        <v>7</v>
      </c>
    </row>
    <row r="2" spans="1:9" s="243" customFormat="1" ht="18" customHeight="1">
      <c r="A2" s="244" t="s">
        <v>2307</v>
      </c>
      <c r="B2" s="245">
        <f ca="1">IF(D2="——",C52,C52-E2)</f>
        <v>39971</v>
      </c>
      <c r="C2" s="242" t="s">
        <v>2308</v>
      </c>
      <c r="D2" s="2538" t="s">
        <v>70</v>
      </c>
      <c r="E2" s="1436" t="e">
        <f ca="1">SUMIF(INDIRECT("'"&amp;G2&amp;"'"&amp;"!A:A"),"承租人权益价值",INDIRECT("'"&amp;G2&amp;"'"&amp;"!c:c"))</f>
        <v>#REF!</v>
      </c>
      <c r="F2" s="2539" t="s">
        <v>2308</v>
      </c>
      <c r="G2" s="2540"/>
    </row>
    <row r="3" spans="1:9" s="243" customFormat="1" ht="18" customHeight="1" thickBot="1">
      <c r="A3" s="246" t="s">
        <v>2309</v>
      </c>
      <c r="B3" s="247">
        <f ca="1">ROUND(B2*10000/(IF(B1="",'数据-汇总表'!E3,INDIRECT("'数据-取费表'!k"&amp;$G$1))),0)</f>
        <v>14657</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C6+C7+C8</f>
        <v>15483</v>
      </c>
      <c r="D5" s="254" t="s">
        <v>2314</v>
      </c>
      <c r="E5" s="255" t="s">
        <v>2315</v>
      </c>
      <c r="F5" s="255" t="s">
        <v>2316</v>
      </c>
      <c r="G5" s="256"/>
    </row>
    <row r="6" spans="1:9" s="257" customFormat="1" ht="13.5" customHeight="1">
      <c r="A6" s="948" t="s">
        <v>2317</v>
      </c>
      <c r="B6" s="258" t="s">
        <v>2318</v>
      </c>
      <c r="C6" s="259">
        <f>'土地比较法-住宅、综合'!B2</f>
        <v>14257</v>
      </c>
      <c r="D6" s="260"/>
      <c r="E6" s="261"/>
      <c r="F6" s="261"/>
      <c r="G6" s="262"/>
    </row>
    <row r="7" spans="1:9" s="257" customFormat="1" ht="13.5" customHeight="1">
      <c r="A7" s="948" t="s">
        <v>2319</v>
      </c>
      <c r="B7" s="258" t="s">
        <v>2320</v>
      </c>
      <c r="C7" s="263">
        <f>ROUND(C6*F7,0)</f>
        <v>435</v>
      </c>
      <c r="D7" s="263"/>
      <c r="E7" s="261"/>
      <c r="F7" s="264">
        <f>'数据-取费表'!B48+'数据-取费表'!B49</f>
        <v>3.0499999999999999E-2</v>
      </c>
      <c r="G7" s="262"/>
    </row>
    <row r="8" spans="1:9" s="266" customFormat="1">
      <c r="A8" s="948" t="s">
        <v>2321</v>
      </c>
      <c r="B8" s="258" t="s">
        <v>2322</v>
      </c>
      <c r="C8" s="263">
        <f>IF(G8="已包含在土地购买价格中","0",IF(B1="",'数据-取费表'!B29,IF(G9="全部缴纳",C9+C10,H9)))</f>
        <v>791</v>
      </c>
      <c r="D8" s="265"/>
      <c r="E8" s="263"/>
      <c r="F8" s="264"/>
      <c r="G8" s="2541" t="s">
        <v>3129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2" t="s">
        <v>3130</v>
      </c>
      <c r="H9" s="2959">
        <f ca="1">C10</f>
        <v>791</v>
      </c>
      <c r="I9" s="2543"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1" t="s">
        <v>3131</v>
      </c>
    </row>
    <row r="20" spans="1:7" s="257" customFormat="1" ht="13.5" customHeight="1">
      <c r="A20" s="298" t="s">
        <v>2338</v>
      </c>
      <c r="B20" s="253" t="s">
        <v>2339</v>
      </c>
      <c r="C20" s="275">
        <f>ROUND((C5+C19)*F20,0)</f>
        <v>310</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ROUND(SUM(C23:C25),0)</f>
        <v>1389</v>
      </c>
      <c r="D22" s="278">
        <f>C26</f>
        <v>8.9999999999999998E-4</v>
      </c>
      <c r="E22" s="279" t="s">
        <v>2343</v>
      </c>
      <c r="F22" s="280">
        <f>'数据-取费表'!B40</f>
        <v>4.3499999999999997E-2</v>
      </c>
      <c r="G22" s="277" t="str">
        <f>IF('数据-取费表'!B22&lt;=1,"单利计息","复利计息")</f>
        <v>复利计息</v>
      </c>
    </row>
    <row r="23" spans="1:7" s="257" customFormat="1" ht="13.5" customHeight="1">
      <c r="A23" s="950" t="s">
        <v>2347</v>
      </c>
      <c r="B23" s="258" t="s">
        <v>2348</v>
      </c>
      <c r="C23" s="1352">
        <f>ROUND(IF('数据-取费表'!B22&lt;=1,C5*F22*'数据-取费表'!B23,C5*(POWER((1+F22),'数据-取费表'!B23)-1)),0)</f>
        <v>1376</v>
      </c>
      <c r="D23" s="281"/>
      <c r="E23" s="281"/>
      <c r="F23" s="282"/>
      <c r="G23" s="283" t="s">
        <v>2349</v>
      </c>
    </row>
    <row r="24" spans="1:7" s="257" customFormat="1" ht="13.5" customHeight="1">
      <c r="A24" s="950" t="s">
        <v>2350</v>
      </c>
      <c r="B24" s="258" t="s">
        <v>2351</v>
      </c>
      <c r="C24" s="1352">
        <f>ROUND(IF('数据-取费表'!B22&lt;=1,C19*F22*('数据-取费表'!B19/2+'数据-取费表'!B21),C19*(POWER((1+F22),('数据-取费表'!B19/2+'数据-取费表'!B21))-1)),0)</f>
        <v>0</v>
      </c>
      <c r="D24" s="281"/>
      <c r="E24" s="281"/>
      <c r="F24" s="282"/>
      <c r="G24" s="283" t="s">
        <v>2352</v>
      </c>
    </row>
    <row r="25" spans="1:7" s="257" customFormat="1" ht="24">
      <c r="A25" s="950" t="s">
        <v>2353</v>
      </c>
      <c r="B25" s="258" t="s">
        <v>2354</v>
      </c>
      <c r="C25" s="1352">
        <f>ROUND(IF('数据-取费表'!B22&lt;=1,C20*F22*'数据-取费表'!B23/2,C20*(POWER((1+F22),'数据-取费表'!B23/2)-1)),0)</f>
        <v>13</v>
      </c>
      <c r="D25" s="281"/>
      <c r="E25" s="284"/>
      <c r="F25" s="282"/>
      <c r="G25" s="285" t="s">
        <v>2355</v>
      </c>
    </row>
    <row r="26" spans="1:7" s="257" customFormat="1">
      <c r="A26" s="950" t="s">
        <v>795</v>
      </c>
      <c r="B26" s="258" t="s">
        <v>2356</v>
      </c>
      <c r="C26" s="281">
        <f>ROUND(IF('数据-取费表'!B22&lt;=1,F21*F22*'数据-取费表'!B23/2,F21*(POWER((1+F22),'数据-取费表'!B23/2)-1)),4)</f>
        <v>8.9999999999999998E-4</v>
      </c>
      <c r="D26" s="281"/>
      <c r="E26" s="284"/>
      <c r="F26" s="282"/>
      <c r="G26" s="286"/>
    </row>
    <row r="27" spans="1:7" s="257" customFormat="1" ht="24.75">
      <c r="A27" s="298" t="s">
        <v>2357</v>
      </c>
      <c r="B27" s="287" t="s">
        <v>2358</v>
      </c>
      <c r="C27" s="288">
        <f ca="1">C28</f>
        <v>3948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3948</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22947</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4">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718</v>
      </c>
      <c r="D42" s="281"/>
      <c r="E42" s="281"/>
      <c r="F42" s="282"/>
      <c r="G42" s="3264" t="s">
        <v>2389</v>
      </c>
    </row>
    <row r="43" spans="1:7" ht="13.5" customHeight="1">
      <c r="A43" s="950" t="s">
        <v>792</v>
      </c>
      <c r="B43" s="258" t="s">
        <v>2390</v>
      </c>
      <c r="C43" s="281">
        <f ca="1">ROUND(IF('数据-取费表'!B22&lt;=1,C39*F22*'数据-取费表'!B21/2,C39*(POWER((1+F22),'数据-取费表'!B21/2)-1)),0)</f>
        <v>14</v>
      </c>
      <c r="D43" s="281"/>
      <c r="E43" s="281"/>
      <c r="F43" s="282"/>
      <c r="G43" s="3265"/>
    </row>
    <row r="44" spans="1:7" ht="13.5" customHeight="1">
      <c r="A44" s="950" t="s">
        <v>793</v>
      </c>
      <c r="B44" s="258" t="s">
        <v>2391</v>
      </c>
      <c r="C44" s="281">
        <f>ROUND(IF('数据-取费表'!B22&lt;=1,C40*F22*'数据-取费表'!B21/2,C40*(POWER((1+F22),'数据-取费表'!B21/2)-1)),4)</f>
        <v>8.9999999999999998E-4</v>
      </c>
      <c r="D44" s="281"/>
      <c r="E44" s="281"/>
      <c r="F44" s="282"/>
      <c r="G44" s="3266"/>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3">
        <f>ROUND(F30/(1+'数据-取费表'!C42),4)</f>
        <v>5.33E-2</v>
      </c>
      <c r="D48" s="279" t="s">
        <v>2384</v>
      </c>
      <c r="E48" s="275"/>
      <c r="F48" s="280"/>
      <c r="G48" s="277" t="s">
        <v>2397</v>
      </c>
    </row>
    <row r="49" spans="1:7" ht="16.5" customHeight="1">
      <c r="A49" s="298" t="s">
        <v>2363</v>
      </c>
      <c r="B49" s="253" t="s">
        <v>2398</v>
      </c>
      <c r="C49" s="275">
        <f ca="1">ROUND((C33+C39+C41+C45)/(1-C40-D41-D45-C48),0)</f>
        <v>23645</v>
      </c>
      <c r="D49" s="275"/>
      <c r="E49" s="275"/>
      <c r="F49" s="307"/>
      <c r="G49" s="277" t="s">
        <v>2399</v>
      </c>
    </row>
    <row r="50" spans="1:7" s="301" customFormat="1" ht="24">
      <c r="A50" s="298" t="s">
        <v>2400</v>
      </c>
      <c r="B50" s="253" t="s">
        <v>2401</v>
      </c>
      <c r="C50" s="275"/>
      <c r="D50" s="275"/>
      <c r="E50" s="275"/>
      <c r="F50" s="307">
        <f>IF('数据-取费表'!B24=0,'数据-取费表'!N16,1)</f>
        <v>0.72</v>
      </c>
      <c r="G50" s="290" t="s">
        <v>2402</v>
      </c>
    </row>
    <row r="51" spans="1:7" ht="16.5" customHeight="1">
      <c r="A51" s="298" t="s">
        <v>2403</v>
      </c>
      <c r="B51" s="253" t="s">
        <v>2404</v>
      </c>
      <c r="C51" s="275">
        <f ca="1">ROUND(C49*F50,0)</f>
        <v>17024</v>
      </c>
      <c r="D51" s="275"/>
      <c r="E51" s="275"/>
      <c r="F51" s="307"/>
      <c r="G51" s="277" t="s">
        <v>2405</v>
      </c>
    </row>
    <row r="52" spans="1:7" s="251" customFormat="1" ht="16.5" thickBot="1">
      <c r="A52" s="308" t="s">
        <v>2406</v>
      </c>
      <c r="B52" s="309"/>
      <c r="C52" s="310">
        <f ca="1">C31+C51</f>
        <v>39971</v>
      </c>
      <c r="D52" s="309"/>
      <c r="E52" s="309"/>
      <c r="F52" s="309"/>
      <c r="G52" s="311"/>
    </row>
    <row r="55" spans="1:7" ht="15">
      <c r="B55" s="313" t="s">
        <v>2407</v>
      </c>
      <c r="C55" s="314"/>
    </row>
    <row r="56" spans="1:7">
      <c r="B56" s="316" t="s">
        <v>1512</v>
      </c>
      <c r="C56" s="318">
        <f ca="1">1-C57</f>
        <v>0.57400000000000007</v>
      </c>
    </row>
    <row r="57" spans="1:7">
      <c r="B57" s="316" t="s">
        <v>1513</v>
      </c>
      <c r="C57" s="317">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2306</v>
      </c>
      <c r="B1" s="1932"/>
      <c r="C1" s="2544" t="s">
        <v>2408</v>
      </c>
      <c r="D1" s="241"/>
      <c r="E1" s="241"/>
      <c r="F1" s="241"/>
      <c r="G1" s="1376">
        <f>MATCH(B1,'数据-取费表'!A6:A16,0)+5</f>
        <v>7</v>
      </c>
      <c r="H1" s="1280" t="str">
        <f>IF(ISERROR(FIND("住宅",B1)),"非住宅","住宅")</f>
        <v>非住宅</v>
      </c>
    </row>
    <row r="2" spans="1:8" s="243" customFormat="1" ht="18" customHeight="1">
      <c r="A2" s="244" t="s">
        <v>2307</v>
      </c>
      <c r="B2" s="245">
        <f ca="1">ROUND(IF(D2="——",C52/10000,C52/10000-E2),0)</f>
        <v>18924</v>
      </c>
      <c r="C2" s="242" t="s">
        <v>2308</v>
      </c>
      <c r="D2" s="2538" t="s">
        <v>70</v>
      </c>
      <c r="E2" s="1436" t="e">
        <f ca="1">SUMIF(INDIRECT("'"&amp;G2&amp;"'"&amp;"!A:A"),"承租人权益价值",INDIRECT("'"&amp;G2&amp;"'"&amp;"!c:c"))</f>
        <v>#REF!</v>
      </c>
      <c r="F2" s="2539" t="s">
        <v>2308</v>
      </c>
      <c r="G2" s="2540"/>
    </row>
    <row r="3" spans="1:8" s="243" customFormat="1" ht="18" customHeight="1" thickBot="1">
      <c r="A3" s="246" t="s">
        <v>2309</v>
      </c>
      <c r="B3" s="247">
        <f ca="1">ROUND(B2*10000/(IF(B1="",'数据-汇总表'!E3,INDIRECT("'数据-取费表'!k"&amp;$G$1))),0)</f>
        <v>6939</v>
      </c>
      <c r="C3" s="242" t="s">
        <v>2310</v>
      </c>
      <c r="D3" s="242"/>
      <c r="E3" s="242"/>
      <c r="F3" s="242"/>
      <c r="G3" s="242"/>
    </row>
    <row r="4" spans="1:8" s="251" customFormat="1" ht="15.75">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c r="A8" s="948" t="s">
        <v>2321</v>
      </c>
      <c r="B8" s="258" t="s">
        <v>2322</v>
      </c>
      <c r="C8" s="263">
        <f ca="1">IF(G8="已包含在土地购买价格中",0,C9+C10)</f>
        <v>7908828</v>
      </c>
      <c r="D8" s="265"/>
      <c r="E8" s="263"/>
      <c r="F8" s="264"/>
      <c r="G8" s="2541"/>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1"/>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7">
        <f ca="1">ROUND(SUM(C23:C25),0)</f>
        <v>1150551</v>
      </c>
      <c r="D22" s="278">
        <f>C26</f>
        <v>8.9999999999999998E-4</v>
      </c>
      <c r="E22" s="279" t="s">
        <v>2424</v>
      </c>
      <c r="F22" s="280">
        <f>'数据-取费表'!B40</f>
        <v>4.3499999999999997E-2</v>
      </c>
      <c r="G22" s="277" t="str">
        <f>IF('数据-取费表'!B22&lt;=1,"单利计息","复利计息")</f>
        <v>复利计息</v>
      </c>
    </row>
    <row r="23" spans="1:7" s="257" customFormat="1" ht="13.5" customHeight="1">
      <c r="A23" s="950" t="s">
        <v>2317</v>
      </c>
      <c r="B23" s="258" t="s">
        <v>2428</v>
      </c>
      <c r="C23" s="1378">
        <f ca="1">ROUND(IF('数据-取费表'!B22&lt;=1,C5*F22*'数据-取费表'!B22,C5*(POWER((1+F22),'数据-取费表'!B22)-1)),0)</f>
        <v>703034</v>
      </c>
      <c r="D23" s="281"/>
      <c r="E23" s="281"/>
      <c r="F23" s="282"/>
      <c r="G23" s="283" t="s">
        <v>2429</v>
      </c>
    </row>
    <row r="24" spans="1:7" s="257" customFormat="1" ht="13.5" customHeight="1">
      <c r="A24" s="950" t="s">
        <v>2319</v>
      </c>
      <c r="B24" s="258" t="s">
        <v>2430</v>
      </c>
      <c r="C24" s="1378">
        <f ca="1">ROUND(IF('数据-取费表'!B22&lt;=1,C19*F22*('数据-取费表'!B19/2+'数据-取费表'!B20),C19*(POWER((1+F22),('数据-取费表'!B19/2+'数据-取费表'!B20))-1)),0)</f>
        <v>436366</v>
      </c>
      <c r="D24" s="281"/>
      <c r="E24" s="281"/>
      <c r="F24" s="282"/>
      <c r="G24" s="283" t="s">
        <v>2431</v>
      </c>
    </row>
    <row r="25" spans="1:7" s="257" customFormat="1" ht="24">
      <c r="A25" s="950" t="s">
        <v>2321</v>
      </c>
      <c r="B25" s="258" t="s">
        <v>2432</v>
      </c>
      <c r="C25" s="1378">
        <f ca="1">ROUND(IF('数据-取费表'!B22&lt;=1,C20*F22*'数据-取费表'!B22/2,C20*(POWER((1+F22),'数据-取费表'!B22/2)-1)),0)</f>
        <v>11151</v>
      </c>
      <c r="D25" s="281"/>
      <c r="E25" s="284"/>
      <c r="F25" s="282"/>
      <c r="G25" s="285" t="s">
        <v>2433</v>
      </c>
    </row>
    <row r="26" spans="1:7" s="257" customFormat="1">
      <c r="A26" s="950" t="s">
        <v>795</v>
      </c>
      <c r="B26" s="258" t="s">
        <v>2356</v>
      </c>
      <c r="C26" s="281">
        <f>ROUND(IF('数据-取费表'!B22&lt;=1,F21*F22*'数据-取费表'!B22/2,F21*(POWER((1+F22),'数据-取费表'!B22/2)-1)),4)</f>
        <v>8.9999999999999998E-4</v>
      </c>
      <c r="D26" s="281"/>
      <c r="E26" s="284"/>
      <c r="F26" s="282"/>
      <c r="G26" s="286"/>
    </row>
    <row r="27" spans="1:7" s="257" customFormat="1" ht="24.75">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18997817</v>
      </c>
      <c r="D31" s="273"/>
      <c r="E31" s="254"/>
      <c r="F31" s="293"/>
      <c r="G31" s="277" t="s">
        <v>2367</v>
      </c>
    </row>
    <row r="32" spans="1:7" s="251" customFormat="1" ht="15.75">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4">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7321974</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7178406</v>
      </c>
      <c r="D42" s="281"/>
      <c r="E42" s="281"/>
      <c r="F42" s="282"/>
      <c r="G42" s="3264" t="s">
        <v>2436</v>
      </c>
    </row>
    <row r="43" spans="1:7" ht="13.5" customHeight="1">
      <c r="A43" s="950" t="s">
        <v>792</v>
      </c>
      <c r="B43" s="258" t="s">
        <v>2390</v>
      </c>
      <c r="C43" s="281">
        <f ca="1">ROUND(IF('数据-取费表'!B22&lt;=1,C39*F22*'数据-取费表'!B20/2,C39*(POWER((1+F22),'数据-取费表'!B20/2)-1)),0)</f>
        <v>143568</v>
      </c>
      <c r="D43" s="281"/>
      <c r="E43" s="281"/>
      <c r="F43" s="282"/>
      <c r="G43" s="3265"/>
    </row>
    <row r="44" spans="1:7" ht="13.5" customHeight="1">
      <c r="A44" s="950" t="s">
        <v>793</v>
      </c>
      <c r="B44" s="258" t="s">
        <v>2391</v>
      </c>
      <c r="C44" s="281">
        <f>ROUND(IF('数据-取费表'!B22&lt;=1,C40*F22*'数据-取费表'!B20/2,C40*(POWER((1+F22),'数据-取费表'!B20/2)-1)),4)</f>
        <v>8.9999999999999998E-4</v>
      </c>
      <c r="D44" s="281"/>
      <c r="E44" s="281"/>
      <c r="F44" s="282"/>
      <c r="G44" s="3266"/>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236450417</v>
      </c>
      <c r="D49" s="275"/>
      <c r="E49" s="275"/>
      <c r="F49" s="307"/>
      <c r="G49" s="277" t="s">
        <v>2399</v>
      </c>
    </row>
    <row r="50" spans="1:7" s="301" customFormat="1">
      <c r="A50" s="298" t="s">
        <v>2400</v>
      </c>
      <c r="B50" s="253" t="s">
        <v>2401</v>
      </c>
      <c r="C50" s="275"/>
      <c r="D50" s="275"/>
      <c r="E50" s="275"/>
      <c r="F50" s="307">
        <f>IF('数据-取费表'!B24=0,'数据-取费表'!N16,1)</f>
        <v>0.72</v>
      </c>
      <c r="G50" s="290"/>
    </row>
    <row r="51" spans="1:7" ht="16.5" customHeight="1">
      <c r="A51" s="298" t="s">
        <v>2403</v>
      </c>
      <c r="B51" s="253" t="s">
        <v>2438</v>
      </c>
      <c r="C51" s="275">
        <f ca="1">ROUND(C49*F50,0)</f>
        <v>170244300</v>
      </c>
      <c r="D51" s="275"/>
      <c r="E51" s="275"/>
      <c r="F51" s="307"/>
      <c r="G51" s="277" t="s">
        <v>2405</v>
      </c>
    </row>
    <row r="52" spans="1:7" s="251" customFormat="1" ht="16.5" thickBot="1">
      <c r="A52" s="308" t="s">
        <v>2406</v>
      </c>
      <c r="B52" s="309"/>
      <c r="C52" s="310">
        <f ca="1">C31+C51</f>
        <v>189242117</v>
      </c>
      <c r="D52" s="309"/>
      <c r="E52" s="309"/>
      <c r="F52" s="309"/>
      <c r="G52" s="311"/>
    </row>
    <row r="55" spans="1:7" ht="15">
      <c r="B55" s="313" t="s">
        <v>2407</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2439</v>
      </c>
      <c r="B1" s="1576"/>
      <c r="C1" s="1577"/>
      <c r="D1" s="1575"/>
      <c r="E1" s="319"/>
      <c r="F1" s="319"/>
      <c r="G1" s="1576"/>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4.75">
      <c r="A5" s="956" t="s">
        <v>2443</v>
      </c>
      <c r="B5" s="957" t="s">
        <v>2444</v>
      </c>
      <c r="C5" s="2545" t="s">
        <v>2445</v>
      </c>
      <c r="D5" s="2545" t="s">
        <v>2446</v>
      </c>
      <c r="E5" s="2545" t="s">
        <v>2447</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3"/>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3"/>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7"/>
      <c r="H18" s="1572"/>
      <c r="I18" s="2548"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4"/>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3">
        <f ca="1">C27</f>
        <v>0</v>
      </c>
      <c r="D25" s="323">
        <f>C26</f>
        <v>0</v>
      </c>
      <c r="E25" s="325" t="s">
        <v>15</v>
      </c>
      <c r="F25" s="326">
        <f>'数据-取费表'!B40</f>
        <v>4.3499999999999997E-2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4">
        <f>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5">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2489</v>
      </c>
      <c r="B28" s="2550"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1"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0" sqref="K30"/>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2506</v>
      </c>
      <c r="B1" s="2553"/>
      <c r="C1" s="2553"/>
      <c r="D1" s="2553"/>
      <c r="E1" s="2554"/>
    </row>
    <row r="2" spans="1:6" ht="15.75">
      <c r="A2" s="2555" t="s">
        <v>2307</v>
      </c>
      <c r="B2" s="2556">
        <f ca="1">SUMIF(B6:B13,"&lt;&gt;#ref!",B6:B13)</f>
        <v>17415</v>
      </c>
      <c r="C2" s="2557" t="s">
        <v>2499</v>
      </c>
      <c r="D2" s="2558" t="s">
        <v>2500</v>
      </c>
      <c r="E2" s="2559">
        <f>SUM(E6:E13)</f>
        <v>27271.82</v>
      </c>
    </row>
    <row r="3" spans="1:6" ht="15.75">
      <c r="A3" s="2555" t="s">
        <v>1394</v>
      </c>
      <c r="B3" s="2556">
        <f ca="1">ROUND(B2*10000/E2,0)</f>
        <v>6386</v>
      </c>
      <c r="C3" s="2557" t="s">
        <v>2507</v>
      </c>
      <c r="D3" s="2560"/>
      <c r="E3" s="2561"/>
    </row>
    <row r="4" spans="1:6" ht="15.75">
      <c r="A4" s="2562"/>
      <c r="B4" s="2560"/>
      <c r="C4" s="2560"/>
      <c r="D4" s="2560"/>
      <c r="E4" s="2561"/>
    </row>
    <row r="5" spans="1:6" ht="15">
      <c r="A5" s="2563" t="s">
        <v>2501</v>
      </c>
      <c r="B5" s="3267" t="s">
        <v>2502</v>
      </c>
      <c r="C5" s="3267"/>
      <c r="D5" s="2564"/>
      <c r="E5" s="2565" t="s">
        <v>2503</v>
      </c>
      <c r="F5" s="2566" t="s">
        <v>2504</v>
      </c>
    </row>
    <row r="6" spans="1:6">
      <c r="A6" s="2567" t="str">
        <f>'数据-取费表'!AN6</f>
        <v>收益法-酒店</v>
      </c>
      <c r="B6" s="2566">
        <f ca="1">IF(F6="是",'数据-取费表'!AO6,0)</f>
        <v>17415</v>
      </c>
      <c r="C6" s="2557" t="s">
        <v>2499</v>
      </c>
      <c r="D6" s="2560"/>
      <c r="E6" s="2568">
        <f>IF(OR(A6=0,F6="否"),0,'数据-取费表'!K6+'数据-取费表'!S6)</f>
        <v>27271.82</v>
      </c>
      <c r="F6" s="2569" t="s">
        <v>2505</v>
      </c>
    </row>
    <row r="7" spans="1:6">
      <c r="A7" s="2567">
        <f>'数据-取费表'!AN7</f>
        <v>0</v>
      </c>
      <c r="B7" s="2566">
        <f>IF(F7="是",'数据-取费表'!AO7,0)</f>
        <v>0</v>
      </c>
      <c r="C7" s="2557" t="s">
        <v>2499</v>
      </c>
      <c r="D7" s="2560"/>
      <c r="E7" s="2568">
        <f>IF(OR(A7=0,F7="否"),0,'数据-取费表'!K7+'数据-取费表'!S7)</f>
        <v>0</v>
      </c>
      <c r="F7" s="2569" t="s">
        <v>3047</v>
      </c>
    </row>
    <row r="8" spans="1:6">
      <c r="A8" s="2567">
        <f>'数据-取费表'!AN8</f>
        <v>0</v>
      </c>
      <c r="B8" s="2566" t="e">
        <f ca="1">IF(F8="是",'数据-取费表'!AO8,0)</f>
        <v>#REF!</v>
      </c>
      <c r="C8" s="2557" t="s">
        <v>2499</v>
      </c>
      <c r="D8" s="2560"/>
      <c r="E8" s="2568">
        <f>IF(OR(A8=0,F8="否"),0,'数据-取费表'!K8+'数据-取费表'!S8)</f>
        <v>0</v>
      </c>
      <c r="F8" s="2569" t="s">
        <v>2505</v>
      </c>
    </row>
    <row r="9" spans="1:6">
      <c r="A9" s="2567">
        <f>'数据-取费表'!AN9</f>
        <v>0</v>
      </c>
      <c r="B9" s="2566">
        <f>IF(F9="是",'数据-取费表'!AO9,0)</f>
        <v>0</v>
      </c>
      <c r="C9" s="2557" t="s">
        <v>2499</v>
      </c>
      <c r="D9" s="2560"/>
      <c r="E9" s="2568">
        <f>IF(OR(A9=0,F9="否"),0,'数据-取费表'!K9+'数据-取费表'!S9)</f>
        <v>0</v>
      </c>
      <c r="F9" s="2569" t="s">
        <v>3047</v>
      </c>
    </row>
    <row r="10" spans="1:6">
      <c r="A10" s="2567">
        <f>'数据-取费表'!AN10</f>
        <v>0</v>
      </c>
      <c r="B10" s="2566">
        <f>IF(F10="是",'数据-取费表'!AO10,0)</f>
        <v>0</v>
      </c>
      <c r="C10" s="2557" t="s">
        <v>2499</v>
      </c>
      <c r="D10" s="2560"/>
      <c r="E10" s="2568">
        <f>IF(OR(A10=0,F10="否"),0,'数据-取费表'!K10+'数据-取费表'!S10)</f>
        <v>0</v>
      </c>
      <c r="F10" s="2569" t="s">
        <v>3047</v>
      </c>
    </row>
    <row r="11" spans="1:6">
      <c r="A11" s="2567">
        <f>'数据-取费表'!AN11</f>
        <v>0</v>
      </c>
      <c r="B11" s="2566">
        <f>IF(F11="是",'数据-取费表'!AO11,0)</f>
        <v>0</v>
      </c>
      <c r="C11" s="2557" t="s">
        <v>2499</v>
      </c>
      <c r="D11" s="2560"/>
      <c r="E11" s="2568">
        <f>IF(OR(A11=0,F11="否"),0,'数据-取费表'!K11+'数据-取费表'!S11)</f>
        <v>0</v>
      </c>
      <c r="F11" s="2569" t="s">
        <v>3047</v>
      </c>
    </row>
    <row r="12" spans="1:6">
      <c r="A12" s="2567">
        <f>'数据-取费表'!AN12</f>
        <v>0</v>
      </c>
      <c r="B12" s="2566">
        <f>IF(F12="是",'数据-取费表'!AO12,0)</f>
        <v>0</v>
      </c>
      <c r="C12" s="2557" t="s">
        <v>2499</v>
      </c>
      <c r="D12" s="2560"/>
      <c r="E12" s="2568">
        <f>IF(OR(A12=0,F12="否"),0,'数据-取费表'!K12+'数据-取费表'!S12)</f>
        <v>0</v>
      </c>
      <c r="F12" s="2569" t="s">
        <v>3047</v>
      </c>
    </row>
    <row r="13" spans="1:6" ht="15" thickBot="1">
      <c r="A13" s="2570">
        <f>'数据-取费表'!AN13</f>
        <v>0</v>
      </c>
      <c r="B13" s="2566">
        <f>IF(F13="是",'数据-取费表'!AO13,0)</f>
        <v>0</v>
      </c>
      <c r="C13" s="2571" t="s">
        <v>2499</v>
      </c>
      <c r="D13" s="2572"/>
      <c r="E13" s="2568">
        <f>IF(OR(A13=0,F13="否"),0,'数据-取费表'!K13+'数据-取费表'!S13)</f>
        <v>0</v>
      </c>
      <c r="F13" s="2569"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L46" sqref="L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3056</v>
      </c>
      <c r="D1" s="1815" t="s">
        <v>70</v>
      </c>
      <c r="E1" s="1816" t="s">
        <v>1386</v>
      </c>
      <c r="F1" s="1281">
        <f ca="1">J53</f>
        <v>21.6</v>
      </c>
      <c r="G1" s="1831">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f ca="1">C40+J29+L46</f>
        <v>17415</v>
      </c>
      <c r="C2" s="1840" t="s">
        <v>1515</v>
      </c>
      <c r="D2" s="1840"/>
      <c r="E2" s="1841"/>
      <c r="F2" s="1842"/>
      <c r="G2" s="1843"/>
      <c r="H2" s="1835"/>
      <c r="I2" s="1835"/>
      <c r="J2" s="1835"/>
      <c r="K2" s="1836"/>
      <c r="L2" s="1835"/>
      <c r="M2" s="1835"/>
    </row>
    <row r="3" spans="1:37" ht="18" customHeight="1" thickBot="1">
      <c r="A3" s="1844" t="s">
        <v>1516</v>
      </c>
      <c r="B3" s="1845">
        <f ca="1">IF(ISERROR(B2*10000/F43),0,ROUND(B2*10000/F43,0))</f>
        <v>7317</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f ca="1">C6+C10+C12</f>
        <v>1538</v>
      </c>
      <c r="D5" s="1817" t="s">
        <v>1401</v>
      </c>
      <c r="E5" s="1291"/>
      <c r="F5" s="1292"/>
      <c r="G5" s="1846"/>
      <c r="H5" s="343">
        <v>1</v>
      </c>
      <c r="I5" s="344" t="s">
        <v>1400</v>
      </c>
      <c r="J5" s="1290">
        <f ca="1">J6+J10+J12</f>
        <v>0</v>
      </c>
      <c r="K5" s="1817" t="s">
        <v>1401</v>
      </c>
      <c r="L5" s="1291"/>
      <c r="M5" s="1292"/>
    </row>
    <row r="6" spans="1:37" ht="18" customHeight="1">
      <c r="A6" s="1289" t="s">
        <v>1035</v>
      </c>
      <c r="B6" s="3270" t="s">
        <v>1402</v>
      </c>
      <c r="C6" s="1294">
        <f ca="1">ROUND(F6*F8*F7*(1-F9)/10000,0)</f>
        <v>1538</v>
      </c>
      <c r="D6" s="163" t="s">
        <v>3014</v>
      </c>
      <c r="E6" s="346" t="s">
        <v>1404</v>
      </c>
      <c r="F6" s="347">
        <f ca="1">INDIRECT("'数据-取费表'!u"&amp;$G$1)</f>
        <v>15378000</v>
      </c>
      <c r="G6" s="1846"/>
      <c r="H6" s="1289" t="s">
        <v>1035</v>
      </c>
      <c r="I6" s="3270" t="s">
        <v>1402</v>
      </c>
      <c r="J6" s="345">
        <f ca="1">ROUND(M6*M8*M7*(1-M9)/10000,0)</f>
        <v>0</v>
      </c>
      <c r="K6" s="163" t="s">
        <v>3013</v>
      </c>
      <c r="L6" s="346" t="s">
        <v>1404</v>
      </c>
      <c r="M6" s="347">
        <f ca="1">INDIRECT("'数据-取费表'!z"&amp;$G$1)</f>
        <v>0</v>
      </c>
    </row>
    <row r="7" spans="1:37" ht="18" customHeight="1">
      <c r="A7" s="1293"/>
      <c r="B7" s="3271"/>
      <c r="C7" s="1295"/>
      <c r="D7" s="351"/>
      <c r="E7" s="1296" t="s">
        <v>1405</v>
      </c>
      <c r="F7" s="347">
        <f ca="1">IF(INDIRECT("'数据-取费表'!ah"&amp;$G$1)="",INDIRECT("'数据-取费表'!k"&amp;$G$1),INDIRECT("'数据-取费表'!ah"&amp;$G$1))</f>
        <v>1</v>
      </c>
      <c r="G7" s="1846"/>
      <c r="H7" s="348"/>
      <c r="I7" s="3271"/>
      <c r="J7" s="350"/>
      <c r="K7" s="351"/>
      <c r="L7" s="346" t="s">
        <v>1405</v>
      </c>
      <c r="M7" s="347">
        <f ca="1">F7</f>
        <v>1</v>
      </c>
    </row>
    <row r="8" spans="1:37" ht="18" customHeight="1">
      <c r="A8" s="348"/>
      <c r="B8" s="3271"/>
      <c r="C8" s="350"/>
      <c r="D8" s="351"/>
      <c r="E8" s="346" t="s">
        <v>1406</v>
      </c>
      <c r="F8" s="347">
        <f ca="1">INDIRECT("'数据-取费表'!ai"&amp;$G$1)</f>
        <v>1</v>
      </c>
      <c r="G8" s="1846"/>
      <c r="H8" s="348"/>
      <c r="I8" s="3271"/>
      <c r="J8" s="350"/>
      <c r="K8" s="351"/>
      <c r="L8" s="346" t="s">
        <v>1406</v>
      </c>
      <c r="M8" s="347">
        <f ca="1">INDIRECT("'数据-取费表'!ai"&amp;$G$1)</f>
        <v>1</v>
      </c>
    </row>
    <row r="9" spans="1:37" ht="18" customHeight="1">
      <c r="A9" s="348"/>
      <c r="B9" s="3272"/>
      <c r="C9" s="350"/>
      <c r="D9" s="351"/>
      <c r="E9" s="346" t="s">
        <v>1407</v>
      </c>
      <c r="F9" s="356">
        <f ca="1">INDIRECT("'数据-取费表'!w"&amp;$G$1)</f>
        <v>0</v>
      </c>
      <c r="G9" s="1846"/>
      <c r="H9" s="348"/>
      <c r="I9" s="3272"/>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3023</v>
      </c>
      <c r="E10" s="357" t="s">
        <v>1409</v>
      </c>
      <c r="F10" s="1363" t="s">
        <v>3132</v>
      </c>
      <c r="G10" s="1846"/>
      <c r="H10" s="1289" t="s">
        <v>1039</v>
      </c>
      <c r="I10" s="1818" t="s">
        <v>1408</v>
      </c>
      <c r="J10" s="345">
        <f ca="1">ROUND(IF(M10="押一",J6/12*M11,IF(M10="押二",J6/12*2*M11,IF(M10="押三",J6/12*3*M11,J11*M11))),0)</f>
        <v>0</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17024</v>
      </c>
      <c r="D13" s="1328" t="s">
        <v>1414</v>
      </c>
      <c r="E13" s="1328" t="s">
        <v>1415</v>
      </c>
      <c r="F13" s="1329">
        <f ca="1">INDIRECT("'数据-取费表'!y"&amp;$G$1)</f>
        <v>0.72</v>
      </c>
      <c r="G13" s="1846"/>
      <c r="H13" s="1326">
        <v>2</v>
      </c>
      <c r="I13" s="1327" t="s">
        <v>1413</v>
      </c>
      <c r="J13" s="1288">
        <f ca="1">ROUND(J14*J15,0)</f>
        <v>0</v>
      </c>
      <c r="K13" s="1334" t="s">
        <v>1414</v>
      </c>
      <c r="L13" s="1847"/>
      <c r="M13" s="1848"/>
    </row>
    <row r="14" spans="1:37" ht="18" customHeight="1">
      <c r="A14" s="1199" t="s">
        <v>1034</v>
      </c>
      <c r="B14" s="346" t="s">
        <v>1416</v>
      </c>
      <c r="C14" s="362">
        <f ca="1">INDIRECT("'数据-取费表'!m"&amp;$G$1)+INDIRECT("'数据-取费表'!t"&amp;$G$1)</f>
        <v>15321</v>
      </c>
      <c r="D14" s="1795" t="s">
        <v>1417</v>
      </c>
      <c r="E14" s="1789"/>
      <c r="F14" s="363"/>
      <c r="G14" s="1846"/>
      <c r="H14" s="1199" t="s">
        <v>1035</v>
      </c>
      <c r="I14" s="346" t="s">
        <v>1418</v>
      </c>
      <c r="J14" s="24">
        <f ca="1">C29</f>
        <v>23645</v>
      </c>
      <c r="K14" s="15"/>
      <c r="L14" s="978"/>
      <c r="M14" s="979"/>
    </row>
    <row r="15" spans="1:37" s="1853" customFormat="1" ht="18" customHeight="1" thickBot="1">
      <c r="A15" s="1199" t="s">
        <v>1036</v>
      </c>
      <c r="B15" s="346" t="s">
        <v>1419</v>
      </c>
      <c r="C15" s="24">
        <f ca="1">ROUND(C14*F15,0)</f>
        <v>460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6"/>
      <c r="H16" s="1326" t="s">
        <v>1030</v>
      </c>
      <c r="I16" s="1327" t="s">
        <v>1423</v>
      </c>
      <c r="J16" s="354">
        <f ca="1">ROUND(J17+J22+J23+J24,0)</f>
        <v>562</v>
      </c>
      <c r="K16" s="1334" t="s">
        <v>1424</v>
      </c>
      <c r="L16" s="1335"/>
      <c r="M16" s="1292"/>
    </row>
    <row r="17" spans="1:37" s="1853" customFormat="1" ht="18" customHeight="1">
      <c r="A17" s="1199" t="s">
        <v>1389</v>
      </c>
      <c r="B17" s="346" t="s">
        <v>1425</v>
      </c>
      <c r="C17" s="24">
        <f ca="1">ROUND(F17*(F43+INDIRECT("'数据-取费表'!S"&amp;$G$1))/10000,0)</f>
        <v>491</v>
      </c>
      <c r="D17" s="346" t="s">
        <v>1426</v>
      </c>
      <c r="E17" s="346" t="s">
        <v>1427</v>
      </c>
      <c r="F17" s="26">
        <f>'数据-取费表'!B35</f>
        <v>180</v>
      </c>
      <c r="G17" s="1849"/>
      <c r="H17" s="1199" t="s">
        <v>1035</v>
      </c>
      <c r="I17" s="346" t="s">
        <v>1428</v>
      </c>
      <c r="J17" s="24">
        <f ca="1">ROUND(IF(项目基本情况!B11="自然人",J5*M17,J18+J19+J20),1)</f>
        <v>207.7</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230</v>
      </c>
      <c r="D18" s="346" t="s">
        <v>1420</v>
      </c>
      <c r="E18" s="346" t="s">
        <v>1421</v>
      </c>
      <c r="F18" s="366">
        <f>'数据-取费表'!B36</f>
        <v>1.4999999999999999E-2</v>
      </c>
      <c r="G18" s="1849"/>
      <c r="H18" s="1199" t="s">
        <v>1034</v>
      </c>
      <c r="I18" s="346" t="s">
        <v>1432</v>
      </c>
      <c r="J18" s="24">
        <f ca="1">ROUND(J5*M18/(1+'数据-取费表'!C42),2)</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16502</v>
      </c>
      <c r="D19" s="139" t="s">
        <v>1435</v>
      </c>
      <c r="E19" s="1813"/>
      <c r="F19" s="26"/>
      <c r="G19" s="1846"/>
      <c r="H19" s="1199" t="s">
        <v>1036</v>
      </c>
      <c r="I19" s="346" t="s">
        <v>1436</v>
      </c>
      <c r="J19" s="24">
        <f ca="1">IF(K19="按租金收入计税",ROUND(J5*M19,2),ROUND(C29*M19*0.7,2))</f>
        <v>198.62</v>
      </c>
      <c r="K19" s="1823" t="s">
        <v>1437</v>
      </c>
      <c r="L19" s="346" t="s">
        <v>1421</v>
      </c>
      <c r="M19" s="366">
        <f>IF(K19="按租金收入计税",'数据-取费表'!B51,'数据-取费表'!B50)</f>
        <v>1.2E-2</v>
      </c>
    </row>
    <row r="20" spans="1:37" s="1853" customFormat="1" ht="18" customHeight="1">
      <c r="A20" s="1199" t="s">
        <v>1039</v>
      </c>
      <c r="B20" s="346" t="s">
        <v>1438</v>
      </c>
      <c r="C20" s="24">
        <f ca="1">ROUND(C19*F20,0)</f>
        <v>330</v>
      </c>
      <c r="D20" s="368" t="s">
        <v>1439</v>
      </c>
      <c r="E20" s="346" t="s">
        <v>1421</v>
      </c>
      <c r="F20" s="366">
        <f>'数据-取费表'!B37</f>
        <v>0.02</v>
      </c>
      <c r="G20" s="1849"/>
      <c r="H20" s="1199" t="s">
        <v>1388</v>
      </c>
      <c r="I20" s="163" t="s">
        <v>1440</v>
      </c>
      <c r="J20" s="25">
        <f ca="1">ROUND(M20*M21/10000,2)</f>
        <v>9.1</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f ca="1">INDIRECT("'数据-取费表'!r"&amp;$G$1)</f>
        <v>5686.65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ROUND(J14*M22,1)</f>
        <v>354.7</v>
      </c>
      <c r="K22" s="1793" t="s">
        <v>1449</v>
      </c>
      <c r="L22" s="346" t="s">
        <v>1421</v>
      </c>
      <c r="M22" s="373">
        <f ca="1">INDIRECT("'数据-取费表'!Ak"&amp;$G$1)</f>
        <v>1.4999999999999999E-2</v>
      </c>
    </row>
    <row r="23" spans="1:37" s="1853" customFormat="1" ht="18" customHeight="1">
      <c r="A23" s="1199" t="s">
        <v>1034</v>
      </c>
      <c r="B23" s="346" t="s">
        <v>1450</v>
      </c>
      <c r="C23" s="24">
        <f ca="1">IF('数据-取费表'!B22&lt;=1,ROUND(C19*F24*F23/2,0)+ROUND(C20*F24*F23/2,0),ROUND(C19*(POWER((1+F24),F23/2)-1),0)+ROUND(C20*(POWER((1+F24),F23/2)-1),0))</f>
        <v>732</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ROUND(J13*M23,1)</f>
        <v>0</v>
      </c>
      <c r="K23" s="1793" t="s">
        <v>1453</v>
      </c>
      <c r="L23" s="346" t="s">
        <v>1454</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ROUND(J5*M24,1)</f>
        <v>0</v>
      </c>
      <c r="K24" s="1339" t="s">
        <v>1458</v>
      </c>
      <c r="L24" s="1337" t="s">
        <v>1454</v>
      </c>
      <c r="M24" s="1333">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1813"/>
      <c r="F25" s="26"/>
      <c r="G25" s="1846"/>
      <c r="H25" s="1326" t="s">
        <v>1031</v>
      </c>
      <c r="I25" s="1341" t="s">
        <v>1462</v>
      </c>
      <c r="J25" s="354">
        <f ca="1">J5-J16</f>
        <v>-562</v>
      </c>
      <c r="K25" s="1342" t="s">
        <v>1463</v>
      </c>
      <c r="L25" s="1343"/>
      <c r="M25" s="1344"/>
    </row>
    <row r="26" spans="1:37">
      <c r="A26" s="1199" t="s">
        <v>1034</v>
      </c>
      <c r="B26" s="346" t="s">
        <v>1464</v>
      </c>
      <c r="C26" s="24">
        <f ca="1">ROUND((C19+C20)*F26,0)</f>
        <v>4208</v>
      </c>
      <c r="D26" s="368" t="s">
        <v>1465</v>
      </c>
      <c r="E26" s="357" t="s">
        <v>1466</v>
      </c>
      <c r="F26" s="356">
        <f ca="1">INDIRECT("'数据-取费表'!q"&amp;$G$1)</f>
        <v>0.25</v>
      </c>
      <c r="G26" s="1846"/>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23645</v>
      </c>
      <c r="D29" s="1339"/>
      <c r="E29" s="1337"/>
      <c r="F29" s="1340"/>
      <c r="G29" s="1849"/>
      <c r="H29" s="379" t="s">
        <v>1033</v>
      </c>
      <c r="I29" s="380" t="s">
        <v>1478</v>
      </c>
      <c r="J29" s="381">
        <f ca="1">ROUND(J26/(1+F40)^F41,0)</f>
        <v>0</v>
      </c>
      <c r="K29" s="382" t="s">
        <v>1479</v>
      </c>
      <c r="L29" s="383"/>
      <c r="M29" s="384">
        <f ca="1">INDIRECT("'数据-取费表'!k"&amp;$G$1)</f>
        <v>23800.559999999998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552</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ROUND(IF(项目基本情况!B11="自然人",C5*F31,C32+C33+C34),1)</f>
        <v>149.1</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IF(项目基本情况!B11="自然人","——",ROUND(C5*F32/(1+'数据-取费表'!C42),2))</f>
        <v>82.03</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57.96</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f ca="1">IF(项目基本情况!B11="自然人","——",ROUND(F34*F35/10000,2))</f>
        <v>9.1</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5686.65</v>
      </c>
      <c r="G35" s="1846"/>
      <c r="H35" s="744"/>
      <c r="I35" s="1855"/>
      <c r="J35" s="1856"/>
      <c r="K35" s="1857"/>
      <c r="L35" s="1854"/>
      <c r="M35" s="1854"/>
    </row>
    <row r="36" spans="1:18" ht="18" customHeight="1">
      <c r="A36" s="1349" t="s">
        <v>1039</v>
      </c>
      <c r="B36" s="346" t="s">
        <v>1448</v>
      </c>
      <c r="C36" s="24">
        <f ca="1">ROUND(C29*F36,1)</f>
        <v>354.7</v>
      </c>
      <c r="D36" s="1793" t="s">
        <v>1481</v>
      </c>
      <c r="E36" s="346" t="s">
        <v>1421</v>
      </c>
      <c r="F36" s="373">
        <f ca="1">INDIRECT("'数据-取费表'!Ak"&amp;$G$1)</f>
        <v>1.4999999999999999E-2</v>
      </c>
      <c r="G36" s="1846"/>
      <c r="H36" s="1854"/>
      <c r="I36" s="1855"/>
      <c r="J36" s="1856"/>
      <c r="K36" s="750"/>
      <c r="L36" s="1854"/>
      <c r="M36" s="1854"/>
    </row>
    <row r="37" spans="1:18" ht="18" customHeight="1">
      <c r="A37" s="1199" t="s">
        <v>1075</v>
      </c>
      <c r="B37" s="346" t="s">
        <v>1452</v>
      </c>
      <c r="C37" s="24">
        <f ca="1">ROUND(C13*F37,1)</f>
        <v>25.5</v>
      </c>
      <c r="D37" s="1793" t="s">
        <v>1453</v>
      </c>
      <c r="E37" s="346" t="s">
        <v>1454</v>
      </c>
      <c r="F37" s="375">
        <f ca="1">INDIRECT("'数据-取费表'!Al"&amp;$G$1)</f>
        <v>1.5E-3</v>
      </c>
      <c r="G37" s="1846"/>
      <c r="H37" s="1854"/>
      <c r="I37" s="1855"/>
      <c r="J37" s="1856"/>
      <c r="K37" s="750"/>
      <c r="L37" s="1854"/>
      <c r="M37" s="1854"/>
    </row>
    <row r="38" spans="1:18" ht="18" customHeight="1" thickBot="1">
      <c r="A38" s="1336" t="s">
        <v>1392</v>
      </c>
      <c r="B38" s="1337" t="s">
        <v>1438</v>
      </c>
      <c r="C38" s="1338">
        <f ca="1">ROUND(C5*F38,1)</f>
        <v>23.1</v>
      </c>
      <c r="D38" s="1339" t="s">
        <v>1458</v>
      </c>
      <c r="E38" s="1337" t="s">
        <v>1454</v>
      </c>
      <c r="F38" s="1333">
        <f ca="1">INDIRECT("'数据-取费表'!Am"&amp;$G$1)</f>
        <v>1.4999999999999999E-2</v>
      </c>
      <c r="G38" s="1846"/>
      <c r="H38" s="1854"/>
      <c r="I38" s="1855"/>
      <c r="J38" s="1856"/>
      <c r="K38" s="1860"/>
      <c r="L38" s="1854"/>
      <c r="M38" s="1854"/>
    </row>
    <row r="39" spans="1:18" ht="24.6" customHeight="1" thickTop="1">
      <c r="A39" s="1326" t="s">
        <v>1031</v>
      </c>
      <c r="B39" s="1341" t="s">
        <v>1482</v>
      </c>
      <c r="C39" s="354">
        <f ca="1">C5-C30</f>
        <v>986</v>
      </c>
      <c r="D39" s="1342" t="s">
        <v>1483</v>
      </c>
      <c r="E39" s="1343"/>
      <c r="F39" s="1344"/>
      <c r="G39" s="1846"/>
      <c r="H39" s="1854"/>
      <c r="I39" s="1855"/>
      <c r="J39" s="1856"/>
      <c r="K39" s="1860"/>
      <c r="L39" s="1854"/>
      <c r="M39" s="1854"/>
    </row>
    <row r="40" spans="1:18" ht="18" customHeight="1">
      <c r="A40" s="343" t="s">
        <v>1032</v>
      </c>
      <c r="B40" s="344" t="s">
        <v>1484</v>
      </c>
      <c r="C40" s="345">
        <f ca="1">ROUND(C39*(1-((1+F42)/(1+F40))^F41)/(F40-F42),0)</f>
        <v>15945</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21.6</v>
      </c>
      <c r="G41" s="1846"/>
      <c r="H41" s="731"/>
      <c r="I41" s="1855"/>
      <c r="J41" s="1856"/>
      <c r="K41" s="750"/>
      <c r="L41" s="731"/>
      <c r="M41" s="731"/>
    </row>
    <row r="42" spans="1:18" ht="18" customHeight="1">
      <c r="A42" s="352"/>
      <c r="B42" s="353"/>
      <c r="C42" s="354"/>
      <c r="D42" s="372"/>
      <c r="E42" s="346" t="s">
        <v>1476</v>
      </c>
      <c r="F42" s="356">
        <f ca="1">INDIRECT("'数据-取费表'!v"&amp;$G$1)</f>
        <v>0.03</v>
      </c>
      <c r="G42" s="1846"/>
      <c r="H42" s="731"/>
      <c r="I42" s="1855"/>
      <c r="J42" s="1856"/>
      <c r="K42" s="750"/>
      <c r="L42" s="731"/>
      <c r="M42" s="731"/>
    </row>
    <row r="43" spans="1:18" ht="18" customHeight="1" thickBot="1">
      <c r="A43" s="379" t="s">
        <v>1033</v>
      </c>
      <c r="B43" s="380" t="s">
        <v>1486</v>
      </c>
      <c r="C43" s="381">
        <f ca="1">ROUND(C40*10000/F43,0)</f>
        <v>6699</v>
      </c>
      <c r="D43" s="382" t="s">
        <v>1487</v>
      </c>
      <c r="E43" s="383" t="s">
        <v>1488</v>
      </c>
      <c r="F43" s="384">
        <f ca="1">INDIRECT("'数据-取费表'!k"&amp;$G$1)</f>
        <v>23800.559999999998</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#VALUE!</v>
      </c>
      <c r="D46" s="1867" t="str">
        <f>C2</f>
        <v>万元</v>
      </c>
      <c r="E46" s="1861"/>
      <c r="F46" s="1861"/>
      <c r="I46" s="1868" t="s">
        <v>1520</v>
      </c>
      <c r="J46" s="1869"/>
      <c r="K46" s="1870"/>
      <c r="L46" s="1871">
        <f ca="1">IF(M47="住宅",0,IF(L48&gt;J51,L60,J60))</f>
        <v>1470</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f ca="1">INDIRECT("'数据-取费表'!d"&amp;$G$1)</f>
        <v>40</v>
      </c>
      <c r="M47" s="1833" t="str">
        <f>IF(ISNUMBER(FIND("住宅",C1)),"住宅","非住宅")</f>
        <v>非住宅</v>
      </c>
      <c r="O47" s="1879" t="s">
        <v>1040</v>
      </c>
      <c r="P47" s="1880" t="s">
        <v>1527</v>
      </c>
      <c r="Q47" s="1881">
        <f ca="1">C40+J29</f>
        <v>15945</v>
      </c>
      <c r="R47" s="1881" t="s">
        <v>1528</v>
      </c>
    </row>
    <row r="48" spans="1:18" s="1837" customFormat="1" ht="28.5" thickBot="1">
      <c r="A48" s="1357" t="s">
        <v>1135</v>
      </c>
      <c r="B48" s="344" t="s">
        <v>1400</v>
      </c>
      <c r="C48" s="1812">
        <f ca="1">C49+C53+C55</f>
        <v>0</v>
      </c>
      <c r="D48" s="1359"/>
      <c r="E48" s="1360"/>
      <c r="F48" s="1179"/>
      <c r="G48" s="791"/>
      <c r="H48" s="792"/>
      <c r="I48" s="1882" t="s">
        <v>1529</v>
      </c>
      <c r="J48" s="1883" t="s">
        <v>3135</v>
      </c>
      <c r="K48" s="1884" t="s">
        <v>1530</v>
      </c>
      <c r="L48" s="1885">
        <f ca="1">INDIRECT("'数据-取费表'!f"&amp;$G$1)</f>
        <v>21.6</v>
      </c>
      <c r="O48" s="1879" t="s">
        <v>1041</v>
      </c>
      <c r="P48" s="1880" t="s">
        <v>1531</v>
      </c>
      <c r="Q48" s="1881">
        <f ca="1">J60</f>
        <v>1470</v>
      </c>
      <c r="R48" s="1881" t="s">
        <v>1532</v>
      </c>
    </row>
    <row r="49" spans="1:18" s="1837" customFormat="1" ht="13.5" thickBot="1">
      <c r="A49" s="1192" t="s">
        <v>1136</v>
      </c>
      <c r="B49" s="1824" t="s">
        <v>1489</v>
      </c>
      <c r="C49" s="1361">
        <f ca="1">ROUND(F49*F51*F50*(1-F52)/10000,0)</f>
        <v>0</v>
      </c>
      <c r="D49" s="1274" t="s">
        <v>3015</v>
      </c>
      <c r="E49" s="1825" t="s">
        <v>1490</v>
      </c>
      <c r="F49" s="1279"/>
      <c r="G49" s="1886"/>
      <c r="H49" s="792"/>
      <c r="I49" s="1882" t="s">
        <v>1533</v>
      </c>
      <c r="J49" s="1887">
        <v>1996</v>
      </c>
      <c r="K49" s="1884" t="s">
        <v>1534</v>
      </c>
      <c r="L49" s="1888"/>
      <c r="O49" s="1889" t="s">
        <v>1042</v>
      </c>
      <c r="P49" s="1880" t="s">
        <v>1535</v>
      </c>
      <c r="Q49" s="1881">
        <f ca="1">C29</f>
        <v>23645</v>
      </c>
      <c r="R49" s="1881" t="s">
        <v>1528</v>
      </c>
    </row>
    <row r="50" spans="1:18" s="1837" customFormat="1" ht="13.5" thickBot="1">
      <c r="A50" s="1193"/>
      <c r="B50" s="1196"/>
      <c r="C50" s="1365"/>
      <c r="D50" s="1170"/>
      <c r="E50" s="1275" t="s">
        <v>1405</v>
      </c>
      <c r="F50" s="1276">
        <f ca="1">F7</f>
        <v>1</v>
      </c>
      <c r="H50" s="792"/>
      <c r="I50" s="1882" t="s">
        <v>1536</v>
      </c>
      <c r="J50" s="1890">
        <f>SUMPRODUCT((I63:I65=J47)*(J62:L62=J48)*(J63:L65))</f>
        <v>60</v>
      </c>
      <c r="K50" s="1884" t="s">
        <v>1537</v>
      </c>
      <c r="L50" s="1888"/>
      <c r="M50" s="1891"/>
      <c r="O50" s="1889" t="s">
        <v>1043</v>
      </c>
      <c r="P50" s="1880" t="s">
        <v>1538</v>
      </c>
      <c r="Q50" s="1892">
        <f ca="1">J58</f>
        <v>0.4</v>
      </c>
      <c r="R50" s="1881"/>
    </row>
    <row r="51" spans="1:18" s="1837" customFormat="1" ht="13.5" thickBot="1">
      <c r="A51" s="1194"/>
      <c r="B51" s="1196"/>
      <c r="C51" s="1197"/>
      <c r="D51" s="1170"/>
      <c r="E51" s="1198" t="s">
        <v>1406</v>
      </c>
      <c r="F51" s="347">
        <f ca="1">F8</f>
        <v>1</v>
      </c>
      <c r="I51" s="1893" t="s">
        <v>1539</v>
      </c>
      <c r="J51" s="1894">
        <f>IF(J49="",J50,J49+J50-YEAR('数据-取费表'!B2))</f>
        <v>35</v>
      </c>
      <c r="K51" s="1895" t="s">
        <v>1540</v>
      </c>
      <c r="L51" s="1896">
        <f ca="1">ROUND(-PV(INDIRECT("'数据-取费表'!h"&amp;$G$1),L48,(C39-C13*C76),0),0)</f>
        <v>-6007</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f ca="1">J53</f>
        <v>21.6</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f ca="1">IF(M47="住宅",IF(D1="——",MAX(J51,L48),IF(D1="在建（套用方法）",MAX(J51,L48-'数据-取费表'!B24),MAX(J51,L48-'数据-取费表'!B20))),IF(D1="——",MIN(J51,L48),IF(D1="在建（套用方法）",MIN(J51,L48-'数据-取费表'!B24),IF(D1="土地（套用方法）",MIN(J51,L48-'数据-取费表'!B20)))))</f>
        <v>21.6</v>
      </c>
      <c r="K53" s="3268" t="s">
        <v>1547</v>
      </c>
      <c r="L53" s="3269"/>
      <c r="O53" s="1879" t="s">
        <v>1046</v>
      </c>
      <c r="P53" s="1880" t="s">
        <v>1548</v>
      </c>
      <c r="Q53" s="1881">
        <f ca="1">Q47+Q48</f>
        <v>17415</v>
      </c>
      <c r="R53" s="1881" t="s">
        <v>1047</v>
      </c>
    </row>
    <row r="54" spans="1:18" s="1837" customFormat="1" ht="13.5" thickBot="1">
      <c r="A54" s="1402"/>
      <c r="B54" s="1820" t="s">
        <v>1387</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f ca="1">ROUND(IF(J47="钢混",J57/J50,1-(1-2%)*(J50-J57)/J50),3)</f>
        <v>0.223</v>
      </c>
      <c r="K55" s="1907" t="s">
        <v>1551</v>
      </c>
      <c r="L55" s="1908" t="s">
        <v>1552</v>
      </c>
      <c r="O55" s="1872" t="s">
        <v>1521</v>
      </c>
      <c r="P55" s="1873" t="s">
        <v>1522</v>
      </c>
      <c r="Q55" s="1874" t="s">
        <v>1523</v>
      </c>
      <c r="R55" s="1874" t="s">
        <v>1524</v>
      </c>
    </row>
    <row r="56" spans="1:18" s="1837" customFormat="1" ht="25.5" thickTop="1" thickBot="1">
      <c r="A56" s="1174">
        <v>2</v>
      </c>
      <c r="B56" s="1175" t="s">
        <v>1413</v>
      </c>
      <c r="C56" s="275">
        <f ca="1">C13</f>
        <v>17024</v>
      </c>
      <c r="D56" s="1909"/>
      <c r="E56" s="1910"/>
      <c r="F56" s="1902"/>
      <c r="I56" s="1911" t="s">
        <v>1553</v>
      </c>
      <c r="J56" s="1912" t="s">
        <v>3047</v>
      </c>
      <c r="K56" s="1882" t="s">
        <v>1554</v>
      </c>
      <c r="L56" s="1885" t="str">
        <f ca="1">IF(L48&lt;J51,"——",L48-J53)</f>
        <v>——</v>
      </c>
      <c r="O56" s="1879" t="s">
        <v>1040</v>
      </c>
      <c r="P56" s="1880" t="s">
        <v>1527</v>
      </c>
      <c r="Q56" s="1881">
        <f ca="1">C40+J29</f>
        <v>15945</v>
      </c>
      <c r="R56" s="1881" t="s">
        <v>1528</v>
      </c>
    </row>
    <row r="57" spans="1:18" s="1837" customFormat="1" ht="24.75" thickBot="1">
      <c r="A57" s="1913"/>
      <c r="B57" s="1167" t="s">
        <v>1477</v>
      </c>
      <c r="C57" s="281">
        <f ca="1">C29</f>
        <v>23645</v>
      </c>
      <c r="D57" s="1914"/>
      <c r="E57" s="1915"/>
      <c r="F57" s="1916"/>
      <c r="I57" s="1917" t="s">
        <v>1555</v>
      </c>
      <c r="J57" s="1918">
        <f ca="1">IF(OR(M47="住宅",J51&lt;L48,J56="是"),"——",J51-L48)</f>
        <v>13.399999999999999</v>
      </c>
      <c r="K57" s="1882" t="s">
        <v>1556</v>
      </c>
      <c r="L57" s="1885" t="str">
        <f ca="1">IF(L48&lt;J51,"——",IF(L55="比较法",L49,IF(L55="基准地价",L50,L51)))</f>
        <v>——</v>
      </c>
      <c r="O57" s="1879" t="s">
        <v>1041</v>
      </c>
      <c r="P57" s="1880" t="s">
        <v>1557</v>
      </c>
      <c r="Q57" s="1881">
        <f ca="1">L60</f>
        <v>0</v>
      </c>
      <c r="R57" s="1881" t="s">
        <v>1558</v>
      </c>
    </row>
    <row r="58" spans="1:18" s="1837" customFormat="1" ht="24.75" thickBot="1">
      <c r="A58" s="359" t="s">
        <v>1030</v>
      </c>
      <c r="B58" s="1175" t="s">
        <v>1423</v>
      </c>
      <c r="C58" s="360" t="e">
        <f ca="1">ROUND(C59+C64+C65+C66,0)</f>
        <v>#VALUE!</v>
      </c>
      <c r="D58" s="1177" t="s">
        <v>1424</v>
      </c>
      <c r="E58" s="1178"/>
      <c r="F58" s="1179"/>
      <c r="I58" s="1917" t="s">
        <v>1559</v>
      </c>
      <c r="J58" s="1919">
        <f ca="1">IF(J55&lt;0.4,0.4,J55)</f>
        <v>0.4</v>
      </c>
      <c r="K58" s="1895" t="s">
        <v>1560</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7" t="s">
        <v>1562</v>
      </c>
      <c r="J59" s="1918">
        <f ca="1">IF(OR(M47="住宅",J51&lt;L48,J56="是"),"——",ROUND(C29*J58,0))</f>
        <v>9458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0" t="s">
        <v>1564</v>
      </c>
      <c r="J60" s="1921">
        <f ca="1">IF(OR(M47="住宅",J51&lt;L48,J56="是"),"0",ROUND(J59/(1+J52)^J53,0))</f>
        <v>1470</v>
      </c>
      <c r="K60" s="1922" t="s">
        <v>1565</v>
      </c>
      <c r="L60" s="1921">
        <f ca="1">IF(OR(M47="住宅",L48&lt;J51),0,ROUND(L57*(L58/L59-1),0))</f>
        <v>0</v>
      </c>
      <c r="O60" s="1889" t="s">
        <v>1044</v>
      </c>
      <c r="P60" s="1880" t="s">
        <v>1566</v>
      </c>
      <c r="Q60" s="1881" t="e">
        <f ca="1">L58</f>
        <v>#DIV/0!</v>
      </c>
      <c r="R60" s="1881" t="s">
        <v>1567</v>
      </c>
    </row>
    <row r="61" spans="1:18" s="1837" customFormat="1" ht="13.5" thickBot="1">
      <c r="A61" s="1199" t="s">
        <v>1491</v>
      </c>
      <c r="B61" s="1167" t="s">
        <v>1492</v>
      </c>
      <c r="C61" s="24" t="e">
        <f ca="1">IF(项目基本情况!B11="自然人","——",IF(D61="按租金收入计税",ROUND(C48*F61,2),IF(D61="按房产原值计税",ROUND(C57*F61*0.7,2),INDIRECT("'数据-取费表'!Aj"&amp;$G$1))))</f>
        <v>#VALUE!</v>
      </c>
      <c r="D61" s="1823" t="s">
        <v>1437</v>
      </c>
      <c r="E61" s="1167" t="s">
        <v>1493</v>
      </c>
      <c r="F61" s="366" t="str">
        <f t="shared" si="0"/>
        <v>——</v>
      </c>
      <c r="I61" s="1923"/>
      <c r="J61" s="1923"/>
      <c r="K61" s="1923"/>
      <c r="L61" s="1923"/>
      <c r="O61" s="1889" t="s">
        <v>1045</v>
      </c>
      <c r="P61" s="1880" t="str">
        <f>K59</f>
        <v>建筑物剩余耐用年限下的土地年期修正系数Kn</v>
      </c>
      <c r="Q61" s="1881" t="e">
        <f ca="1">L59</f>
        <v>#DIV/0!</v>
      </c>
      <c r="R61" s="1881" t="s">
        <v>1568</v>
      </c>
    </row>
    <row r="62" spans="1:18" s="1837" customFormat="1" ht="13.5" thickBot="1">
      <c r="A62" s="1199" t="s">
        <v>1494</v>
      </c>
      <c r="B62" s="1166" t="s">
        <v>1495</v>
      </c>
      <c r="C62" s="25">
        <f ca="1">IF(项目基本情况!B11="自然人","——",ROUND(F62*F63/10000,2))</f>
        <v>9.1</v>
      </c>
      <c r="D62" s="1182" t="s">
        <v>1496</v>
      </c>
      <c r="E62" s="1167" t="s">
        <v>1497</v>
      </c>
      <c r="F62" s="370">
        <f t="shared" si="0"/>
        <v>16</v>
      </c>
      <c r="I62" s="1924" t="s">
        <v>1569</v>
      </c>
      <c r="J62" s="1925" t="s">
        <v>1570</v>
      </c>
      <c r="K62" s="1925" t="s">
        <v>1571</v>
      </c>
      <c r="L62" s="1925" t="s">
        <v>1572</v>
      </c>
      <c r="M62" s="1926" t="s">
        <v>1573</v>
      </c>
      <c r="O62" s="1879" t="s">
        <v>1046</v>
      </c>
      <c r="P62" s="1880" t="s">
        <v>1574</v>
      </c>
      <c r="Q62" s="1881">
        <f ca="1">Q56+Q57</f>
        <v>15945</v>
      </c>
      <c r="R62" s="1881" t="s">
        <v>1047</v>
      </c>
    </row>
    <row r="63" spans="1:18" s="1837" customFormat="1" ht="13.5" thickBot="1">
      <c r="A63" s="371"/>
      <c r="B63" s="1173"/>
      <c r="C63" s="29"/>
      <c r="D63" s="1183"/>
      <c r="E63" s="1167" t="s">
        <v>1498</v>
      </c>
      <c r="F63" s="347">
        <f t="shared" ca="1" si="0"/>
        <v>5686.65</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ROUND(C57*F64,1)</f>
        <v>354.7</v>
      </c>
      <c r="D64" s="1181" t="s">
        <v>1501</v>
      </c>
      <c r="E64" s="1167" t="s">
        <v>1493</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ROUND(C56*F65,1)</f>
        <v>25.5</v>
      </c>
      <c r="D65" s="1181" t="s">
        <v>1453</v>
      </c>
      <c r="E65" s="1167" t="s">
        <v>1454</v>
      </c>
      <c r="F65" s="375">
        <f t="shared" ca="1" si="0"/>
        <v>1.5E-3</v>
      </c>
      <c r="I65" s="1924" t="s">
        <v>1578</v>
      </c>
      <c r="J65" s="1925">
        <v>40</v>
      </c>
      <c r="K65" s="1925">
        <v>30</v>
      </c>
      <c r="L65" s="1925">
        <v>50</v>
      </c>
      <c r="M65" s="1927">
        <v>0.02</v>
      </c>
      <c r="O65" s="1879" t="s">
        <v>1040</v>
      </c>
      <c r="P65" s="1880" t="s">
        <v>1579</v>
      </c>
      <c r="Q65" s="1881">
        <f ca="1">C40+J29</f>
        <v>15945</v>
      </c>
      <c r="R65" s="1881" t="s">
        <v>1528</v>
      </c>
    </row>
    <row r="66" spans="1:18" s="1837" customFormat="1" ht="16.5" thickBot="1">
      <c r="A66" s="1199" t="s">
        <v>1503</v>
      </c>
      <c r="B66" s="1167" t="s">
        <v>1438</v>
      </c>
      <c r="C66" s="24">
        <f ca="1">ROUND(C48*F66,1)</f>
        <v>0</v>
      </c>
      <c r="D66" s="1181" t="s">
        <v>1504</v>
      </c>
      <c r="E66" s="1167" t="s">
        <v>1421</v>
      </c>
      <c r="F66" s="356">
        <f t="shared" ca="1" si="0"/>
        <v>1.4999999999999999E-2</v>
      </c>
      <c r="O66" s="1879" t="s">
        <v>1041</v>
      </c>
      <c r="P66" s="1880" t="s">
        <v>1557</v>
      </c>
      <c r="Q66" s="1881">
        <f ca="1">L60</f>
        <v>0</v>
      </c>
      <c r="R66" s="1881" t="s">
        <v>1580</v>
      </c>
    </row>
    <row r="67" spans="1:18" s="1837" customFormat="1" ht="16.5" thickBot="1">
      <c r="A67" s="1174" t="s">
        <v>1031</v>
      </c>
      <c r="B67" s="1184" t="s">
        <v>1462</v>
      </c>
      <c r="C67" s="360" t="e">
        <f ca="1">C48-C58</f>
        <v>#VALUE!</v>
      </c>
      <c r="D67" s="1180" t="s">
        <v>1463</v>
      </c>
      <c r="E67" s="1185"/>
      <c r="F67" s="1186"/>
      <c r="O67" s="1889" t="s">
        <v>1042</v>
      </c>
      <c r="P67" s="1880" t="s">
        <v>1561</v>
      </c>
      <c r="Q67" s="1928">
        <f ca="1">L51</f>
        <v>-6007</v>
      </c>
      <c r="R67" s="1881" t="s">
        <v>1581</v>
      </c>
    </row>
    <row r="68" spans="1:18" s="1837" customFormat="1" ht="16.5" thickBot="1">
      <c r="A68" s="1164" t="s">
        <v>1032</v>
      </c>
      <c r="B68" s="1165" t="s">
        <v>1484</v>
      </c>
      <c r="C68" s="345" t="e">
        <f ca="1">ROUND(C67*(1-((1+F70)/(1+F68))^F69)/(F68-F70),0)</f>
        <v>#VALUE!</v>
      </c>
      <c r="D68" s="1182" t="s">
        <v>1468</v>
      </c>
      <c r="E68" s="1167" t="s">
        <v>1469</v>
      </c>
      <c r="F68" s="356">
        <f ca="1">F40</f>
        <v>5.5E-2</v>
      </c>
      <c r="O68" s="1889" t="s">
        <v>1043</v>
      </c>
      <c r="P68" s="1929" t="s">
        <v>1582</v>
      </c>
      <c r="Q68" s="1881">
        <f ca="1">ROUND(Q69-Q70*Q71,0)</f>
        <v>-461</v>
      </c>
      <c r="R68" s="1881" t="s">
        <v>1051</v>
      </c>
    </row>
    <row r="69" spans="1:18" s="1837" customFormat="1" ht="13.5" thickBot="1">
      <c r="A69" s="1168"/>
      <c r="B69" s="1169"/>
      <c r="C69" s="350"/>
      <c r="D69" s="1187" t="s">
        <v>1472</v>
      </c>
      <c r="E69" s="1167" t="s">
        <v>1473</v>
      </c>
      <c r="F69" s="378">
        <f ca="1">F41</f>
        <v>21.6</v>
      </c>
      <c r="O69" s="1889" t="s">
        <v>1048</v>
      </c>
      <c r="P69" s="1929" t="s">
        <v>1583</v>
      </c>
      <c r="Q69" s="1881">
        <f ca="1">C39</f>
        <v>986</v>
      </c>
      <c r="R69" s="1881" t="s">
        <v>1528</v>
      </c>
    </row>
    <row r="70" spans="1:18" s="1837" customFormat="1" ht="13.5" thickBot="1">
      <c r="A70" s="1171"/>
      <c r="B70" s="1172"/>
      <c r="C70" s="354"/>
      <c r="D70" s="1183"/>
      <c r="E70" s="1167" t="s">
        <v>1476</v>
      </c>
      <c r="F70" s="1273"/>
      <c r="O70" s="1889" t="s">
        <v>1049</v>
      </c>
      <c r="P70" s="1929" t="s">
        <v>1584</v>
      </c>
      <c r="Q70" s="1881">
        <f ca="1">C13</f>
        <v>17024</v>
      </c>
      <c r="R70" s="1881" t="s">
        <v>1528</v>
      </c>
    </row>
    <row r="71" spans="1:18" s="1837" customFormat="1" ht="13.5" thickBot="1">
      <c r="A71" s="1188" t="s">
        <v>1033</v>
      </c>
      <c r="B71" s="1189" t="s">
        <v>1486</v>
      </c>
      <c r="C71" s="381" t="e">
        <f ca="1">ROUND(C68*10000/F71,0)</f>
        <v>#VALUE!</v>
      </c>
      <c r="D71" s="1190" t="s">
        <v>1487</v>
      </c>
      <c r="E71" s="1191" t="s">
        <v>1488</v>
      </c>
      <c r="F71" s="384">
        <f ca="1">F43</f>
        <v>23800.559999999998</v>
      </c>
      <c r="O71" s="1889" t="s">
        <v>1050</v>
      </c>
      <c r="P71" s="1929" t="s">
        <v>1585</v>
      </c>
      <c r="Q71" s="1892">
        <f ca="1">C76</f>
        <v>8.5000000000000006E-2</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#DIV/0!</v>
      </c>
      <c r="R74" s="1881" t="s">
        <v>1568</v>
      </c>
    </row>
    <row r="75" spans="1:18" ht="13.5" thickBot="1">
      <c r="A75" s="1837"/>
      <c r="B75" s="385" t="s">
        <v>1505</v>
      </c>
      <c r="C75" s="386">
        <f ca="1">ROUND(C13*C76,0)</f>
        <v>1447</v>
      </c>
      <c r="D75" s="1837"/>
      <c r="E75" s="1837"/>
      <c r="F75" s="1837"/>
      <c r="K75" s="1863"/>
      <c r="L75" s="1837"/>
      <c r="O75" s="1879" t="s">
        <v>1046</v>
      </c>
      <c r="P75" s="1880" t="s">
        <v>1548</v>
      </c>
      <c r="Q75" s="1881">
        <f ca="1">Q65+Q66</f>
        <v>15945</v>
      </c>
      <c r="R75" s="1881" t="s">
        <v>1047</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-0.46799999999999997</v>
      </c>
    </row>
    <row r="80" spans="1:18">
      <c r="B80" s="385" t="s">
        <v>1510</v>
      </c>
      <c r="C80" s="317">
        <f ca="1">ROUND(C75/C39,3)</f>
        <v>1.468</v>
      </c>
    </row>
    <row r="81" spans="2:3">
      <c r="B81" s="313" t="s">
        <v>1511</v>
      </c>
      <c r="C81" s="281"/>
    </row>
    <row r="82" spans="2:3">
      <c r="B82" s="316" t="s">
        <v>1512</v>
      </c>
      <c r="C82" s="318">
        <f ca="1">1-C83</f>
        <v>-6.800000000000006E-2</v>
      </c>
    </row>
    <row r="83" spans="2:3">
      <c r="B83" s="316" t="s">
        <v>1513</v>
      </c>
      <c r="C83" s="317">
        <f ca="1">ROUND(C13/C40,3)</f>
        <v>1.0680000000000001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c r="D1" s="1815"/>
      <c r="E1" s="1816" t="s">
        <v>1386</v>
      </c>
      <c r="F1" s="1281" t="b">
        <f>J53</f>
        <v>0</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3"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90">
        <f ca="1">C6+C10+C12</f>
        <v>0</v>
      </c>
      <c r="D5" s="1817" t="s">
        <v>1600</v>
      </c>
      <c r="E5" s="1291"/>
      <c r="F5" s="1292"/>
      <c r="G5" s="1846"/>
      <c r="H5" s="343">
        <v>1</v>
      </c>
      <c r="I5" s="344" t="s">
        <v>1599</v>
      </c>
      <c r="J5" s="1290">
        <f ca="1">J6+J10+J12</f>
        <v>0</v>
      </c>
      <c r="K5" s="1817" t="s">
        <v>1600</v>
      </c>
      <c r="L5" s="1291"/>
      <c r="M5" s="1292"/>
    </row>
    <row r="6" spans="1:37" ht="18" customHeight="1">
      <c r="A6" s="1289" t="s">
        <v>1035</v>
      </c>
      <c r="B6" s="3270" t="s">
        <v>1402</v>
      </c>
      <c r="C6" s="1294">
        <f ca="1">ROUND(F6*F8*F7*(1-F9),0)</f>
        <v>0</v>
      </c>
      <c r="D6" s="163" t="s">
        <v>3011</v>
      </c>
      <c r="E6" s="346" t="s">
        <v>1404</v>
      </c>
      <c r="F6" s="347">
        <f ca="1">INDIRECT("'数据-取费表'!u"&amp;$G$1)</f>
        <v>0</v>
      </c>
      <c r="G6" s="1846"/>
      <c r="H6" s="1289" t="s">
        <v>1035</v>
      </c>
      <c r="I6" s="3270" t="s">
        <v>1402</v>
      </c>
      <c r="J6" s="345">
        <f ca="1">ROUND(M6*M8*M7*(1-M9),0)</f>
        <v>0</v>
      </c>
      <c r="K6" s="1829" t="s">
        <v>3012</v>
      </c>
      <c r="L6" s="346" t="s">
        <v>1404</v>
      </c>
      <c r="M6" s="347">
        <f ca="1">INDIRECT("'数据-取费表'!z"&amp;$G$1)</f>
        <v>0</v>
      </c>
    </row>
    <row r="7" spans="1:37" ht="18" customHeight="1">
      <c r="A7" s="1293"/>
      <c r="B7" s="3271"/>
      <c r="C7" s="1295"/>
      <c r="D7" s="351"/>
      <c r="E7" s="1296" t="s">
        <v>1405</v>
      </c>
      <c r="F7" s="347">
        <f ca="1">IF(INDIRECT("'数据-取费表'!ah"&amp;$G$1)="",INDIRECT("'数据-取费表'!k"&amp;$G$1),INDIRECT("'数据-取费表'!ah"&amp;$G$1))</f>
        <v>0</v>
      </c>
      <c r="G7" s="1846"/>
      <c r="H7" s="348"/>
      <c r="I7" s="3271"/>
      <c r="J7" s="350"/>
      <c r="K7" s="351"/>
      <c r="L7" s="346" t="s">
        <v>1405</v>
      </c>
      <c r="M7" s="347">
        <f ca="1">F7</f>
        <v>0</v>
      </c>
    </row>
    <row r="8" spans="1:37" ht="18" customHeight="1">
      <c r="A8" s="348"/>
      <c r="B8" s="3271"/>
      <c r="C8" s="350"/>
      <c r="D8" s="351"/>
      <c r="E8" s="346" t="s">
        <v>1406</v>
      </c>
      <c r="F8" s="347">
        <f ca="1">INDIRECT("'数据-取费表'!ai"&amp;$G$1)</f>
        <v>0</v>
      </c>
      <c r="G8" s="1846"/>
      <c r="H8" s="348"/>
      <c r="I8" s="3271"/>
      <c r="J8" s="350"/>
      <c r="K8" s="351"/>
      <c r="L8" s="346" t="s">
        <v>1406</v>
      </c>
      <c r="M8" s="347">
        <f ca="1">INDIRECT("'数据-取费表'!ai"&amp;$G$1)</f>
        <v>0</v>
      </c>
    </row>
    <row r="9" spans="1:37" ht="18" customHeight="1">
      <c r="A9" s="348"/>
      <c r="B9" s="3272"/>
      <c r="C9" s="350"/>
      <c r="D9" s="351"/>
      <c r="E9" s="346" t="s">
        <v>1407</v>
      </c>
      <c r="F9" s="356">
        <f ca="1">INDIRECT("'数据-取费表'!w"&amp;$G$1)</f>
        <v>0</v>
      </c>
      <c r="G9" s="1846"/>
      <c r="H9" s="348"/>
      <c r="I9" s="3272"/>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3022</v>
      </c>
      <c r="E10" s="357" t="s">
        <v>1409</v>
      </c>
      <c r="F10" s="1363"/>
      <c r="G10" s="1846"/>
      <c r="H10" s="1289" t="s">
        <v>1039</v>
      </c>
      <c r="I10" s="1818" t="s">
        <v>1408</v>
      </c>
      <c r="J10" s="345">
        <f ca="1">ROUND(IF(M10="押一",J6/12*M11,IF(M10="押二",J6/12*2*M11,IF(M10="押三",J6/12*3*M11,J11*M11))),0)</f>
        <v>0</v>
      </c>
      <c r="K10" s="1830" t="s">
        <v>3024</v>
      </c>
      <c r="L10" s="357" t="s">
        <v>1409</v>
      </c>
      <c r="M10" s="1363"/>
    </row>
    <row r="11" spans="1:37" ht="18" customHeight="1">
      <c r="A11" s="352"/>
      <c r="B11" s="1820" t="s">
        <v>1601</v>
      </c>
      <c r="C11" s="1176"/>
      <c r="D11" s="351"/>
      <c r="E11" s="357" t="s">
        <v>1411</v>
      </c>
      <c r="F11" s="358">
        <f ca="1">'数据-取费表'!B39</f>
        <v>1.4999999999999999E-2</v>
      </c>
      <c r="G11" s="1846"/>
      <c r="H11" s="1297"/>
      <c r="I11" s="1820" t="s">
        <v>1602</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6"/>
      <c r="H13" s="1326">
        <v>2</v>
      </c>
      <c r="I13" s="1327" t="s">
        <v>1413</v>
      </c>
      <c r="J13" s="1288">
        <f ca="1">ROUND(J14*J15,0)</f>
        <v>0</v>
      </c>
      <c r="K13" s="1334" t="s">
        <v>1414</v>
      </c>
      <c r="L13" s="1847"/>
      <c r="M13" s="1848"/>
    </row>
    <row r="14" spans="1:37" ht="18" customHeight="1">
      <c r="A14" s="1199" t="s">
        <v>1034</v>
      </c>
      <c r="B14" s="346" t="s">
        <v>1416</v>
      </c>
      <c r="C14" s="362">
        <f ca="1">ROUND(INDIRECT("'数据-取费表'!l"&amp;$G$1)*F43+'数据-取费表'!L14*INDIRECT("'数据-取费表'!S"&amp;$G$1),0)</f>
        <v>0</v>
      </c>
      <c r="D14" s="1795" t="s">
        <v>1417</v>
      </c>
      <c r="E14" s="1789"/>
      <c r="F14" s="363"/>
      <c r="G14" s="1846"/>
      <c r="H14" s="1199" t="s">
        <v>1035</v>
      </c>
      <c r="I14" s="346" t="s">
        <v>1418</v>
      </c>
      <c r="J14" s="24">
        <f ca="1">C29</f>
        <v>0</v>
      </c>
      <c r="K14" s="15"/>
      <c r="L14" s="978"/>
      <c r="M14" s="979"/>
    </row>
    <row r="15" spans="1:37" s="1853" customFormat="1" ht="18" customHeight="1" thickBot="1">
      <c r="A15" s="1199" t="s">
        <v>1036</v>
      </c>
      <c r="B15" s="346" t="s">
        <v>1419</v>
      </c>
      <c r="C15" s="24">
        <f ca="1">ROUND(C14*F15,0)</f>
        <v>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6"/>
      <c r="H16" s="1326" t="s">
        <v>1030</v>
      </c>
      <c r="I16" s="1327" t="s">
        <v>1423</v>
      </c>
      <c r="J16" s="354">
        <f ca="1">ROUND(J17+J22+J23+J24,0)</f>
        <v>0</v>
      </c>
      <c r="K16" s="1334" t="s">
        <v>1424</v>
      </c>
      <c r="L16" s="1335"/>
      <c r="M16" s="1292"/>
    </row>
    <row r="17" spans="1:37" s="1853" customFormat="1" ht="18" customHeight="1">
      <c r="A17" s="1199" t="s">
        <v>1389</v>
      </c>
      <c r="B17" s="346" t="s">
        <v>1425</v>
      </c>
      <c r="C17" s="24">
        <f ca="1">ROUND(F17*(F43+INDIRECT("'数据-取费表'!S"&amp;$G$1)),0)</f>
        <v>0</v>
      </c>
      <c r="D17" s="346" t="s">
        <v>1426</v>
      </c>
      <c r="E17" s="346" t="s">
        <v>1427</v>
      </c>
      <c r="F17" s="26">
        <f>'数据-取费表'!B35</f>
        <v>180</v>
      </c>
      <c r="G17" s="1849"/>
      <c r="H17" s="1199" t="s">
        <v>1035</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0</v>
      </c>
      <c r="D18" s="346" t="s">
        <v>1420</v>
      </c>
      <c r="E18" s="346" t="s">
        <v>1421</v>
      </c>
      <c r="F18" s="366">
        <f>'数据-取费表'!B36</f>
        <v>1.4999999999999999E-2</v>
      </c>
      <c r="G18" s="1849"/>
      <c r="H18" s="1199" t="s">
        <v>1034</v>
      </c>
      <c r="I18" s="346" t="s">
        <v>1432</v>
      </c>
      <c r="J18" s="24">
        <f ca="1">ROUND(J5*M18/(1+'数据-取费表'!C42),0)</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0</v>
      </c>
      <c r="D19" s="139" t="s">
        <v>1435</v>
      </c>
      <c r="E19" s="1813"/>
      <c r="F19" s="26"/>
      <c r="G19" s="1846"/>
      <c r="H19" s="1199" t="s">
        <v>1036</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9" t="s">
        <v>1039</v>
      </c>
      <c r="B20" s="346" t="s">
        <v>1438</v>
      </c>
      <c r="C20" s="24">
        <f ca="1">ROUND(C19*F20,0)</f>
        <v>0</v>
      </c>
      <c r="D20" s="368" t="s">
        <v>1439</v>
      </c>
      <c r="E20" s="346" t="s">
        <v>1421</v>
      </c>
      <c r="F20" s="366">
        <f>'数据-取费表'!B37</f>
        <v>0.02</v>
      </c>
      <c r="G20" s="1849"/>
      <c r="H20" s="1199" t="s">
        <v>1388</v>
      </c>
      <c r="I20" s="163" t="s">
        <v>1440</v>
      </c>
      <c r="J20" s="25">
        <f ca="1">ROUND(M20*M21,0)</f>
        <v>0</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v>
      </c>
      <c r="D21" s="368" t="s">
        <v>1444</v>
      </c>
      <c r="E21" s="346" t="s">
        <v>1445</v>
      </c>
      <c r="F21" s="366">
        <f>'数据-取费表'!B38</f>
        <v>0.02</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ROUND(J14*M22,0)</f>
        <v>0</v>
      </c>
      <c r="K22" s="1793" t="s">
        <v>1449</v>
      </c>
      <c r="L22" s="346" t="s">
        <v>1421</v>
      </c>
      <c r="M22" s="373">
        <f ca="1">INDIRECT("'数据-取费表'!Ak"&amp;$G$1)</f>
        <v>0</v>
      </c>
    </row>
    <row r="23" spans="1:37" s="1853"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ROUND(J5*M24,0)</f>
        <v>0</v>
      </c>
      <c r="K24" s="1339" t="s">
        <v>1458</v>
      </c>
      <c r="L24" s="1337" t="s">
        <v>1454</v>
      </c>
      <c r="M24" s="1333">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9" t="s">
        <v>1459</v>
      </c>
      <c r="B25" s="346" t="s">
        <v>1460</v>
      </c>
      <c r="C25" s="24"/>
      <c r="D25" s="139" t="s">
        <v>1461</v>
      </c>
      <c r="E25" s="1813"/>
      <c r="F25" s="26"/>
      <c r="G25" s="1846"/>
      <c r="H25" s="1326" t="s">
        <v>1031</v>
      </c>
      <c r="I25" s="1341" t="s">
        <v>1462</v>
      </c>
      <c r="J25" s="354">
        <f ca="1">J5-J16</f>
        <v>0</v>
      </c>
      <c r="K25" s="1342" t="s">
        <v>1463</v>
      </c>
      <c r="L25" s="1343"/>
      <c r="M25" s="1344"/>
    </row>
    <row r="26" spans="1:37" ht="18" customHeight="1">
      <c r="A26" s="1199" t="s">
        <v>1034</v>
      </c>
      <c r="B26" s="346" t="s">
        <v>1464</v>
      </c>
      <c r="C26" s="24">
        <f ca="1">ROUND((C19+C20)*F26,0)</f>
        <v>0</v>
      </c>
      <c r="D26" s="368" t="s">
        <v>1465</v>
      </c>
      <c r="E26" s="357" t="s">
        <v>1466</v>
      </c>
      <c r="F26" s="356">
        <f ca="1">INDIRECT("'数据-取费表'!q"&amp;$G$1)</f>
        <v>0</v>
      </c>
      <c r="G26" s="1846"/>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0</v>
      </c>
      <c r="D29" s="1339"/>
      <c r="E29" s="1337"/>
      <c r="F29" s="1340"/>
      <c r="G29" s="1849"/>
      <c r="H29" s="379" t="s">
        <v>1033</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0</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IF(项目基本情况!B11="自然人","——",ROUND(C5*F32/(1+'数据-取费表'!C42),0))</f>
        <v>0</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9" t="s">
        <v>1388</v>
      </c>
      <c r="B34" s="163" t="s">
        <v>1440</v>
      </c>
      <c r="C34" s="25">
        <f ca="1">IF(项目基本情况!B11="自然人","——",ROUND(F34*F35,))</f>
        <v>0</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0</v>
      </c>
      <c r="G35" s="1846"/>
      <c r="H35" s="744"/>
      <c r="I35" s="1855"/>
      <c r="J35" s="1856"/>
      <c r="K35" s="1857"/>
      <c r="L35" s="1854"/>
      <c r="M35" s="1854"/>
    </row>
    <row r="36" spans="1:18" ht="18" customHeight="1">
      <c r="A36" s="1349" t="s">
        <v>1039</v>
      </c>
      <c r="B36" s="346" t="s">
        <v>1448</v>
      </c>
      <c r="C36" s="24">
        <f ca="1">ROUND(C29*F36,0)</f>
        <v>0</v>
      </c>
      <c r="D36" s="1793" t="s">
        <v>1481</v>
      </c>
      <c r="E36" s="346" t="s">
        <v>1421</v>
      </c>
      <c r="F36" s="373">
        <f ca="1">INDIRECT("'数据-取费表'!Ak"&amp;$G$1)</f>
        <v>0</v>
      </c>
      <c r="G36" s="1846"/>
      <c r="H36" s="1854"/>
      <c r="I36" s="1855"/>
      <c r="J36" s="1856"/>
      <c r="K36" s="750"/>
      <c r="L36" s="1854"/>
      <c r="M36" s="1854"/>
    </row>
    <row r="37" spans="1:18" ht="18" customHeight="1">
      <c r="A37" s="1199" t="s">
        <v>1075</v>
      </c>
      <c r="B37" s="346" t="s">
        <v>1452</v>
      </c>
      <c r="C37" s="24">
        <f ca="1">ROUND(C13*F37,0)</f>
        <v>0</v>
      </c>
      <c r="D37" s="1793" t="s">
        <v>1453</v>
      </c>
      <c r="E37" s="346" t="s">
        <v>1454</v>
      </c>
      <c r="F37" s="375">
        <f ca="1">INDIRECT("'数据-取费表'!Al"&amp;$G$1)</f>
        <v>0</v>
      </c>
      <c r="G37" s="1846"/>
      <c r="H37" s="1854"/>
      <c r="I37" s="1855"/>
      <c r="J37" s="1856"/>
      <c r="K37" s="750"/>
      <c r="L37" s="1854"/>
      <c r="M37" s="1854"/>
    </row>
    <row r="38" spans="1:18" ht="18" customHeight="1" thickBot="1">
      <c r="A38" s="1336" t="s">
        <v>1392</v>
      </c>
      <c r="B38" s="1337" t="s">
        <v>1438</v>
      </c>
      <c r="C38" s="1338">
        <f ca="1">ROUND(C5*F38,1)</f>
        <v>0</v>
      </c>
      <c r="D38" s="1339" t="s">
        <v>1458</v>
      </c>
      <c r="E38" s="1337" t="s">
        <v>1454</v>
      </c>
      <c r="F38" s="1333">
        <f ca="1">INDIRECT("'数据-取费表'!Am"&amp;$G$1)</f>
        <v>0</v>
      </c>
      <c r="G38" s="1846"/>
      <c r="H38" s="1854"/>
      <c r="I38" s="1855"/>
      <c r="J38" s="1856"/>
      <c r="K38" s="1860"/>
      <c r="L38" s="1854"/>
      <c r="M38" s="1854"/>
    </row>
    <row r="39" spans="1:18" ht="24.6" customHeight="1" thickTop="1">
      <c r="A39" s="1326" t="s">
        <v>1031</v>
      </c>
      <c r="B39" s="1341" t="s">
        <v>1482</v>
      </c>
      <c r="C39" s="354">
        <f ca="1">C5-C30</f>
        <v>0</v>
      </c>
      <c r="D39" s="1342" t="s">
        <v>1483</v>
      </c>
      <c r="E39" s="1343"/>
      <c r="F39" s="1344"/>
      <c r="G39" s="1846"/>
      <c r="H39" s="1854"/>
      <c r="I39" s="1855"/>
      <c r="J39" s="1856"/>
      <c r="K39" s="1860"/>
      <c r="L39" s="1854"/>
      <c r="M39" s="1854"/>
    </row>
    <row r="40" spans="1:18" ht="18" customHeight="1">
      <c r="A40" s="343" t="s">
        <v>1032</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1476</v>
      </c>
      <c r="F42" s="356">
        <f ca="1">INDIRECT("'数据-取费表'!v"&amp;$G$1)</f>
        <v>0</v>
      </c>
      <c r="G42" s="1846"/>
      <c r="H42" s="731"/>
      <c r="I42" s="1855"/>
      <c r="J42" s="1856"/>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3" t="s">
        <v>1395</v>
      </c>
      <c r="B47" s="1195" t="s">
        <v>1396</v>
      </c>
      <c r="C47" s="1195" t="s">
        <v>1397</v>
      </c>
      <c r="D47" s="1195" t="s">
        <v>1398</v>
      </c>
      <c r="E47" s="1277" t="s">
        <v>1399</v>
      </c>
      <c r="F47" s="1278"/>
      <c r="G47" s="791"/>
      <c r="I47" s="1875" t="s">
        <v>1525</v>
      </c>
      <c r="J47" s="1876"/>
      <c r="K47" s="1877" t="s">
        <v>1526</v>
      </c>
      <c r="L47" s="1878">
        <f ca="1">INDIRECT("'数据-取费表'!d"&amp;$G$1)</f>
        <v>0</v>
      </c>
      <c r="M47" s="1833" t="str">
        <f>IF(ISNUMBER(FIND("住宅",C1)),"住宅","非住宅")</f>
        <v>非住宅</v>
      </c>
      <c r="O47" s="1879" t="s">
        <v>1040</v>
      </c>
      <c r="P47" s="1880" t="s">
        <v>1527</v>
      </c>
      <c r="Q47" s="1881" t="e">
        <f ca="1">C40+J29</f>
        <v>#DIV/0!</v>
      </c>
      <c r="R47" s="1881" t="s">
        <v>1528</v>
      </c>
    </row>
    <row r="48" spans="1:18" s="1837" customFormat="1" ht="28.5" thickBot="1">
      <c r="A48" s="1357" t="s">
        <v>1135</v>
      </c>
      <c r="B48" s="344" t="s">
        <v>1400</v>
      </c>
      <c r="C48" s="1812">
        <f ca="1">C49+C53+C55</f>
        <v>0</v>
      </c>
      <c r="D48" s="1359"/>
      <c r="E48" s="1360"/>
      <c r="F48" s="1179"/>
      <c r="G48" s="791"/>
      <c r="H48" s="792"/>
      <c r="I48" s="1882" t="s">
        <v>1529</v>
      </c>
      <c r="J48" s="1883"/>
      <c r="K48" s="1884" t="s">
        <v>1530</v>
      </c>
      <c r="L48" s="1885">
        <f ca="1">INDIRECT("'数据-取费表'!f"&amp;$G$1)</f>
        <v>0</v>
      </c>
      <c r="O48" s="1879" t="s">
        <v>1041</v>
      </c>
      <c r="P48" s="1880" t="s">
        <v>1531</v>
      </c>
      <c r="Q48" s="1881" t="e">
        <f ca="1">J60</f>
        <v>#DIV/0!</v>
      </c>
      <c r="R48" s="1881" t="s">
        <v>1532</v>
      </c>
    </row>
    <row r="49" spans="1:18" s="1837" customFormat="1" ht="13.5" thickBot="1">
      <c r="A49" s="1192" t="s">
        <v>1136</v>
      </c>
      <c r="B49" s="1824" t="s">
        <v>1489</v>
      </c>
      <c r="C49" s="1361">
        <f ca="1">ROUND(F49*F51*F50*(1-F52),0)</f>
        <v>0</v>
      </c>
      <c r="D49" s="1274" t="s">
        <v>1403</v>
      </c>
      <c r="E49" s="1825" t="s">
        <v>1490</v>
      </c>
      <c r="F49" s="1279"/>
      <c r="G49" s="1886"/>
      <c r="H49" s="792"/>
      <c r="I49" s="1882" t="s">
        <v>1533</v>
      </c>
      <c r="J49" s="1887"/>
      <c r="K49" s="1884" t="s">
        <v>1534</v>
      </c>
      <c r="L49" s="1888"/>
      <c r="O49" s="1889" t="s">
        <v>1042</v>
      </c>
      <c r="P49" s="1880" t="s">
        <v>1535</v>
      </c>
      <c r="Q49" s="1881">
        <f ca="1">C29</f>
        <v>0</v>
      </c>
      <c r="R49" s="1881" t="s">
        <v>1528</v>
      </c>
    </row>
    <row r="50" spans="1:18" s="1837" customFormat="1" ht="13.5" thickBot="1">
      <c r="A50" s="1193"/>
      <c r="B50" s="1196"/>
      <c r="C50" s="1197"/>
      <c r="D50" s="1170"/>
      <c r="E50" s="1275" t="s">
        <v>1405</v>
      </c>
      <c r="F50" s="1276">
        <f ca="1">F7</f>
        <v>0</v>
      </c>
      <c r="H50" s="792"/>
      <c r="I50" s="1882" t="s">
        <v>1536</v>
      </c>
      <c r="J50" s="1890">
        <f>SUMPRODUCT((I63:I65=J47)*(J62:L62=J48)*(J63:L65))</f>
        <v>0</v>
      </c>
      <c r="K50" s="1884" t="s">
        <v>1537</v>
      </c>
      <c r="L50" s="1888"/>
      <c r="M50" s="1891"/>
      <c r="O50" s="1889" t="s">
        <v>1043</v>
      </c>
      <c r="P50" s="1880" t="s">
        <v>1538</v>
      </c>
      <c r="Q50" s="1892" t="e">
        <f ca="1">J58</f>
        <v>#DIV/0!</v>
      </c>
      <c r="R50" s="1881"/>
    </row>
    <row r="51" spans="1:18" s="1837" customFormat="1" ht="13.5" thickBot="1">
      <c r="A51" s="1194"/>
      <c r="B51" s="1196"/>
      <c r="C51" s="1197"/>
      <c r="D51" s="1170"/>
      <c r="E51" s="1198" t="s">
        <v>1406</v>
      </c>
      <c r="F51" s="347">
        <f ca="1">F8</f>
        <v>0</v>
      </c>
      <c r="I51" s="1893" t="s">
        <v>1539</v>
      </c>
      <c r="J51" s="1894">
        <f>IF(J49="",J50,J49+J50-YEAR('数据-取费表'!B2))</f>
        <v>0</v>
      </c>
      <c r="K51" s="1895" t="s">
        <v>1540</v>
      </c>
      <c r="L51" s="1896">
        <f ca="1">ROUND(-PV(INDIRECT("'数据-取费表'!h"&amp;$G$1),L48,(C39-C13*C76),0),0)</f>
        <v>0</v>
      </c>
      <c r="M51" s="1897"/>
      <c r="O51" s="1889" t="s">
        <v>1044</v>
      </c>
      <c r="P51" s="1880" t="s">
        <v>1541</v>
      </c>
      <c r="Q51" s="1892">
        <f>J52</f>
        <v>0</v>
      </c>
      <c r="R51" s="1881"/>
    </row>
    <row r="52" spans="1:18" s="1837" customFormat="1" ht="13.5" thickBot="1">
      <c r="A52" s="1194"/>
      <c r="B52" s="1196"/>
      <c r="C52" s="1197"/>
      <c r="D52" s="1170"/>
      <c r="E52" s="1198" t="s">
        <v>1407</v>
      </c>
      <c r="F52" s="1273"/>
      <c r="I52" s="1898" t="s">
        <v>1542</v>
      </c>
      <c r="J52" s="1899"/>
      <c r="K52" s="1898" t="s">
        <v>1543</v>
      </c>
      <c r="L52" s="1899"/>
      <c r="O52" s="1889" t="s">
        <v>1045</v>
      </c>
      <c r="P52" s="1880" t="s">
        <v>1544</v>
      </c>
      <c r="Q52" s="1881" t="b">
        <f>J53</f>
        <v>0</v>
      </c>
      <c r="R52" s="1881" t="s">
        <v>1545</v>
      </c>
    </row>
    <row r="53" spans="1:18" s="1837" customFormat="1" ht="30.75" customHeight="1" thickBot="1">
      <c r="A53" s="1358" t="s">
        <v>1137</v>
      </c>
      <c r="B53" s="368" t="s">
        <v>1408</v>
      </c>
      <c r="C53" s="360">
        <f ca="1">ROUND(IF(F53="押一",C49/12*F11,IF(F53="押二",C49/12*2*F11,IF(F53="押三",C49/12*3*F11,C54*F11))),0)</f>
        <v>0</v>
      </c>
      <c r="D53" s="1819" t="s">
        <v>3025</v>
      </c>
      <c r="E53" s="357" t="s">
        <v>1409</v>
      </c>
      <c r="F53" s="1363"/>
      <c r="I53" s="1900" t="s">
        <v>1546</v>
      </c>
      <c r="J53" s="1901" t="b">
        <f>IF(M47="住宅",IF(D1="——",MAX(J51,L48),IF(D1="在建（套用方法）",MAX(J51,L48-'数据-取费表'!B24),MAX(J51,L48-'数据-取费表'!B20))),IF(D1="——",MIN(J51,L48),IF(D1="在建（套用方法）",MIN(J51,L48-'数据-取费表'!B24),IF(D1="土地（套用方法）",MIN(J51,L48-'数据-取费表'!B20)))))</f>
        <v>0</v>
      </c>
      <c r="K53" s="3268" t="s">
        <v>1547</v>
      </c>
      <c r="L53" s="3269"/>
      <c r="O53" s="1879" t="s">
        <v>1046</v>
      </c>
      <c r="P53" s="1880" t="s">
        <v>1548</v>
      </c>
      <c r="Q53" s="1881" t="e">
        <f ca="1">Q47+Q48</f>
        <v>#DIV/0!</v>
      </c>
      <c r="R53" s="1881" t="s">
        <v>1047</v>
      </c>
    </row>
    <row r="54" spans="1:18" s="1837" customFormat="1" ht="13.5" thickBot="1">
      <c r="A54" s="1192"/>
      <c r="B54" s="1936" t="s">
        <v>1602</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4">
        <v>2</v>
      </c>
      <c r="B56" s="1175" t="s">
        <v>1413</v>
      </c>
      <c r="C56" s="275">
        <f ca="1">C13</f>
        <v>0</v>
      </c>
      <c r="D56" s="1909"/>
      <c r="E56" s="1910"/>
      <c r="F56" s="1902"/>
      <c r="I56" s="1911" t="s">
        <v>1553</v>
      </c>
      <c r="J56" s="1912"/>
      <c r="K56" s="1882" t="s">
        <v>1554</v>
      </c>
      <c r="L56" s="1885">
        <f ca="1">IF(L48&lt;J51,"——",L48-J51)</f>
        <v>0</v>
      </c>
      <c r="O56" s="1879" t="s">
        <v>1040</v>
      </c>
      <c r="P56" s="1880" t="s">
        <v>1527</v>
      </c>
      <c r="Q56" s="1881" t="e">
        <f ca="1">C40+J29</f>
        <v>#DIV/0!</v>
      </c>
      <c r="R56" s="1881" t="s">
        <v>1528</v>
      </c>
    </row>
    <row r="57" spans="1:18" s="1837" customFormat="1" ht="24.75" thickBot="1">
      <c r="A57" s="1913"/>
      <c r="B57" s="1167" t="s">
        <v>1477</v>
      </c>
      <c r="C57" s="281">
        <f ca="1">C29</f>
        <v>0</v>
      </c>
      <c r="D57" s="1914"/>
      <c r="E57" s="1915"/>
      <c r="F57" s="1916"/>
      <c r="I57" s="1917" t="s">
        <v>1555</v>
      </c>
      <c r="J57" s="1918">
        <f ca="1">IF(OR(M47="住宅",J51&lt;L48,J56="是"),"——",J51-L48)</f>
        <v>0</v>
      </c>
      <c r="K57" s="1882" t="s">
        <v>1604</v>
      </c>
      <c r="L57" s="1885">
        <f ca="1">IF(L48&lt;J51,"——",IF(L55="比较法",L49,IF(L55="基准地价",L50,L51)))</f>
        <v>0</v>
      </c>
      <c r="O57" s="1879" t="s">
        <v>1041</v>
      </c>
      <c r="P57" s="1880" t="s">
        <v>1605</v>
      </c>
      <c r="Q57" s="1881" t="e">
        <f ca="1">L60</f>
        <v>#DIV/0!</v>
      </c>
      <c r="R57" s="1881" t="s">
        <v>1606</v>
      </c>
    </row>
    <row r="58" spans="1:18" s="1837" customFormat="1" ht="24.75" thickBot="1">
      <c r="A58" s="359" t="s">
        <v>1030</v>
      </c>
      <c r="B58" s="1175" t="s">
        <v>1423</v>
      </c>
      <c r="C58" s="360">
        <f ca="1">ROUND(C59+C64+C65+C66,0)</f>
        <v>0</v>
      </c>
      <c r="D58" s="1177" t="s">
        <v>1424</v>
      </c>
      <c r="E58" s="1178"/>
      <c r="F58" s="1179"/>
      <c r="I58" s="1917" t="s">
        <v>1559</v>
      </c>
      <c r="J58" s="1919" t="e">
        <f ca="1">IF(J55&lt;0.4,0.4,J55)</f>
        <v>#DIV/0!</v>
      </c>
      <c r="K58" s="1895" t="s">
        <v>1607</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0" t="s">
        <v>1564</v>
      </c>
      <c r="J60" s="1921" t="e">
        <f ca="1">IF(OR(M47="住宅",J51&lt;L48,J56="是"),"0",ROUND(J59/(1+J52)^J53,0))</f>
        <v>#DIV/0!</v>
      </c>
      <c r="K60" s="1922" t="s">
        <v>1565</v>
      </c>
      <c r="L60" s="1921" t="e">
        <f ca="1">IF(OR(M47="住宅",L48&lt;J51),0,ROUND(L57*(L58/L59-1),0))</f>
        <v>#DIV/0!</v>
      </c>
      <c r="O60" s="1889" t="s">
        <v>1044</v>
      </c>
      <c r="P60" s="1880" t="s">
        <v>1566</v>
      </c>
      <c r="Q60" s="1881" t="e">
        <f ca="1">L58</f>
        <v>#DIV/0!</v>
      </c>
      <c r="R60" s="1881" t="s">
        <v>1567</v>
      </c>
    </row>
    <row r="61" spans="1:18" s="1837" customFormat="1" ht="13.5" thickBot="1">
      <c r="A61" s="1199" t="s">
        <v>1491</v>
      </c>
      <c r="B61" s="1167" t="s">
        <v>1492</v>
      </c>
      <c r="C61" s="24">
        <f ca="1">IF(项目基本情况!B11="自然人","——",IF(D61="按租金收入计税",ROUND(C48*F61,0),IF(D61="按房产原值计税",ROUND(C57*F61*0.7,0),INDIRECT("'数据-取费表'!Aj"&amp;$G$1))))</f>
        <v>0</v>
      </c>
      <c r="D61" s="1823" t="s">
        <v>1437</v>
      </c>
      <c r="E61" s="1167" t="s">
        <v>1493</v>
      </c>
      <c r="F61" s="366">
        <f t="shared" si="0"/>
        <v>1.2E-2</v>
      </c>
      <c r="I61" s="1923"/>
      <c r="J61" s="1923"/>
      <c r="K61" s="1923"/>
      <c r="L61" s="1923"/>
      <c r="O61" s="1889" t="s">
        <v>1045</v>
      </c>
      <c r="P61" s="1880" t="str">
        <f>K59</f>
        <v>建设期及建筑物耐用年限下的土地年期修正系数Kn</v>
      </c>
      <c r="Q61" s="1881" t="e">
        <f ca="1">L59</f>
        <v>#DIV/0!</v>
      </c>
      <c r="R61" s="1881" t="s">
        <v>1568</v>
      </c>
    </row>
    <row r="62" spans="1:18" s="1837" customFormat="1" ht="13.5" thickBot="1">
      <c r="A62" s="1199" t="s">
        <v>1494</v>
      </c>
      <c r="B62" s="1166" t="s">
        <v>1495</v>
      </c>
      <c r="C62" s="25">
        <f ca="1">IF(项目基本情况!B11="自然人","——",ROUND(F62*F63,0))</f>
        <v>0</v>
      </c>
      <c r="D62" s="1182" t="s">
        <v>1496</v>
      </c>
      <c r="E62" s="1167" t="s">
        <v>1497</v>
      </c>
      <c r="F62" s="370">
        <f t="shared" si="0"/>
        <v>16</v>
      </c>
      <c r="I62" s="1924" t="s">
        <v>1569</v>
      </c>
      <c r="J62" s="1925" t="s">
        <v>1570</v>
      </c>
      <c r="K62" s="1925" t="s">
        <v>1571</v>
      </c>
      <c r="L62" s="1925" t="s">
        <v>1572</v>
      </c>
      <c r="M62" s="1926" t="s">
        <v>1573</v>
      </c>
      <c r="O62" s="1879" t="s">
        <v>1046</v>
      </c>
      <c r="P62" s="1880" t="s">
        <v>1574</v>
      </c>
      <c r="Q62" s="1881" t="e">
        <f ca="1">Q56+Q57</f>
        <v>#DIV/0!</v>
      </c>
      <c r="R62" s="1881" t="s">
        <v>1047</v>
      </c>
    </row>
    <row r="63" spans="1:18" s="1837" customFormat="1" ht="13.5" thickBot="1">
      <c r="A63" s="371"/>
      <c r="B63" s="1173"/>
      <c r="C63" s="29"/>
      <c r="D63" s="1183"/>
      <c r="E63" s="1167"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ROUND(C57*F64,0)</f>
        <v>0</v>
      </c>
      <c r="D64" s="1181" t="s">
        <v>1501</v>
      </c>
      <c r="E64" s="1167"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ROUND(C56*F65,0)</f>
        <v>0</v>
      </c>
      <c r="D65" s="1181" t="s">
        <v>1453</v>
      </c>
      <c r="E65" s="1167" t="s">
        <v>1454</v>
      </c>
      <c r="F65" s="375">
        <f t="shared" ca="1" si="0"/>
        <v>0</v>
      </c>
      <c r="I65" s="1924" t="s">
        <v>1578</v>
      </c>
      <c r="J65" s="1925">
        <v>40</v>
      </c>
      <c r="K65" s="1925">
        <v>30</v>
      </c>
      <c r="L65" s="1925">
        <v>50</v>
      </c>
      <c r="M65" s="1927">
        <v>0.02</v>
      </c>
      <c r="O65" s="1879" t="s">
        <v>1040</v>
      </c>
      <c r="P65" s="1880" t="s">
        <v>1579</v>
      </c>
      <c r="Q65" s="1881" t="e">
        <f ca="1">C40+J29</f>
        <v>#DIV/0!</v>
      </c>
      <c r="R65" s="1881" t="s">
        <v>1528</v>
      </c>
    </row>
    <row r="66" spans="1:18" s="1837" customFormat="1" ht="16.5" thickBot="1">
      <c r="A66" s="1199" t="s">
        <v>1503</v>
      </c>
      <c r="B66" s="1167" t="s">
        <v>1438</v>
      </c>
      <c r="C66" s="24">
        <f ca="1">ROUND(C48*F66,0)</f>
        <v>0</v>
      </c>
      <c r="D66" s="1181" t="s">
        <v>1504</v>
      </c>
      <c r="E66" s="1167" t="s">
        <v>1421</v>
      </c>
      <c r="F66" s="356">
        <f t="shared" ca="1" si="0"/>
        <v>0</v>
      </c>
      <c r="O66" s="1879" t="s">
        <v>1041</v>
      </c>
      <c r="P66" s="1880" t="s">
        <v>1557</v>
      </c>
      <c r="Q66" s="1881" t="e">
        <f ca="1">L60</f>
        <v>#DIV/0!</v>
      </c>
      <c r="R66" s="1881" t="s">
        <v>1580</v>
      </c>
    </row>
    <row r="67" spans="1:18" s="1837" customFormat="1" ht="16.5" thickBot="1">
      <c r="A67" s="1174" t="s">
        <v>1031</v>
      </c>
      <c r="B67" s="1184" t="s">
        <v>1462</v>
      </c>
      <c r="C67" s="360">
        <f ca="1">C48-C58</f>
        <v>0</v>
      </c>
      <c r="D67" s="1180" t="s">
        <v>1463</v>
      </c>
      <c r="E67" s="1185"/>
      <c r="F67" s="1186"/>
      <c r="O67" s="1889" t="s">
        <v>1042</v>
      </c>
      <c r="P67" s="1880" t="s">
        <v>1561</v>
      </c>
      <c r="Q67" s="1928">
        <f ca="1">L51</f>
        <v>0</v>
      </c>
      <c r="R67" s="1881" t="s">
        <v>1581</v>
      </c>
    </row>
    <row r="68" spans="1:18" s="1837" customFormat="1" ht="16.5" thickBot="1">
      <c r="A68" s="1164" t="s">
        <v>1032</v>
      </c>
      <c r="B68" s="1165" t="s">
        <v>1484</v>
      </c>
      <c r="C68" s="345" t="e">
        <f ca="1">ROUND(C67*(1-((1+F70)/(1+F68))^F69)/(F68-F70),0)</f>
        <v>#DIV/0!</v>
      </c>
      <c r="D68" s="1182" t="s">
        <v>1468</v>
      </c>
      <c r="E68" s="1167" t="s">
        <v>1469</v>
      </c>
      <c r="F68" s="356">
        <f ca="1">F40</f>
        <v>0</v>
      </c>
      <c r="O68" s="1889" t="s">
        <v>1043</v>
      </c>
      <c r="P68" s="1929" t="s">
        <v>1582</v>
      </c>
      <c r="Q68" s="1881">
        <f ca="1">ROUND(Q69-Q70*Q71,0)</f>
        <v>0</v>
      </c>
      <c r="R68" s="1881" t="s">
        <v>1051</v>
      </c>
    </row>
    <row r="69" spans="1:18" s="1837" customFormat="1" ht="13.5" thickBot="1">
      <c r="A69" s="1168"/>
      <c r="B69" s="1169"/>
      <c r="C69" s="350"/>
      <c r="D69" s="1187" t="s">
        <v>1472</v>
      </c>
      <c r="E69" s="1167" t="s">
        <v>1473</v>
      </c>
      <c r="F69" s="378">
        <f ca="1">F41</f>
        <v>0</v>
      </c>
      <c r="O69" s="1889" t="s">
        <v>1048</v>
      </c>
      <c r="P69" s="1929" t="s">
        <v>1583</v>
      </c>
      <c r="Q69" s="1881">
        <f ca="1">C39</f>
        <v>0</v>
      </c>
      <c r="R69" s="1881" t="s">
        <v>1528</v>
      </c>
    </row>
    <row r="70" spans="1:18" s="1837" customFormat="1" ht="13.5" thickBot="1">
      <c r="A70" s="1171"/>
      <c r="B70" s="1172"/>
      <c r="C70" s="354"/>
      <c r="D70" s="1183"/>
      <c r="E70" s="1167" t="s">
        <v>1476</v>
      </c>
      <c r="F70" s="1273">
        <f ca="1">F42</f>
        <v>0</v>
      </c>
      <c r="O70" s="1889" t="s">
        <v>1049</v>
      </c>
      <c r="P70" s="1929" t="s">
        <v>1584</v>
      </c>
      <c r="Q70" s="1881">
        <f ca="1">C13</f>
        <v>0</v>
      </c>
      <c r="R70" s="1881" t="s">
        <v>1528</v>
      </c>
    </row>
    <row r="71" spans="1:18" s="1837" customFormat="1" ht="13.5" thickBot="1">
      <c r="A71" s="1188" t="s">
        <v>1033</v>
      </c>
      <c r="B71" s="1189" t="s">
        <v>1486</v>
      </c>
      <c r="C71" s="381" t="e">
        <f ca="1">ROUND(C68/F71,0)</f>
        <v>#DIV/0!</v>
      </c>
      <c r="D71" s="1190" t="s">
        <v>1487</v>
      </c>
      <c r="E71" s="1191" t="s">
        <v>1488</v>
      </c>
      <c r="F71" s="384">
        <f ca="1">F43</f>
        <v>0</v>
      </c>
      <c r="O71" s="1889" t="s">
        <v>1050</v>
      </c>
      <c r="P71" s="1929" t="s">
        <v>1585</v>
      </c>
      <c r="Q71" s="1892">
        <f ca="1">C76</f>
        <v>0</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1046</v>
      </c>
      <c r="P75" s="1880" t="s">
        <v>1548</v>
      </c>
      <c r="Q75" s="1881" t="e">
        <f ca="1">Q65+Q66</f>
        <v>#DIV/0!</v>
      </c>
      <c r="R75" s="1881" t="s">
        <v>1047</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3060</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70" t="s">
        <v>1402</v>
      </c>
      <c r="C6" s="1294" t="e">
        <f ca="1">ROUND(F6*F8*F7*(1-F9)/10000,0)</f>
        <v>#N/A</v>
      </c>
      <c r="D6" s="163" t="s">
        <v>3014</v>
      </c>
      <c r="E6" s="346" t="s">
        <v>1404</v>
      </c>
      <c r="F6" s="347" t="e">
        <f ca="1">INDIRECT("'数据-取费表'!u"&amp;$G$1)</f>
        <v>#N/A</v>
      </c>
      <c r="G6" s="1846"/>
      <c r="H6" s="1289" t="s">
        <v>1035</v>
      </c>
      <c r="I6" s="3270" t="s">
        <v>1402</v>
      </c>
      <c r="J6" s="345" t="e">
        <f ca="1">ROUND(M6*M8*M7*(1-M9)/10000,0)</f>
        <v>#N/A</v>
      </c>
      <c r="K6" s="163" t="s">
        <v>3013</v>
      </c>
      <c r="L6" s="346" t="s">
        <v>1404</v>
      </c>
      <c r="M6" s="347" t="e">
        <f ca="1">INDIRECT("'数据-取费表'!z"&amp;$G$1)</f>
        <v>#N/A</v>
      </c>
    </row>
    <row r="7" spans="1:37" ht="18" customHeight="1">
      <c r="A7" s="1293"/>
      <c r="B7" s="3271"/>
      <c r="C7" s="1295"/>
      <c r="D7" s="351"/>
      <c r="E7" s="2936" t="s">
        <v>1405</v>
      </c>
      <c r="F7" s="347" t="e">
        <f ca="1">IF(INDIRECT("'数据-取费表'!ah"&amp;$G$1)="",INDIRECT("'数据-取费表'!k"&amp;$G$1),INDIRECT("'数据-取费表'!ah"&amp;$G$1))</f>
        <v>#N/A</v>
      </c>
      <c r="G7" s="1846"/>
      <c r="H7" s="348"/>
      <c r="I7" s="3271"/>
      <c r="J7" s="350"/>
      <c r="K7" s="351"/>
      <c r="L7" s="346" t="s">
        <v>1405</v>
      </c>
      <c r="M7" s="347" t="e">
        <f ca="1">F7</f>
        <v>#N/A</v>
      </c>
    </row>
    <row r="8" spans="1:37" ht="18" customHeight="1">
      <c r="A8" s="348"/>
      <c r="B8" s="3271"/>
      <c r="C8" s="350"/>
      <c r="D8" s="351"/>
      <c r="E8" s="346" t="s">
        <v>1406</v>
      </c>
      <c r="F8" s="347" t="e">
        <f ca="1">INDIRECT("'数据-取费表'!ai"&amp;$G$1)</f>
        <v>#N/A</v>
      </c>
      <c r="G8" s="1846"/>
      <c r="H8" s="348"/>
      <c r="I8" s="3271"/>
      <c r="J8" s="350"/>
      <c r="K8" s="351"/>
      <c r="L8" s="346" t="s">
        <v>1406</v>
      </c>
      <c r="M8" s="347" t="e">
        <f ca="1">INDIRECT("'数据-取费表'!ai"&amp;$G$1)</f>
        <v>#N/A</v>
      </c>
    </row>
    <row r="9" spans="1:37" ht="18" customHeight="1">
      <c r="A9" s="348"/>
      <c r="B9" s="3272"/>
      <c r="C9" s="350"/>
      <c r="D9" s="351"/>
      <c r="E9" s="346" t="s">
        <v>1407</v>
      </c>
      <c r="F9" s="356" t="e">
        <f ca="1">INDIRECT("'数据-取费表'!w"&amp;$G$1)</f>
        <v>#N/A</v>
      </c>
      <c r="G9" s="1846"/>
      <c r="H9" s="348"/>
      <c r="I9" s="3272"/>
      <c r="J9" s="350"/>
      <c r="K9" s="351"/>
      <c r="L9" s="357" t="s">
        <v>1407</v>
      </c>
      <c r="M9" s="358" t="e">
        <f ca="1">INDIRECT("'数据-取费表'!ab"&amp;$G$1)</f>
        <v>#N/A</v>
      </c>
    </row>
    <row r="10" spans="1:37" ht="18" customHeight="1">
      <c r="A10" s="1289" t="s">
        <v>1039</v>
      </c>
      <c r="B10" s="1818" t="s">
        <v>1408</v>
      </c>
      <c r="C10" s="360">
        <f ca="1">ROUND(IF(F10="押一",C6/12*F11,IF(F10="押二",C6/12*2*F11,IF(F10="押三",C6/12*3*F11,C11*F11))),0)</f>
        <v>0</v>
      </c>
      <c r="D10" s="1819" t="s">
        <v>3022</v>
      </c>
      <c r="E10" s="357" t="s">
        <v>1409</v>
      </c>
      <c r="F10" s="1363" t="s">
        <v>3132</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3133</v>
      </c>
      <c r="E33" s="346" t="s">
        <v>1421</v>
      </c>
      <c r="F33" s="366">
        <f>IF(D33="按票据","——",IF(D33="按租金收入计税",'数据-取费表'!B51,'数据-取费表'!B50))</f>
        <v>0.12</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8" t="s">
        <v>1547</v>
      </c>
      <c r="L53" s="3269"/>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f t="shared" si="0"/>
        <v>0.12</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昆仑信托有限责任公司：</v>
      </c>
    </row>
    <row r="4" spans="1:1" ht="36">
      <c r="A4" s="1943" t="str">
        <f>"受贵公司委托，我公司对"&amp;项目基本情况!S1&amp;"进行了预评估。"</f>
        <v>受贵公司委托，我公司对重庆市南岸区江南大道69号（南坪街道南坪南路318号）房地产房地产抵押价值进行了预评估。</v>
      </c>
    </row>
    <row r="5" spans="1:1" ht="18.75">
      <c r="A5" s="1944" t="s">
        <v>1611</v>
      </c>
    </row>
    <row r="6" spans="1:1" ht="18.75">
      <c r="A6" s="1945" t="s">
        <v>1612</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7.75">
      <c r="A8" s="1946" t="s">
        <v>1613</v>
      </c>
    </row>
    <row r="9" spans="1:1" ht="18.75">
      <c r="A9" s="1945" t="s">
        <v>1614</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2021年4月26日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1608</v>
      </c>
    </row>
    <row r="24" spans="1:1" ht="18">
      <c r="A24" s="1950" t="str">
        <f>"本次评估采用的主估价方法为"&amp;结果表!K4&amp;"和"&amp;结果表!L4&amp;"。"</f>
        <v>本次评估采用的主估价方法为成本法和收益法。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3062</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70" t="s">
        <v>1402</v>
      </c>
      <c r="C6" s="1294" t="e">
        <f ca="1">ROUND(F6*F8*F7*(1-F9)/10000,0)</f>
        <v>#N/A</v>
      </c>
      <c r="D6" s="163" t="s">
        <v>3014</v>
      </c>
      <c r="E6" s="346" t="s">
        <v>1404</v>
      </c>
      <c r="F6" s="347" t="e">
        <f ca="1">INDIRECT("'数据-取费表'!u"&amp;$G$1)</f>
        <v>#N/A</v>
      </c>
      <c r="G6" s="1846"/>
      <c r="H6" s="1289" t="s">
        <v>1035</v>
      </c>
      <c r="I6" s="3270" t="s">
        <v>1402</v>
      </c>
      <c r="J6" s="345" t="e">
        <f ca="1">ROUND(M6*M8*M7*(1-M9)/10000,0)</f>
        <v>#N/A</v>
      </c>
      <c r="K6" s="163" t="s">
        <v>3013</v>
      </c>
      <c r="L6" s="346" t="s">
        <v>1404</v>
      </c>
      <c r="M6" s="347" t="e">
        <f ca="1">INDIRECT("'数据-取费表'!z"&amp;$G$1)</f>
        <v>#N/A</v>
      </c>
    </row>
    <row r="7" spans="1:37" ht="18" customHeight="1">
      <c r="A7" s="1293"/>
      <c r="B7" s="3271"/>
      <c r="C7" s="1295"/>
      <c r="D7" s="351"/>
      <c r="E7" s="2936" t="s">
        <v>1405</v>
      </c>
      <c r="F7" s="347" t="e">
        <f ca="1">IF(INDIRECT("'数据-取费表'!ah"&amp;$G$1)="",INDIRECT("'数据-取费表'!k"&amp;$G$1),INDIRECT("'数据-取费表'!ah"&amp;$G$1))</f>
        <v>#N/A</v>
      </c>
      <c r="G7" s="1846"/>
      <c r="H7" s="348"/>
      <c r="I7" s="3271"/>
      <c r="J7" s="350"/>
      <c r="K7" s="351"/>
      <c r="L7" s="346" t="s">
        <v>1405</v>
      </c>
      <c r="M7" s="347" t="e">
        <f ca="1">F7</f>
        <v>#N/A</v>
      </c>
    </row>
    <row r="8" spans="1:37" ht="18" customHeight="1">
      <c r="A8" s="348"/>
      <c r="B8" s="3271"/>
      <c r="C8" s="350"/>
      <c r="D8" s="351"/>
      <c r="E8" s="346" t="s">
        <v>1406</v>
      </c>
      <c r="F8" s="347" t="e">
        <f ca="1">INDIRECT("'数据-取费表'!ai"&amp;$G$1)</f>
        <v>#N/A</v>
      </c>
      <c r="G8" s="1846"/>
      <c r="H8" s="348"/>
      <c r="I8" s="3271"/>
      <c r="J8" s="350"/>
      <c r="K8" s="351"/>
      <c r="L8" s="346" t="s">
        <v>1406</v>
      </c>
      <c r="M8" s="347" t="e">
        <f ca="1">INDIRECT("'数据-取费表'!ai"&amp;$G$1)</f>
        <v>#N/A</v>
      </c>
    </row>
    <row r="9" spans="1:37" ht="18" customHeight="1">
      <c r="A9" s="348"/>
      <c r="B9" s="3272"/>
      <c r="C9" s="350"/>
      <c r="D9" s="351"/>
      <c r="E9" s="346" t="s">
        <v>1407</v>
      </c>
      <c r="F9" s="356" t="e">
        <f ca="1">INDIRECT("'数据-取费表'!w"&amp;$G$1)</f>
        <v>#N/A</v>
      </c>
      <c r="G9" s="1846"/>
      <c r="H9" s="348"/>
      <c r="I9" s="3272"/>
      <c r="J9" s="350"/>
      <c r="K9" s="351"/>
      <c r="L9" s="357" t="s">
        <v>1407</v>
      </c>
      <c r="M9" s="358" t="e">
        <f ca="1">INDIRECT("'数据-取费表'!ab"&amp;$G$1)</f>
        <v>#N/A</v>
      </c>
    </row>
    <row r="10" spans="1:37" ht="18" customHeight="1">
      <c r="A10" s="1289" t="s">
        <v>1039</v>
      </c>
      <c r="B10" s="1818" t="s">
        <v>1408</v>
      </c>
      <c r="C10" s="360" t="e">
        <f ca="1">ROUND(IF(F10="押一",C6/12*F11,IF(F10="押二",C6/12*2*F11,IF(F10="押三",C6/12*3*F11,C11*F11))),0)</f>
        <v>#N/A</v>
      </c>
      <c r="D10" s="1819" t="s">
        <v>3022</v>
      </c>
      <c r="E10" s="357" t="s">
        <v>1409</v>
      </c>
      <c r="F10" s="1363" t="s">
        <v>3140</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8" t="s">
        <v>1547</v>
      </c>
      <c r="L53" s="3269"/>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t="str">
        <f t="shared" si="0"/>
        <v>——</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8"/>
  <sheetViews>
    <sheetView topLeftCell="D163" workbookViewId="0">
      <selection activeCell="L42" sqref="L42"/>
    </sheetView>
  </sheetViews>
  <sheetFormatPr defaultRowHeight="13.5"/>
  <cols>
    <col min="1" max="1" width="10.5" customWidth="1"/>
    <col min="2" max="2" width="12.875" customWidth="1"/>
    <col min="3" max="3" width="8.75" customWidth="1"/>
  </cols>
  <sheetData>
    <row r="1" spans="1:19" ht="14.25">
      <c r="A1" s="3289" t="s">
        <v>1076</v>
      </c>
      <c r="B1" s="3290"/>
      <c r="C1" s="3291"/>
      <c r="D1" s="3292">
        <f>SUM(I10,I15,I20,I21,I23)</f>
        <v>1773.6000000000001</v>
      </c>
      <c r="E1" s="3292"/>
      <c r="F1" s="3292"/>
      <c r="G1" s="3292"/>
      <c r="H1" s="3292"/>
      <c r="I1" s="3293"/>
    </row>
    <row r="2" spans="1:19">
      <c r="A2" s="3279" t="s">
        <v>1077</v>
      </c>
      <c r="B2" s="3273" t="s">
        <v>1078</v>
      </c>
      <c r="C2" s="3273"/>
      <c r="D2" s="2943" t="s">
        <v>1079</v>
      </c>
      <c r="E2" s="2943" t="s">
        <v>1080</v>
      </c>
      <c r="F2" s="2943" t="s">
        <v>1081</v>
      </c>
      <c r="G2" s="2943" t="s">
        <v>1082</v>
      </c>
      <c r="H2" s="2943" t="s">
        <v>1083</v>
      </c>
      <c r="I2" s="1299" t="s">
        <v>1084</v>
      </c>
    </row>
    <row r="3" spans="1:19">
      <c r="A3" s="3279"/>
      <c r="B3" s="3273" t="s">
        <v>3146</v>
      </c>
      <c r="C3" s="3273"/>
      <c r="D3" s="1300">
        <v>17</v>
      </c>
      <c r="E3" s="2943">
        <v>250</v>
      </c>
      <c r="F3" s="1301">
        <v>1</v>
      </c>
      <c r="G3" s="1301">
        <v>0.65</v>
      </c>
      <c r="H3" s="1302">
        <v>365</v>
      </c>
      <c r="I3" s="1303">
        <f>ROUND(D3*E3*F3*G3*H3/10000,0)</f>
        <v>101</v>
      </c>
    </row>
    <row r="4" spans="1:19">
      <c r="A4" s="3279"/>
      <c r="B4" s="3273" t="s">
        <v>3147</v>
      </c>
      <c r="C4" s="3273"/>
      <c r="D4" s="1300">
        <v>110</v>
      </c>
      <c r="E4" s="2943">
        <v>250</v>
      </c>
      <c r="F4" s="1301">
        <v>1</v>
      </c>
      <c r="G4" s="1301">
        <v>0.65</v>
      </c>
      <c r="H4" s="1302">
        <v>365</v>
      </c>
      <c r="I4" s="1303">
        <f t="shared" ref="I4:I9" si="0">ROUND(D4*E4*F4*G4*H4/10000,0)</f>
        <v>652</v>
      </c>
    </row>
    <row r="5" spans="1:19">
      <c r="A5" s="3279"/>
      <c r="B5" s="3273" t="s">
        <v>3148</v>
      </c>
      <c r="C5" s="3273"/>
      <c r="D5" s="1300">
        <v>20</v>
      </c>
      <c r="E5" s="2943">
        <v>250</v>
      </c>
      <c r="F5" s="1301">
        <v>1</v>
      </c>
      <c r="G5" s="1301">
        <v>0.65</v>
      </c>
      <c r="H5" s="1302">
        <v>365</v>
      </c>
      <c r="I5" s="1303">
        <f t="shared" si="0"/>
        <v>119</v>
      </c>
    </row>
    <row r="6" spans="1:19">
      <c r="A6" s="3279"/>
      <c r="B6" s="3273" t="s">
        <v>3149</v>
      </c>
      <c r="C6" s="3273"/>
      <c r="D6" s="1300">
        <v>10</v>
      </c>
      <c r="E6" s="2943">
        <v>450</v>
      </c>
      <c r="F6" s="1301">
        <v>1</v>
      </c>
      <c r="G6" s="1301">
        <v>0.65</v>
      </c>
      <c r="H6" s="1302">
        <v>365</v>
      </c>
      <c r="I6" s="1303">
        <f t="shared" si="0"/>
        <v>107</v>
      </c>
    </row>
    <row r="7" spans="1:19">
      <c r="A7" s="3279"/>
      <c r="B7" s="3273" t="s">
        <v>3150</v>
      </c>
      <c r="C7" s="3273"/>
      <c r="D7" s="1300">
        <v>2</v>
      </c>
      <c r="E7" s="2943">
        <v>450</v>
      </c>
      <c r="F7" s="1301">
        <v>1</v>
      </c>
      <c r="G7" s="1301">
        <v>0.65</v>
      </c>
      <c r="H7" s="1302">
        <v>365</v>
      </c>
      <c r="I7" s="1303">
        <f t="shared" si="0"/>
        <v>21</v>
      </c>
    </row>
    <row r="8" spans="1:19">
      <c r="A8" s="3279"/>
      <c r="B8" s="3273" t="s">
        <v>3151</v>
      </c>
      <c r="C8" s="3273"/>
      <c r="D8" s="1300">
        <v>1</v>
      </c>
      <c r="E8" s="2943">
        <v>900</v>
      </c>
      <c r="F8" s="1301">
        <v>1</v>
      </c>
      <c r="G8" s="1301">
        <v>0.65</v>
      </c>
      <c r="H8" s="1302">
        <v>365</v>
      </c>
      <c r="I8" s="1303">
        <f t="shared" si="0"/>
        <v>21</v>
      </c>
    </row>
    <row r="9" spans="1:19">
      <c r="A9" s="3279"/>
      <c r="B9" s="3273" t="s">
        <v>3152</v>
      </c>
      <c r="C9" s="3273"/>
      <c r="D9" s="1300">
        <v>1</v>
      </c>
      <c r="E9" s="2943">
        <v>877</v>
      </c>
      <c r="F9" s="1301">
        <v>1</v>
      </c>
      <c r="G9" s="1301">
        <v>0.65</v>
      </c>
      <c r="H9" s="1302">
        <v>365</v>
      </c>
      <c r="I9" s="1303">
        <f t="shared" si="0"/>
        <v>21</v>
      </c>
    </row>
    <row r="10" spans="1:19">
      <c r="A10" s="3279"/>
      <c r="B10" s="3274" t="s">
        <v>1092</v>
      </c>
      <c r="C10" s="3274"/>
      <c r="D10" s="1304"/>
      <c r="E10" s="1304" t="e">
        <f>ROUND(D1*10000/D10/H9,0)</f>
        <v>#DIV/0!</v>
      </c>
      <c r="F10" s="1305"/>
      <c r="G10" s="1305"/>
      <c r="H10" s="1306"/>
      <c r="I10" s="1307">
        <f>SUM(I3:I9)</f>
        <v>1042</v>
      </c>
    </row>
    <row r="11" spans="1:19" ht="14.25">
      <c r="A11" s="3279" t="s">
        <v>1093</v>
      </c>
      <c r="B11" s="3273" t="s">
        <v>1094</v>
      </c>
      <c r="C11" s="3273"/>
      <c r="D11" s="1300" t="s">
        <v>1095</v>
      </c>
      <c r="E11" s="1300" t="s">
        <v>1096</v>
      </c>
      <c r="F11" s="1301" t="s">
        <v>1097</v>
      </c>
      <c r="G11" s="1301" t="s">
        <v>1083</v>
      </c>
      <c r="H11" s="1308" t="s">
        <v>555</v>
      </c>
      <c r="I11" s="1299" t="s">
        <v>1084</v>
      </c>
      <c r="K11" s="3279" t="s">
        <v>1093</v>
      </c>
      <c r="L11" s="3273" t="s">
        <v>1094</v>
      </c>
      <c r="M11" s="3273"/>
      <c r="N11" s="1300" t="s">
        <v>1095</v>
      </c>
      <c r="O11" s="1300" t="s">
        <v>1096</v>
      </c>
      <c r="P11" s="1301" t="s">
        <v>1097</v>
      </c>
      <c r="Q11" s="1301" t="s">
        <v>1083</v>
      </c>
      <c r="R11" s="1308" t="s">
        <v>555</v>
      </c>
      <c r="S11" s="1299" t="s">
        <v>1084</v>
      </c>
    </row>
    <row r="12" spans="1:19">
      <c r="A12" s="3279"/>
      <c r="B12" s="3273" t="s">
        <v>1099</v>
      </c>
      <c r="C12" s="3273"/>
      <c r="D12" s="1300"/>
      <c r="E12" s="1300"/>
      <c r="F12" s="1301"/>
      <c r="G12" s="1302"/>
      <c r="H12" s="1309"/>
      <c r="I12" s="1299">
        <f>ROUND(D12*E12*F12*G12/10000,0)</f>
        <v>0</v>
      </c>
      <c r="K12" s="3279"/>
      <c r="L12" s="3273" t="s">
        <v>3153</v>
      </c>
      <c r="M12" s="3273"/>
      <c r="N12" s="1300">
        <v>110</v>
      </c>
      <c r="O12" s="1300"/>
      <c r="P12" s="1301"/>
      <c r="Q12" s="1302"/>
      <c r="R12" s="1309"/>
      <c r="S12" s="1299">
        <f>ROUND(N12*O12*P12*Q12/10000,0)</f>
        <v>0</v>
      </c>
    </row>
    <row r="13" spans="1:19">
      <c r="A13" s="3279"/>
      <c r="B13" s="3273" t="s">
        <v>1100</v>
      </c>
      <c r="C13" s="3273"/>
      <c r="D13" s="1300"/>
      <c r="E13" s="1300"/>
      <c r="F13" s="1301"/>
      <c r="G13" s="1302"/>
      <c r="H13" s="1309"/>
      <c r="I13" s="1299">
        <f>ROUND(D13*E13*F13*G13/10000,0)</f>
        <v>0</v>
      </c>
      <c r="K13" s="3279"/>
      <c r="L13" s="3273" t="s">
        <v>3154</v>
      </c>
      <c r="M13" s="3273"/>
      <c r="N13" s="1300">
        <v>110</v>
      </c>
      <c r="O13" s="1300"/>
      <c r="P13" s="1301"/>
      <c r="Q13" s="1302"/>
      <c r="R13" s="1309"/>
      <c r="S13" s="1299">
        <f>ROUND(N13*O13*P13*Q13/10000,0)</f>
        <v>0</v>
      </c>
    </row>
    <row r="14" spans="1:19">
      <c r="A14" s="3279"/>
      <c r="B14" s="3273" t="s">
        <v>1101</v>
      </c>
      <c r="C14" s="3273"/>
      <c r="D14" s="1300"/>
      <c r="E14" s="1300"/>
      <c r="F14" s="1301"/>
      <c r="G14" s="1302"/>
      <c r="H14" s="1309"/>
      <c r="I14" s="1299">
        <f>ROUND(D14*E14*F14*G14/10000,0)</f>
        <v>0</v>
      </c>
      <c r="K14" s="3279"/>
      <c r="L14" s="3273" t="s">
        <v>1101</v>
      </c>
      <c r="M14" s="3273"/>
      <c r="N14" s="1300"/>
      <c r="O14" s="1300"/>
      <c r="P14" s="1301"/>
      <c r="Q14" s="1302"/>
      <c r="R14" s="1309"/>
      <c r="S14" s="1299">
        <f>ROUND(N14*O14*P14*Q14/10000,0)</f>
        <v>0</v>
      </c>
    </row>
    <row r="15" spans="1:19">
      <c r="A15" s="3279"/>
      <c r="B15" s="3274" t="s">
        <v>1092</v>
      </c>
      <c r="C15" s="3274"/>
      <c r="D15" s="1304"/>
      <c r="E15" s="1304">
        <f>SUM(E12:E14)</f>
        <v>0</v>
      </c>
      <c r="F15" s="1305"/>
      <c r="G15" s="1302"/>
      <c r="H15" s="1309"/>
      <c r="I15" s="1310">
        <v>417.2</v>
      </c>
      <c r="K15" s="3279"/>
      <c r="L15" s="3274" t="s">
        <v>1092</v>
      </c>
      <c r="M15" s="3274"/>
      <c r="N15" s="1304"/>
      <c r="O15" s="1304">
        <f>SUM(O12:O14)</f>
        <v>0</v>
      </c>
      <c r="P15" s="1305"/>
      <c r="Q15" s="1302"/>
      <c r="R15" s="1309"/>
      <c r="S15" s="1310">
        <v>891.34</v>
      </c>
    </row>
    <row r="16" spans="1:19" ht="24">
      <c r="A16" s="3279" t="s">
        <v>1102</v>
      </c>
      <c r="B16" s="3273" t="s">
        <v>1103</v>
      </c>
      <c r="C16" s="3273"/>
      <c r="D16" s="1300" t="s">
        <v>1079</v>
      </c>
      <c r="E16" s="1311" t="s">
        <v>1104</v>
      </c>
      <c r="F16" s="1301" t="s">
        <v>1105</v>
      </c>
      <c r="G16" s="1302" t="s">
        <v>1083</v>
      </c>
      <c r="H16" s="1308" t="s">
        <v>555</v>
      </c>
      <c r="I16" s="1299" t="s">
        <v>1084</v>
      </c>
      <c r="K16" s="3279" t="s">
        <v>1102</v>
      </c>
      <c r="L16" s="3273" t="s">
        <v>1103</v>
      </c>
      <c r="M16" s="3273"/>
      <c r="N16" s="1300" t="s">
        <v>1079</v>
      </c>
      <c r="O16" s="1311" t="s">
        <v>1104</v>
      </c>
      <c r="P16" s="1301" t="s">
        <v>1105</v>
      </c>
      <c r="Q16" s="1302" t="s">
        <v>1083</v>
      </c>
      <c r="R16" s="1308" t="s">
        <v>555</v>
      </c>
      <c r="S16" s="1299" t="s">
        <v>1084</v>
      </c>
    </row>
    <row r="17" spans="1:19" ht="14.25">
      <c r="A17" s="3279"/>
      <c r="B17" s="3273" t="s">
        <v>1106</v>
      </c>
      <c r="C17" s="3273"/>
      <c r="D17" s="1300"/>
      <c r="E17" s="1300"/>
      <c r="F17" s="1301"/>
      <c r="G17" s="1302"/>
      <c r="H17" s="1312"/>
      <c r="I17" s="1313">
        <f>ROUND(D17*E17*F17*G17/10000,0)</f>
        <v>0</v>
      </c>
      <c r="K17" s="3279"/>
      <c r="L17" s="3273" t="s">
        <v>1106</v>
      </c>
      <c r="M17" s="3273"/>
      <c r="N17" s="1300"/>
      <c r="O17" s="1300"/>
      <c r="P17" s="1301"/>
      <c r="Q17" s="1302"/>
      <c r="R17" s="1312"/>
      <c r="S17" s="1313">
        <f>ROUND(N17*O17*P17*Q17/10000,0)</f>
        <v>0</v>
      </c>
    </row>
    <row r="18" spans="1:19" ht="14.25">
      <c r="A18" s="3279"/>
      <c r="B18" s="3273" t="s">
        <v>1107</v>
      </c>
      <c r="C18" s="3273"/>
      <c r="D18" s="1300"/>
      <c r="E18" s="1300"/>
      <c r="F18" s="1301"/>
      <c r="G18" s="1302"/>
      <c r="H18" s="1312"/>
      <c r="I18" s="1313">
        <f>ROUND(D18*E18*F18*G18/10000,0)</f>
        <v>0</v>
      </c>
      <c r="K18" s="3279"/>
      <c r="L18" s="3273" t="s">
        <v>1107</v>
      </c>
      <c r="M18" s="3273"/>
      <c r="N18" s="1300"/>
      <c r="O18" s="1300"/>
      <c r="P18" s="1301"/>
      <c r="Q18" s="1302"/>
      <c r="R18" s="1312"/>
      <c r="S18" s="1313">
        <f>ROUND(N18*O18*P18*Q18/10000,0)</f>
        <v>0</v>
      </c>
    </row>
    <row r="19" spans="1:19" ht="14.25">
      <c r="A19" s="3279"/>
      <c r="B19" s="3273" t="s">
        <v>1108</v>
      </c>
      <c r="C19" s="3273"/>
      <c r="D19" s="1300"/>
      <c r="E19" s="1300"/>
      <c r="F19" s="1301"/>
      <c r="G19" s="1302"/>
      <c r="H19" s="1312"/>
      <c r="I19" s="1313">
        <f>ROUND(D19*E19*F19*G19/10000,0)</f>
        <v>0</v>
      </c>
      <c r="K19" s="3279"/>
      <c r="L19" s="3273" t="s">
        <v>1108</v>
      </c>
      <c r="M19" s="3273"/>
      <c r="N19" s="1300"/>
      <c r="O19" s="1300"/>
      <c r="P19" s="1301"/>
      <c r="Q19" s="1302"/>
      <c r="R19" s="1312"/>
      <c r="S19" s="1313">
        <f>ROUND(N19*O19*P19*Q19/10000,0)</f>
        <v>0</v>
      </c>
    </row>
    <row r="20" spans="1:19">
      <c r="A20" s="3279"/>
      <c r="B20" s="3274" t="s">
        <v>1092</v>
      </c>
      <c r="C20" s="3274"/>
      <c r="D20" s="1304">
        <f>SUM(D17:D19)</f>
        <v>0</v>
      </c>
      <c r="E20" s="1304"/>
      <c r="F20" s="1305"/>
      <c r="G20" s="1302"/>
      <c r="H20" s="1309"/>
      <c r="I20" s="1310">
        <v>158.4</v>
      </c>
      <c r="K20" s="3279"/>
      <c r="L20" s="3274" t="s">
        <v>1092</v>
      </c>
      <c r="M20" s="3274"/>
      <c r="N20" s="1304">
        <f>SUM(N17:N19)</f>
        <v>0</v>
      </c>
      <c r="O20" s="1304"/>
      <c r="P20" s="1305"/>
      <c r="Q20" s="1302"/>
      <c r="R20" s="1309"/>
      <c r="S20" s="1310">
        <v>60.48</v>
      </c>
    </row>
    <row r="21" spans="1:19">
      <c r="A21" s="3279" t="s">
        <v>1109</v>
      </c>
      <c r="B21" s="3281"/>
      <c r="C21" s="3281"/>
      <c r="D21" s="3281"/>
      <c r="E21" s="3281"/>
      <c r="F21" s="3281"/>
      <c r="G21" s="3281"/>
      <c r="H21" s="1760">
        <v>0.15</v>
      </c>
      <c r="I21" s="1307">
        <f>ROUND(I10*H21,0)</f>
        <v>156</v>
      </c>
    </row>
    <row r="22" spans="1:19" ht="14.25">
      <c r="A22" s="3282" t="s">
        <v>1110</v>
      </c>
      <c r="B22" s="3283"/>
      <c r="C22" s="3284"/>
      <c r="D22" s="1314" t="s">
        <v>1111</v>
      </c>
      <c r="E22" s="1314" t="s">
        <v>1112</v>
      </c>
      <c r="F22" s="1315" t="s">
        <v>1083</v>
      </c>
      <c r="G22" s="1315" t="s">
        <v>1114</v>
      </c>
      <c r="H22" s="1308" t="s">
        <v>555</v>
      </c>
      <c r="I22" s="1299" t="s">
        <v>1084</v>
      </c>
      <c r="S22">
        <f>S20+S15</f>
        <v>951.82</v>
      </c>
    </row>
    <row r="23" spans="1:19" ht="14.25" thickBot="1">
      <c r="A23" s="3285"/>
      <c r="B23" s="3286"/>
      <c r="C23" s="3287"/>
      <c r="D23" s="1316"/>
      <c r="E23" s="1316"/>
      <c r="F23" s="1316"/>
      <c r="G23" s="1317"/>
      <c r="H23" s="1318"/>
      <c r="I23" s="1319">
        <f>ROUND(E23*D23*F23*(1-G23)/10000,0)</f>
        <v>0</v>
      </c>
    </row>
    <row r="25" spans="1:19">
      <c r="E25">
        <f>E26</f>
        <v>1241.52</v>
      </c>
    </row>
    <row r="26" spans="1:19">
      <c r="A26" s="1320" t="s">
        <v>1117</v>
      </c>
      <c r="B26" s="1320"/>
      <c r="C26" s="1320"/>
      <c r="D26" s="1320"/>
      <c r="E26" s="3278">
        <f>C27-C30-C31-C32</f>
        <v>1241.52</v>
      </c>
      <c r="F26" s="3278"/>
      <c r="G26" s="3278"/>
      <c r="H26" s="1732" t="s">
        <v>1339</v>
      </c>
    </row>
    <row r="27" spans="1:19">
      <c r="A27" s="2945">
        <v>1</v>
      </c>
      <c r="B27" s="2944" t="s">
        <v>1118</v>
      </c>
      <c r="C27" s="2944">
        <f>C28+C29</f>
        <v>1773.6</v>
      </c>
      <c r="D27" s="2944"/>
      <c r="E27" s="3280"/>
      <c r="F27" s="3280"/>
      <c r="G27" s="3280"/>
    </row>
    <row r="28" spans="1:19">
      <c r="A28" s="1323" t="s">
        <v>1119</v>
      </c>
      <c r="B28" s="2944" t="s">
        <v>1120</v>
      </c>
      <c r="C28" s="2944">
        <f>I10</f>
        <v>1042</v>
      </c>
      <c r="D28" s="2944"/>
      <c r="E28" s="3280"/>
      <c r="F28" s="3280"/>
      <c r="G28" s="3280"/>
    </row>
    <row r="29" spans="1:19">
      <c r="A29" s="1323" t="s">
        <v>1121</v>
      </c>
      <c r="B29" s="2944" t="s">
        <v>1122</v>
      </c>
      <c r="C29" s="2944">
        <f>I15+I20+I21</f>
        <v>731.6</v>
      </c>
      <c r="D29" s="2944"/>
      <c r="E29" s="2944" t="s">
        <v>1123</v>
      </c>
      <c r="F29" s="2944"/>
      <c r="G29" s="2944"/>
    </row>
    <row r="30" spans="1:19">
      <c r="A30" s="2945">
        <v>2</v>
      </c>
      <c r="B30" s="2944" t="s">
        <v>1124</v>
      </c>
      <c r="C30" s="2944">
        <f>C27*D30</f>
        <v>354.72</v>
      </c>
      <c r="D30" s="1324">
        <v>0.2</v>
      </c>
      <c r="E30" s="2944" t="s">
        <v>1125</v>
      </c>
      <c r="F30" s="2944"/>
      <c r="G30" s="2944"/>
    </row>
    <row r="31" spans="1:19">
      <c r="A31" s="2945">
        <v>3</v>
      </c>
      <c r="B31" s="2944" t="s">
        <v>1126</v>
      </c>
      <c r="C31" s="2944">
        <f>C25*D31</f>
        <v>0</v>
      </c>
      <c r="D31" s="1324">
        <v>0.15</v>
      </c>
      <c r="E31" s="2944" t="s">
        <v>1127</v>
      </c>
      <c r="F31" s="2944"/>
      <c r="G31" s="2944"/>
    </row>
    <row r="32" spans="1:19">
      <c r="A32" s="2945">
        <v>4</v>
      </c>
      <c r="B32" s="2944" t="s">
        <v>1128</v>
      </c>
      <c r="C32" s="2944">
        <f>C27*D32</f>
        <v>177.36</v>
      </c>
      <c r="D32" s="1324">
        <v>0.1</v>
      </c>
      <c r="E32" s="3288"/>
      <c r="F32" s="3288"/>
      <c r="G32" s="3288"/>
    </row>
    <row r="33" spans="1:7" hidden="1">
      <c r="A33" s="3275" t="s">
        <v>1129</v>
      </c>
      <c r="B33" s="3276"/>
      <c r="C33" s="3276"/>
      <c r="D33" s="3277"/>
      <c r="E33" s="3278"/>
      <c r="F33" s="3278"/>
      <c r="G33" s="3278"/>
    </row>
    <row r="34" spans="1:7" hidden="1">
      <c r="A34" s="1325">
        <v>1</v>
      </c>
      <c r="B34" s="2944" t="s">
        <v>1130</v>
      </c>
      <c r="C34" s="2944"/>
      <c r="D34" s="2944"/>
      <c r="E34" s="3280"/>
      <c r="F34" s="3280"/>
      <c r="G34" s="3280"/>
    </row>
    <row r="35" spans="1:7" hidden="1">
      <c r="A35" s="1325">
        <v>2</v>
      </c>
      <c r="B35" s="2944" t="s">
        <v>1131</v>
      </c>
      <c r="C35" s="2944"/>
      <c r="D35" s="2944"/>
      <c r="E35" s="3280"/>
      <c r="F35" s="3280"/>
      <c r="G35" s="3280"/>
    </row>
    <row r="36" spans="1:7" hidden="1">
      <c r="A36" s="1325">
        <v>3</v>
      </c>
      <c r="B36" s="2944" t="s">
        <v>1132</v>
      </c>
      <c r="C36" s="2944"/>
      <c r="D36" s="2944"/>
      <c r="E36" s="3280"/>
      <c r="F36" s="3280"/>
      <c r="G36" s="3280"/>
    </row>
    <row r="37" spans="1:7" hidden="1">
      <c r="A37" s="1325">
        <v>4</v>
      </c>
      <c r="B37" s="2944" t="s">
        <v>1133</v>
      </c>
      <c r="C37" s="2944"/>
      <c r="D37" s="2944"/>
      <c r="E37" s="3280"/>
      <c r="F37" s="3280"/>
      <c r="G37" s="3280"/>
    </row>
    <row r="38" spans="1:7" hidden="1">
      <c r="A38" s="3275" t="s">
        <v>1134</v>
      </c>
      <c r="B38" s="3276"/>
      <c r="C38" s="3276"/>
      <c r="D38" s="3277"/>
      <c r="E38" s="3278"/>
      <c r="F38" s="3278"/>
      <c r="G38" s="3278"/>
    </row>
  </sheetData>
  <mergeCells count="5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26:G26"/>
    <mergeCell ref="E27:G27"/>
    <mergeCell ref="E28:G28"/>
    <mergeCell ref="E32:G32"/>
    <mergeCell ref="A16:A20"/>
    <mergeCell ref="B16:C16"/>
    <mergeCell ref="B17:C17"/>
    <mergeCell ref="B18:C18"/>
    <mergeCell ref="B19:C19"/>
    <mergeCell ref="B20:C20"/>
    <mergeCell ref="K11:K15"/>
    <mergeCell ref="L11:M11"/>
    <mergeCell ref="L12:M12"/>
    <mergeCell ref="L13:M13"/>
    <mergeCell ref="L14:M14"/>
    <mergeCell ref="L15:M15"/>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zoomScale="85" zoomScaleNormal="85" workbookViewId="0">
      <selection activeCell="Q23" sqref="Q23"/>
    </sheetView>
  </sheetViews>
  <sheetFormatPr defaultRowHeight="13.5"/>
  <cols>
    <col min="1" max="1" width="10.5" customWidth="1"/>
    <col min="2" max="2" width="12.875" customWidth="1"/>
    <col min="3" max="3" width="8.75" customWidth="1"/>
  </cols>
  <sheetData>
    <row r="1" spans="1:14" ht="14.25">
      <c r="A1" s="3289" t="s">
        <v>1076</v>
      </c>
      <c r="B1" s="3290"/>
      <c r="C1" s="3291"/>
      <c r="D1" s="3292">
        <f>SUM(I6,I11,I17,I18,I20)</f>
        <v>2796</v>
      </c>
      <c r="E1" s="3292"/>
      <c r="F1" s="3292"/>
      <c r="G1" s="3292"/>
      <c r="H1" s="3292"/>
      <c r="I1" s="3293"/>
    </row>
    <row r="2" spans="1:14">
      <c r="A2" s="3279" t="s">
        <v>1077</v>
      </c>
      <c r="B2" s="3273" t="s">
        <v>1078</v>
      </c>
      <c r="C2" s="3273"/>
      <c r="D2" s="1298" t="s">
        <v>1079</v>
      </c>
      <c r="E2" s="1298" t="s">
        <v>1080</v>
      </c>
      <c r="F2" s="1298" t="s">
        <v>1081</v>
      </c>
      <c r="G2" s="1298" t="s">
        <v>1082</v>
      </c>
      <c r="H2" s="1298" t="s">
        <v>1083</v>
      </c>
      <c r="I2" s="1299" t="s">
        <v>1084</v>
      </c>
    </row>
    <row r="3" spans="1:14">
      <c r="A3" s="3279"/>
      <c r="B3" s="3273" t="s">
        <v>3156</v>
      </c>
      <c r="C3" s="3273"/>
      <c r="D3" s="1300">
        <v>37</v>
      </c>
      <c r="E3" s="1298">
        <v>288</v>
      </c>
      <c r="F3" s="1301">
        <v>1</v>
      </c>
      <c r="G3" s="1301">
        <v>0.6</v>
      </c>
      <c r="H3" s="1302">
        <v>365</v>
      </c>
      <c r="I3" s="1303">
        <f>ROUND(D3*E3*F3*G3*H3/10000,0)</f>
        <v>233</v>
      </c>
    </row>
    <row r="4" spans="1:14">
      <c r="A4" s="3279"/>
      <c r="B4" s="3273" t="s">
        <v>3155</v>
      </c>
      <c r="C4" s="3273"/>
      <c r="D4" s="1300">
        <v>202</v>
      </c>
      <c r="E4" s="1298">
        <v>248</v>
      </c>
      <c r="F4" s="1301">
        <v>1</v>
      </c>
      <c r="G4" s="1301">
        <f>G3</f>
        <v>0.6</v>
      </c>
      <c r="H4" s="1302">
        <v>365</v>
      </c>
      <c r="I4" s="1303">
        <f t="shared" ref="I4:I5" si="0">ROUND(D4*E4*F4*G4*H4/10000,0)</f>
        <v>1097</v>
      </c>
    </row>
    <row r="5" spans="1:14">
      <c r="A5" s="3279"/>
      <c r="B5" s="3273" t="s">
        <v>1086</v>
      </c>
      <c r="C5" s="3273"/>
      <c r="D5" s="1300">
        <v>12</v>
      </c>
      <c r="E5" s="1298">
        <v>488</v>
      </c>
      <c r="F5" s="1301">
        <v>1</v>
      </c>
      <c r="G5" s="1301">
        <f>G3</f>
        <v>0.6</v>
      </c>
      <c r="H5" s="1302">
        <v>365</v>
      </c>
      <c r="I5" s="1303">
        <f t="shared" si="0"/>
        <v>128</v>
      </c>
    </row>
    <row r="6" spans="1:14">
      <c r="A6" s="3279"/>
      <c r="B6" s="3274" t="s">
        <v>1092</v>
      </c>
      <c r="C6" s="3274"/>
      <c r="D6" s="1304"/>
      <c r="E6" s="1304" t="e">
        <f>ROUND(D1*10000/D6/#REF!,0)</f>
        <v>#DIV/0!</v>
      </c>
      <c r="F6" s="1305"/>
      <c r="G6" s="1305"/>
      <c r="H6" s="1306"/>
      <c r="I6" s="1307">
        <f>SUM(I3:I5)</f>
        <v>1458</v>
      </c>
    </row>
    <row r="7" spans="1:14" ht="14.25">
      <c r="A7" s="3279" t="s">
        <v>1093</v>
      </c>
      <c r="B7" s="3273" t="s">
        <v>1094</v>
      </c>
      <c r="C7" s="3273"/>
      <c r="D7" s="1300" t="s">
        <v>1095</v>
      </c>
      <c r="E7" s="1300" t="s">
        <v>1096</v>
      </c>
      <c r="F7" s="1301" t="s">
        <v>1097</v>
      </c>
      <c r="G7" s="1301" t="s">
        <v>1083</v>
      </c>
      <c r="H7" s="1308" t="s">
        <v>1098</v>
      </c>
      <c r="I7" s="1299" t="s">
        <v>1084</v>
      </c>
    </row>
    <row r="8" spans="1:14">
      <c r="A8" s="3279"/>
      <c r="B8" s="3273" t="s">
        <v>1099</v>
      </c>
      <c r="C8" s="3273"/>
      <c r="D8" s="1300"/>
      <c r="E8" s="1300">
        <v>1000</v>
      </c>
      <c r="F8" s="1301"/>
      <c r="G8" s="1302"/>
      <c r="H8" s="1309"/>
      <c r="I8" s="1299">
        <f>ROUND(D8*E8*F8*G8/10000,0)</f>
        <v>0</v>
      </c>
    </row>
    <row r="9" spans="1:14">
      <c r="A9" s="3279"/>
      <c r="B9" s="3273" t="s">
        <v>1100</v>
      </c>
      <c r="C9" s="3273"/>
      <c r="D9" s="1300"/>
      <c r="E9" s="1300"/>
      <c r="F9" s="1301"/>
      <c r="G9" s="1302"/>
      <c r="H9" s="1309"/>
      <c r="I9" s="1299">
        <f>ROUND(D9*E9*F9*G9/10000,0)</f>
        <v>0</v>
      </c>
      <c r="N9" s="2971"/>
    </row>
    <row r="10" spans="1:14">
      <c r="A10" s="3279"/>
      <c r="B10" s="3273" t="s">
        <v>1101</v>
      </c>
      <c r="C10" s="3273"/>
      <c r="D10" s="1300"/>
      <c r="E10" s="1300"/>
      <c r="F10" s="1301"/>
      <c r="G10" s="1302"/>
      <c r="H10" s="1309"/>
      <c r="I10" s="1299">
        <f>ROUND(D10*E10*F10*G10/10000,0)</f>
        <v>0</v>
      </c>
      <c r="N10" s="2971"/>
    </row>
    <row r="11" spans="1:14">
      <c r="A11" s="3279"/>
      <c r="B11" s="3274" t="s">
        <v>1092</v>
      </c>
      <c r="C11" s="3274"/>
      <c r="D11" s="1304"/>
      <c r="E11" s="1304">
        <f>SUM(E8:E10)</f>
        <v>1000</v>
      </c>
      <c r="F11" s="1305"/>
      <c r="G11" s="1302"/>
      <c r="H11" s="1760">
        <v>0.4</v>
      </c>
      <c r="I11" s="1310">
        <f>ROUND(I6*H11,0)</f>
        <v>583</v>
      </c>
      <c r="N11" s="2971"/>
    </row>
    <row r="12" spans="1:14" ht="24">
      <c r="A12" s="3279" t="s">
        <v>1102</v>
      </c>
      <c r="B12" s="3273" t="s">
        <v>1103</v>
      </c>
      <c r="C12" s="3273"/>
      <c r="D12" s="1300" t="s">
        <v>1079</v>
      </c>
      <c r="E12" s="1311" t="s">
        <v>1104</v>
      </c>
      <c r="F12" s="1301" t="s">
        <v>1105</v>
      </c>
      <c r="G12" s="1302" t="s">
        <v>1083</v>
      </c>
      <c r="H12" s="1308" t="s">
        <v>1098</v>
      </c>
      <c r="I12" s="1299" t="s">
        <v>1084</v>
      </c>
    </row>
    <row r="13" spans="1:14" ht="14.25">
      <c r="A13" s="3279"/>
      <c r="B13" s="3273" t="s">
        <v>3153</v>
      </c>
      <c r="C13" s="3273"/>
      <c r="D13" s="1300">
        <v>1</v>
      </c>
      <c r="E13" s="1300">
        <v>2500</v>
      </c>
      <c r="F13" s="1301">
        <v>0.45</v>
      </c>
      <c r="G13" s="1302">
        <v>365</v>
      </c>
      <c r="H13" s="1312"/>
      <c r="I13" s="1313">
        <f>ROUND(D13*E13*F13*G13/10000,0)</f>
        <v>41</v>
      </c>
    </row>
    <row r="14" spans="1:14" ht="14.25">
      <c r="A14" s="3279"/>
      <c r="B14" s="3273" t="s">
        <v>3157</v>
      </c>
      <c r="C14" s="3273"/>
      <c r="D14" s="1300">
        <v>1</v>
      </c>
      <c r="E14" s="1300">
        <v>4000</v>
      </c>
      <c r="F14" s="1301">
        <v>0.5</v>
      </c>
      <c r="G14" s="1302">
        <v>365</v>
      </c>
      <c r="H14" s="1312"/>
      <c r="I14" s="1313">
        <f>ROUND(D14*E14*F14*G14/10000,0)</f>
        <v>73</v>
      </c>
    </row>
    <row r="15" spans="1:14" ht="14.25">
      <c r="A15" s="3279"/>
      <c r="B15" s="3273" t="s">
        <v>3158</v>
      </c>
      <c r="C15" s="3273"/>
      <c r="D15" s="1300">
        <v>1</v>
      </c>
      <c r="E15" s="1300">
        <v>2000</v>
      </c>
      <c r="F15" s="1301">
        <v>0.4</v>
      </c>
      <c r="G15" s="1302">
        <v>365</v>
      </c>
      <c r="H15" s="1312"/>
      <c r="I15" s="1313">
        <f>ROUND(D15*E15*F15*G15/10000,0)</f>
        <v>29</v>
      </c>
    </row>
    <row r="16" spans="1:14" ht="14.25">
      <c r="A16" s="3279"/>
      <c r="B16" s="3294" t="s">
        <v>3159</v>
      </c>
      <c r="C16" s="3295"/>
      <c r="D16" s="1300">
        <v>7</v>
      </c>
      <c r="E16" s="1300">
        <v>1000</v>
      </c>
      <c r="F16" s="1301">
        <v>0.4</v>
      </c>
      <c r="G16" s="1302">
        <v>365</v>
      </c>
      <c r="H16" s="1312"/>
      <c r="I16" s="1313">
        <f>ROUND(D16*E16*F16*G16/10000,0)</f>
        <v>102</v>
      </c>
    </row>
    <row r="17" spans="1:11">
      <c r="A17" s="3279"/>
      <c r="B17" s="3274" t="s">
        <v>1092</v>
      </c>
      <c r="C17" s="3274"/>
      <c r="D17" s="1304">
        <f>SUM(D13:D16)</f>
        <v>10</v>
      </c>
      <c r="E17" s="1304"/>
      <c r="F17" s="1305"/>
      <c r="G17" s="1302"/>
      <c r="H17" s="1309"/>
      <c r="I17" s="1310">
        <f>SUM(I13:I16)</f>
        <v>245</v>
      </c>
    </row>
    <row r="18" spans="1:11">
      <c r="A18" s="3279" t="s">
        <v>1109</v>
      </c>
      <c r="B18" s="3281"/>
      <c r="C18" s="3281"/>
      <c r="D18" s="3281"/>
      <c r="E18" s="3281"/>
      <c r="F18" s="3281"/>
      <c r="G18" s="3281"/>
      <c r="H18" s="1760">
        <v>0.35</v>
      </c>
      <c r="I18" s="1307">
        <f>ROUND(I6*H18,0)</f>
        <v>510</v>
      </c>
      <c r="K18">
        <f>70+30+21.6+70+3.6+9.6+23.4</f>
        <v>228.2</v>
      </c>
    </row>
    <row r="19" spans="1:11" ht="14.25">
      <c r="A19" s="3282" t="s">
        <v>1110</v>
      </c>
      <c r="B19" s="3283"/>
      <c r="C19" s="3284"/>
      <c r="D19" s="1314" t="s">
        <v>1111</v>
      </c>
      <c r="E19" s="1314" t="s">
        <v>1112</v>
      </c>
      <c r="F19" s="1315" t="s">
        <v>1113</v>
      </c>
      <c r="G19" s="1315" t="s">
        <v>1114</v>
      </c>
      <c r="H19" s="1308" t="s">
        <v>1115</v>
      </c>
      <c r="I19" s="1299" t="s">
        <v>1116</v>
      </c>
    </row>
    <row r="20" spans="1:11" ht="14.25" thickBot="1">
      <c r="A20" s="3285"/>
      <c r="B20" s="3286"/>
      <c r="C20" s="3287"/>
      <c r="D20" s="1316"/>
      <c r="E20" s="1316"/>
      <c r="F20" s="1316"/>
      <c r="G20" s="1317"/>
      <c r="H20" s="1318"/>
      <c r="I20" s="1319">
        <f>ROUND(E20*D20*F20*(1-G20)/10000,0)</f>
        <v>0</v>
      </c>
    </row>
    <row r="23" spans="1:11">
      <c r="A23" s="1320" t="s">
        <v>3160</v>
      </c>
      <c r="B23" s="1320"/>
      <c r="C23" s="1320"/>
      <c r="D23" s="1320"/>
      <c r="E23" s="3278">
        <f>C24-C27-C28-C29</f>
        <v>1537.8000000000002</v>
      </c>
      <c r="F23" s="3278"/>
      <c r="G23" s="3278"/>
      <c r="H23" s="1732" t="s">
        <v>1339</v>
      </c>
    </row>
    <row r="24" spans="1:11">
      <c r="A24" s="1321">
        <v>1</v>
      </c>
      <c r="B24" s="1322" t="s">
        <v>1118</v>
      </c>
      <c r="C24" s="1322">
        <f>C25+C26</f>
        <v>2796</v>
      </c>
      <c r="D24" s="1322"/>
      <c r="E24" s="3280"/>
      <c r="F24" s="3280"/>
      <c r="G24" s="3280"/>
    </row>
    <row r="25" spans="1:11">
      <c r="A25" s="1323" t="s">
        <v>1119</v>
      </c>
      <c r="B25" s="1322" t="s">
        <v>1120</v>
      </c>
      <c r="C25" s="1322">
        <f>I6</f>
        <v>1458</v>
      </c>
      <c r="D25" s="1322"/>
      <c r="E25" s="3280"/>
      <c r="F25" s="3280"/>
      <c r="G25" s="3280"/>
    </row>
    <row r="26" spans="1:11">
      <c r="A26" s="1323" t="s">
        <v>1121</v>
      </c>
      <c r="B26" s="1322" t="s">
        <v>1122</v>
      </c>
      <c r="C26" s="1322">
        <f>I11+I17+I18</f>
        <v>1338</v>
      </c>
      <c r="D26" s="1322"/>
      <c r="E26" s="1322" t="s">
        <v>1123</v>
      </c>
      <c r="F26" s="1322"/>
      <c r="G26" s="1322"/>
    </row>
    <row r="27" spans="1:11">
      <c r="A27" s="1321">
        <v>2</v>
      </c>
      <c r="B27" s="1322" t="s">
        <v>1124</v>
      </c>
      <c r="C27" s="1322">
        <f>C24*D27</f>
        <v>559.20000000000005</v>
      </c>
      <c r="D27" s="1324">
        <v>0.2</v>
      </c>
      <c r="E27" s="1322" t="s">
        <v>1125</v>
      </c>
      <c r="F27" s="1322"/>
      <c r="G27" s="1322"/>
    </row>
    <row r="28" spans="1:11">
      <c r="A28" s="1321">
        <v>3</v>
      </c>
      <c r="B28" s="1322" t="s">
        <v>1126</v>
      </c>
      <c r="C28" s="1322">
        <f>C24*D28</f>
        <v>419.4</v>
      </c>
      <c r="D28" s="1324">
        <v>0.15</v>
      </c>
      <c r="E28" s="1322" t="s">
        <v>1127</v>
      </c>
      <c r="F28" s="1322"/>
      <c r="G28" s="1322"/>
    </row>
    <row r="29" spans="1:11">
      <c r="A29" s="1321">
        <v>4</v>
      </c>
      <c r="B29" s="1322" t="s">
        <v>1128</v>
      </c>
      <c r="C29" s="1322">
        <f>C24*D29</f>
        <v>279.60000000000002</v>
      </c>
      <c r="D29" s="1324">
        <v>0.1</v>
      </c>
      <c r="E29" s="3288"/>
      <c r="F29" s="3288"/>
      <c r="G29" s="3288"/>
    </row>
  </sheetData>
  <mergeCells count="27">
    <mergeCell ref="E23:G23"/>
    <mergeCell ref="E24:G24"/>
    <mergeCell ref="E25:G25"/>
    <mergeCell ref="A1:C1"/>
    <mergeCell ref="D1:I1"/>
    <mergeCell ref="A2:A6"/>
    <mergeCell ref="B2:C2"/>
    <mergeCell ref="B3:C3"/>
    <mergeCell ref="B4:C4"/>
    <mergeCell ref="B5:C5"/>
    <mergeCell ref="B6:C6"/>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s>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2509</v>
      </c>
      <c r="C1" s="1629" t="s">
        <v>2510</v>
      </c>
      <c r="D1" s="1616"/>
      <c r="E1" s="2574"/>
      <c r="F1" s="2575" t="s">
        <v>2511</v>
      </c>
      <c r="G1" s="1626" t="s">
        <v>2512</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2" customFormat="1" ht="28.5" customHeight="1" thickTop="1">
      <c r="A2" s="1612" t="s">
        <v>1393</v>
      </c>
      <c r="B2" s="1414" t="e">
        <f ca="1">IF(C2="——",ROUND(C49*D3/10000,0),ROUND(C49*D3/10000,0)-D2)</f>
        <v>#DIV/0!</v>
      </c>
      <c r="C2" s="2577"/>
      <c r="D2" s="1362" t="e">
        <f ca="1">SUMIF(INDIRECT("'"&amp;F2&amp;"'"&amp;"!A:A"),"承租人权益价值",INDIRECT("'"&amp;F2&amp;"'"&amp;"!c:c"))</f>
        <v>#REF!</v>
      </c>
      <c r="E2" s="2578" t="s">
        <v>2513</v>
      </c>
      <c r="F2" s="2579"/>
      <c r="G2" s="1122"/>
      <c r="H2" s="1122"/>
      <c r="I2" s="1122"/>
      <c r="J2" s="1122"/>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6"/>
      <c r="G3" s="1122"/>
      <c r="H3" s="1122"/>
      <c r="I3" s="1122"/>
      <c r="J3" s="1122"/>
      <c r="K3" s="2580"/>
      <c r="L3" s="2581"/>
      <c r="M3" s="2582"/>
      <c r="N3" s="2582"/>
      <c r="O3" s="2582"/>
      <c r="P3" s="2583"/>
      <c r="Q3" s="2584"/>
      <c r="R3" s="2584"/>
      <c r="S3" s="2584"/>
      <c r="T3" s="2584"/>
      <c r="U3" s="2584"/>
      <c r="V3" s="2584"/>
      <c r="W3" s="2584"/>
      <c r="X3" s="2584"/>
      <c r="Y3" s="2584"/>
      <c r="Z3" s="2584"/>
      <c r="AA3" s="2584"/>
      <c r="AB3" s="2584"/>
      <c r="AC3" s="1280"/>
    </row>
    <row r="4" spans="1:29" ht="15">
      <c r="A4" s="400" t="s">
        <v>2515</v>
      </c>
      <c r="B4" s="401"/>
      <c r="C4" s="3239" t="s">
        <v>2516</v>
      </c>
      <c r="D4" s="3240"/>
      <c r="E4" s="3241" t="s">
        <v>2517</v>
      </c>
      <c r="F4" s="3242"/>
      <c r="G4" s="3239" t="s">
        <v>2518</v>
      </c>
      <c r="H4" s="3240"/>
      <c r="I4" s="3239" t="s">
        <v>2519</v>
      </c>
      <c r="J4" s="3240"/>
      <c r="K4" s="2587" t="s">
        <v>2520</v>
      </c>
      <c r="L4" s="1128"/>
      <c r="M4" s="1129"/>
      <c r="N4" s="1129"/>
      <c r="O4" s="1129"/>
      <c r="P4" s="3243" t="s">
        <v>2521</v>
      </c>
      <c r="Q4" s="3244"/>
      <c r="R4" s="3226" t="s">
        <v>2517</v>
      </c>
      <c r="S4" s="3227"/>
      <c r="T4" s="3226" t="s">
        <v>2518</v>
      </c>
      <c r="U4" s="3227"/>
      <c r="V4" s="3251" t="s">
        <v>2519</v>
      </c>
      <c r="W4" s="3251"/>
      <c r="X4" s="1808"/>
      <c r="Y4" s="3226" t="s">
        <v>2521</v>
      </c>
      <c r="Z4" s="3227"/>
      <c r="AA4" s="3221" t="s">
        <v>2517</v>
      </c>
      <c r="AB4" s="3221" t="s">
        <v>2518</v>
      </c>
      <c r="AC4" s="3221" t="s">
        <v>2519</v>
      </c>
    </row>
    <row r="5" spans="1:29" ht="15">
      <c r="A5" s="403"/>
      <c r="B5" s="404"/>
      <c r="C5" s="3232" t="s">
        <v>2522</v>
      </c>
      <c r="D5" s="3233"/>
      <c r="E5" s="3230" t="s">
        <v>2523</v>
      </c>
      <c r="F5" s="3231"/>
      <c r="G5" s="3232" t="s">
        <v>2524</v>
      </c>
      <c r="H5" s="3233"/>
      <c r="I5" s="3232" t="s">
        <v>2525</v>
      </c>
      <c r="J5" s="3233"/>
      <c r="K5" s="2588"/>
      <c r="L5" s="1128"/>
      <c r="M5" s="1129"/>
      <c r="N5" s="1129"/>
      <c r="O5" s="1129"/>
      <c r="P5" s="3245"/>
      <c r="Q5" s="3246"/>
      <c r="R5" s="3228"/>
      <c r="S5" s="3229"/>
      <c r="T5" s="3228"/>
      <c r="U5" s="3229"/>
      <c r="V5" s="3251"/>
      <c r="W5" s="3251"/>
      <c r="X5" s="1808"/>
      <c r="Y5" s="3228"/>
      <c r="Z5" s="3229"/>
      <c r="AA5" s="3222"/>
      <c r="AB5" s="3222"/>
      <c r="AC5" s="3222"/>
    </row>
    <row r="6" spans="1:29" ht="15.75" thickBot="1">
      <c r="A6" s="405"/>
      <c r="B6" s="406"/>
      <c r="C6" s="3234" t="s">
        <v>2526</v>
      </c>
      <c r="D6" s="3235"/>
      <c r="E6" s="3236" t="s">
        <v>2526</v>
      </c>
      <c r="F6" s="3237"/>
      <c r="G6" s="3234" t="s">
        <v>2526</v>
      </c>
      <c r="H6" s="3235"/>
      <c r="I6" s="3234" t="s">
        <v>2526</v>
      </c>
      <c r="J6" s="3235"/>
      <c r="K6" s="2588" t="s">
        <v>2527</v>
      </c>
      <c r="L6" s="1128"/>
      <c r="M6" s="1129"/>
      <c r="N6" s="1129"/>
      <c r="O6" s="1129"/>
      <c r="P6" s="3247"/>
      <c r="Q6" s="3248"/>
      <c r="R6" s="3228"/>
      <c r="S6" s="3229"/>
      <c r="T6" s="3249"/>
      <c r="U6" s="3250"/>
      <c r="V6" s="3251"/>
      <c r="W6" s="3251"/>
      <c r="X6" s="1808"/>
      <c r="Y6" s="3249"/>
      <c r="Z6" s="3250"/>
      <c r="AA6" s="3223"/>
      <c r="AB6" s="3223"/>
      <c r="AC6" s="3223"/>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2589"/>
      <c r="L7" s="1130"/>
      <c r="M7" s="1131"/>
      <c r="N7" s="1131"/>
      <c r="O7" s="1131"/>
      <c r="P7" s="3224" t="s">
        <v>2529</v>
      </c>
      <c r="Q7" s="3252"/>
      <c r="R7" s="769" t="s">
        <v>23</v>
      </c>
      <c r="S7" s="770">
        <f t="shared" ref="S7:S15" si="0">F7</f>
        <v>0</v>
      </c>
      <c r="T7" s="769" t="s">
        <v>23</v>
      </c>
      <c r="U7" s="770">
        <f t="shared" ref="U7:U15" si="1">H7</f>
        <v>0</v>
      </c>
      <c r="V7" s="769" t="s">
        <v>23</v>
      </c>
      <c r="W7" s="770">
        <f t="shared" ref="W7:W15" si="2">J7</f>
        <v>0</v>
      </c>
      <c r="X7" s="771"/>
      <c r="Y7" s="3224" t="s">
        <v>2529</v>
      </c>
      <c r="Z7" s="3225"/>
      <c r="AA7" s="772" t="e">
        <f>D7/F7</f>
        <v>#DIV/0!</v>
      </c>
      <c r="AB7" s="772" t="e">
        <f>D7/H7</f>
        <v>#DIV/0!</v>
      </c>
      <c r="AC7" s="772" t="e">
        <f>D7/J7</f>
        <v>#DIV/0!</v>
      </c>
    </row>
    <row r="8" spans="1:29" s="116" customFormat="1" ht="15.75" thickBot="1">
      <c r="A8" s="407" t="s">
        <v>2530</v>
      </c>
      <c r="B8" s="408"/>
      <c r="C8" s="413" t="s">
        <v>2531</v>
      </c>
      <c r="D8" s="410">
        <v>100</v>
      </c>
      <c r="E8" s="2590"/>
      <c r="F8" s="412">
        <f>SUMIF(61:61,E8,62:62)-SUMIF(61:61,C8,62:62)+100</f>
        <v>0</v>
      </c>
      <c r="G8" s="413"/>
      <c r="H8" s="410">
        <f>SUMIF(61:61,G8,62:62)-SUMIF(61:61,C8,62:62)+100</f>
        <v>0</v>
      </c>
      <c r="I8" s="2590"/>
      <c r="J8" s="410">
        <f>SUMIF(61:61,I8,62:62)-SUMIF(61:61,C8,62:62)+100</f>
        <v>0</v>
      </c>
      <c r="K8" s="2589"/>
      <c r="L8" s="1130"/>
      <c r="M8" s="1131"/>
      <c r="N8" s="1131"/>
      <c r="O8" s="1131"/>
      <c r="P8" s="3224" t="s">
        <v>2532</v>
      </c>
      <c r="Q8" s="3225"/>
      <c r="R8" s="769" t="s">
        <v>23</v>
      </c>
      <c r="S8" s="770">
        <f t="shared" si="0"/>
        <v>0</v>
      </c>
      <c r="T8" s="769" t="s">
        <v>23</v>
      </c>
      <c r="U8" s="770">
        <f t="shared" si="1"/>
        <v>0</v>
      </c>
      <c r="V8" s="769" t="s">
        <v>23</v>
      </c>
      <c r="W8" s="770">
        <f t="shared" si="2"/>
        <v>0</v>
      </c>
      <c r="X8" s="771"/>
      <c r="Y8" s="3224" t="s">
        <v>2532</v>
      </c>
      <c r="Z8" s="3225"/>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89"/>
      <c r="L9" s="1130"/>
      <c r="M9" s="1131"/>
      <c r="N9" s="1131"/>
      <c r="O9" s="1131"/>
      <c r="P9" s="3262"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62"/>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62"/>
      <c r="Q11" s="1790" t="str">
        <f t="shared" si="6"/>
        <v>容积率</v>
      </c>
      <c r="R11" s="769" t="s">
        <v>21</v>
      </c>
      <c r="S11" s="770" t="e">
        <f t="shared" si="0"/>
        <v>#N/A</v>
      </c>
      <c r="T11" s="769" t="s">
        <v>21</v>
      </c>
      <c r="U11" s="770" t="e">
        <f t="shared" si="1"/>
        <v>#N/A</v>
      </c>
      <c r="V11" s="769" t="s">
        <v>21</v>
      </c>
      <c r="W11" s="770" t="e">
        <f t="shared" si="2"/>
        <v>#N/A</v>
      </c>
      <c r="X11" s="771"/>
      <c r="Y11" s="3081"/>
      <c r="Z11" s="55"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0"/>
      <c r="M12" s="1131"/>
      <c r="N12" s="1131"/>
      <c r="O12" s="1131"/>
      <c r="P12" s="3262"/>
      <c r="Q12" s="1790">
        <f t="shared" si="6"/>
        <v>111</v>
      </c>
      <c r="R12" s="769" t="s">
        <v>21</v>
      </c>
      <c r="S12" s="770">
        <f t="shared" si="0"/>
        <v>100</v>
      </c>
      <c r="T12" s="769" t="s">
        <v>21</v>
      </c>
      <c r="U12" s="770">
        <f t="shared" si="1"/>
        <v>100</v>
      </c>
      <c r="V12" s="769" t="s">
        <v>21</v>
      </c>
      <c r="W12" s="770">
        <f t="shared" si="2"/>
        <v>100</v>
      </c>
      <c r="X12" s="771"/>
      <c r="Y12" s="3081"/>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8"/>
      <c r="M13" s="1129"/>
      <c r="N13" s="1129"/>
      <c r="O13" s="1129"/>
      <c r="P13" s="3262"/>
      <c r="Q13" s="1790">
        <f t="shared" si="6"/>
        <v>111</v>
      </c>
      <c r="R13" s="769" t="s">
        <v>21</v>
      </c>
      <c r="S13" s="770">
        <f t="shared" si="0"/>
        <v>100</v>
      </c>
      <c r="T13" s="769" t="s">
        <v>21</v>
      </c>
      <c r="U13" s="770">
        <f t="shared" si="1"/>
        <v>100</v>
      </c>
      <c r="V13" s="769" t="s">
        <v>21</v>
      </c>
      <c r="W13" s="770">
        <f t="shared" si="2"/>
        <v>100</v>
      </c>
      <c r="X13" s="771"/>
      <c r="Y13" s="3081"/>
      <c r="Z13" s="55">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8"/>
      <c r="M14" s="1129"/>
      <c r="N14" s="1129"/>
      <c r="O14" s="1129"/>
      <c r="P14" s="3262"/>
      <c r="Q14" s="1790">
        <f t="shared" si="6"/>
        <v>111</v>
      </c>
      <c r="R14" s="769" t="s">
        <v>21</v>
      </c>
      <c r="S14" s="770">
        <f t="shared" si="0"/>
        <v>100</v>
      </c>
      <c r="T14" s="769" t="s">
        <v>21</v>
      </c>
      <c r="U14" s="770">
        <f t="shared" si="1"/>
        <v>100</v>
      </c>
      <c r="V14" s="769" t="s">
        <v>21</v>
      </c>
      <c r="W14" s="770">
        <f t="shared" si="2"/>
        <v>100</v>
      </c>
      <c r="X14" s="771"/>
      <c r="Y14" s="3081"/>
      <c r="Z14" s="55">
        <f t="shared" si="7"/>
        <v>111</v>
      </c>
      <c r="AA14" s="772">
        <f t="shared" si="3"/>
        <v>1</v>
      </c>
      <c r="AB14" s="772">
        <f t="shared" si="4"/>
        <v>1</v>
      </c>
      <c r="AC14" s="772">
        <f t="shared" si="5"/>
        <v>1</v>
      </c>
    </row>
    <row r="15" spans="1:29" ht="15">
      <c r="A15" s="439" t="s">
        <v>2539</v>
      </c>
      <c r="B15" s="69" t="s">
        <v>2075</v>
      </c>
      <c r="C15" s="2594"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02" t="s">
        <v>2540</v>
      </c>
      <c r="Q15" s="1805" t="str">
        <f t="shared" si="6"/>
        <v>居住社区成熟度</v>
      </c>
      <c r="R15" s="773" t="s">
        <v>21</v>
      </c>
      <c r="S15" s="774">
        <f t="shared" si="0"/>
        <v>100</v>
      </c>
      <c r="T15" s="773" t="s">
        <v>21</v>
      </c>
      <c r="U15" s="774">
        <f t="shared" si="1"/>
        <v>100</v>
      </c>
      <c r="V15" s="773" t="s">
        <v>21</v>
      </c>
      <c r="W15" s="774">
        <f t="shared" si="2"/>
        <v>100</v>
      </c>
      <c r="X15" s="1808"/>
      <c r="Y15" s="3253" t="s">
        <v>2540</v>
      </c>
      <c r="Z15" s="1809" t="str">
        <f t="shared" si="7"/>
        <v>居住社区成熟度</v>
      </c>
      <c r="AA15" s="1806">
        <f t="shared" si="3"/>
        <v>1</v>
      </c>
      <c r="AB15" s="1806">
        <f t="shared" si="4"/>
        <v>1</v>
      </c>
      <c r="AC15" s="1806">
        <f t="shared" si="5"/>
        <v>1</v>
      </c>
    </row>
    <row r="16" spans="1:29" ht="15">
      <c r="A16" s="427"/>
      <c r="B16" s="445"/>
      <c r="C16" s="446"/>
      <c r="D16" s="447"/>
      <c r="E16" s="2595"/>
      <c r="F16" s="447"/>
      <c r="G16" s="2596"/>
      <c r="H16" s="449"/>
      <c r="I16" s="2596"/>
      <c r="J16" s="447"/>
      <c r="K16" s="2597"/>
      <c r="L16" s="1138"/>
      <c r="M16" s="1129"/>
      <c r="N16" s="1129"/>
      <c r="O16" s="1129"/>
      <c r="P16" s="3303"/>
      <c r="Q16" s="1805"/>
      <c r="R16" s="773"/>
      <c r="S16" s="774"/>
      <c r="T16" s="773"/>
      <c r="U16" s="774"/>
      <c r="V16" s="773"/>
      <c r="W16" s="774"/>
      <c r="X16" s="1808"/>
      <c r="Y16" s="3254"/>
      <c r="Z16" s="1809"/>
      <c r="AA16" s="1806">
        <v>1</v>
      </c>
      <c r="AB16" s="1806">
        <v>1</v>
      </c>
      <c r="AC16" s="1806">
        <v>1</v>
      </c>
    </row>
    <row r="17" spans="1:29" ht="15">
      <c r="A17" s="427"/>
      <c r="B17" s="450" t="s">
        <v>2084</v>
      </c>
      <c r="C17" s="2598"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03"/>
      <c r="Q17" s="1805" t="str">
        <f>B17</f>
        <v>交通便捷度</v>
      </c>
      <c r="R17" s="773" t="s">
        <v>21</v>
      </c>
      <c r="S17" s="774">
        <f>F17</f>
        <v>100</v>
      </c>
      <c r="T17" s="773" t="s">
        <v>21</v>
      </c>
      <c r="U17" s="774">
        <f>H17</f>
        <v>100</v>
      </c>
      <c r="V17" s="773" t="s">
        <v>21</v>
      </c>
      <c r="W17" s="774">
        <f>J17</f>
        <v>100</v>
      </c>
      <c r="X17" s="1808"/>
      <c r="Y17" s="3254"/>
      <c r="Z17" s="1809" t="str">
        <f>Q17</f>
        <v>交通便捷度</v>
      </c>
      <c r="AA17" s="1806">
        <f t="shared" si="3"/>
        <v>1</v>
      </c>
      <c r="AB17" s="1806">
        <f t="shared" si="4"/>
        <v>1</v>
      </c>
      <c r="AC17" s="1806">
        <f t="shared" si="5"/>
        <v>1</v>
      </c>
    </row>
    <row r="18" spans="1:29" ht="15">
      <c r="A18" s="427"/>
      <c r="B18" s="455"/>
      <c r="C18" s="2599"/>
      <c r="D18" s="449"/>
      <c r="E18" s="2600"/>
      <c r="F18" s="449"/>
      <c r="G18" s="2601"/>
      <c r="H18" s="447"/>
      <c r="I18" s="2601"/>
      <c r="J18" s="447"/>
      <c r="K18" s="2597"/>
      <c r="L18" s="1138"/>
      <c r="M18" s="1129"/>
      <c r="N18" s="1129"/>
      <c r="O18" s="1129"/>
      <c r="P18" s="3303"/>
      <c r="Q18" s="1805"/>
      <c r="R18" s="773"/>
      <c r="S18" s="774"/>
      <c r="T18" s="773"/>
      <c r="U18" s="774"/>
      <c r="V18" s="773"/>
      <c r="W18" s="774"/>
      <c r="X18" s="1808"/>
      <c r="Y18" s="3254"/>
      <c r="Z18" s="1809"/>
      <c r="AA18" s="1806">
        <v>1</v>
      </c>
      <c r="AB18" s="1806">
        <v>1</v>
      </c>
      <c r="AC18" s="1806">
        <v>1</v>
      </c>
    </row>
    <row r="19" spans="1:29" ht="15">
      <c r="A19" s="427"/>
      <c r="B19" s="450" t="s">
        <v>2082</v>
      </c>
      <c r="C19" s="2598"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03"/>
      <c r="Q19" s="1805" t="str">
        <f>B19</f>
        <v>公共配套设施</v>
      </c>
      <c r="R19" s="773" t="s">
        <v>21</v>
      </c>
      <c r="S19" s="774">
        <f>F19</f>
        <v>100</v>
      </c>
      <c r="T19" s="773" t="s">
        <v>21</v>
      </c>
      <c r="U19" s="774">
        <f>H19</f>
        <v>100</v>
      </c>
      <c r="V19" s="773" t="s">
        <v>21</v>
      </c>
      <c r="W19" s="774">
        <f>J19</f>
        <v>100</v>
      </c>
      <c r="X19" s="1808"/>
      <c r="Y19" s="3254"/>
      <c r="Z19" s="1809" t="str">
        <f>Q19</f>
        <v>公共配套设施</v>
      </c>
      <c r="AA19" s="1806">
        <f t="shared" si="3"/>
        <v>1</v>
      </c>
      <c r="AB19" s="1806">
        <f t="shared" si="4"/>
        <v>1</v>
      </c>
      <c r="AC19" s="1806">
        <f t="shared" si="5"/>
        <v>1</v>
      </c>
    </row>
    <row r="20" spans="1:29" ht="15">
      <c r="A20" s="427"/>
      <c r="B20" s="455"/>
      <c r="C20" s="446"/>
      <c r="D20" s="447"/>
      <c r="E20" s="2595"/>
      <c r="F20" s="447"/>
      <c r="G20" s="2596"/>
      <c r="H20" s="447"/>
      <c r="I20" s="2596"/>
      <c r="J20" s="447"/>
      <c r="K20" s="2597"/>
      <c r="L20" s="1138"/>
      <c r="M20" s="1129"/>
      <c r="N20" s="1129"/>
      <c r="O20" s="1129"/>
      <c r="P20" s="3303"/>
      <c r="Q20" s="1805"/>
      <c r="R20" s="773"/>
      <c r="S20" s="774"/>
      <c r="T20" s="773"/>
      <c r="U20" s="774"/>
      <c r="V20" s="773"/>
      <c r="W20" s="774"/>
      <c r="X20" s="1808"/>
      <c r="Y20" s="3254"/>
      <c r="Z20" s="1809"/>
      <c r="AA20" s="1806">
        <v>1</v>
      </c>
      <c r="AB20" s="1806">
        <v>1</v>
      </c>
      <c r="AC20" s="1806">
        <v>1</v>
      </c>
    </row>
    <row r="21" spans="1:29" ht="15">
      <c r="A21" s="427"/>
      <c r="B21" s="1381" t="s">
        <v>2085</v>
      </c>
      <c r="C21" s="2598"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54"/>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7"/>
      <c r="G22" s="2602"/>
      <c r="H22" s="447"/>
      <c r="I22" s="446"/>
      <c r="J22" s="447"/>
      <c r="K22" s="2603"/>
      <c r="L22" s="1138"/>
      <c r="M22" s="1129"/>
      <c r="N22" s="1129"/>
      <c r="O22" s="1129"/>
      <c r="P22" s="3303"/>
      <c r="Q22" s="1805"/>
      <c r="R22" s="773"/>
      <c r="S22" s="774"/>
      <c r="T22" s="773"/>
      <c r="U22" s="774"/>
      <c r="V22" s="773"/>
      <c r="W22" s="774"/>
      <c r="X22" s="1808"/>
      <c r="Y22" s="3254"/>
      <c r="Z22" s="1809"/>
      <c r="AA22" s="1806">
        <v>1</v>
      </c>
      <c r="AB22" s="1806">
        <v>1</v>
      </c>
      <c r="AC22" s="1806">
        <v>1</v>
      </c>
    </row>
    <row r="23" spans="1:29" ht="15">
      <c r="A23" s="427"/>
      <c r="B23" s="450" t="s">
        <v>2089</v>
      </c>
      <c r="C23" s="2598"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03"/>
      <c r="Q23" s="1805" t="str">
        <f>B23</f>
        <v>自然及人文环境</v>
      </c>
      <c r="R23" s="773" t="s">
        <v>21</v>
      </c>
      <c r="S23" s="774">
        <f>F23</f>
        <v>100</v>
      </c>
      <c r="T23" s="773" t="s">
        <v>21</v>
      </c>
      <c r="U23" s="774">
        <f>H23</f>
        <v>100</v>
      </c>
      <c r="V23" s="773" t="s">
        <v>21</v>
      </c>
      <c r="W23" s="774">
        <f>J23</f>
        <v>100</v>
      </c>
      <c r="X23" s="1808"/>
      <c r="Y23" s="3254"/>
      <c r="Z23" s="1809" t="str">
        <f>Q23</f>
        <v>自然及人文环境</v>
      </c>
      <c r="AA23" s="1806">
        <f>D23/F23</f>
        <v>1</v>
      </c>
      <c r="AB23" s="1806">
        <f>D23/H23</f>
        <v>1</v>
      </c>
      <c r="AC23" s="1806">
        <f>D23/J23</f>
        <v>1</v>
      </c>
    </row>
    <row r="24" spans="1:29" ht="15">
      <c r="A24" s="427"/>
      <c r="B24" s="455"/>
      <c r="C24" s="446"/>
      <c r="D24" s="447"/>
      <c r="E24" s="2595"/>
      <c r="F24" s="447"/>
      <c r="G24" s="2596"/>
      <c r="H24" s="447"/>
      <c r="I24" s="2596"/>
      <c r="J24" s="447"/>
      <c r="K24" s="2597"/>
      <c r="L24" s="1138"/>
      <c r="M24" s="1129"/>
      <c r="N24" s="1129"/>
      <c r="O24" s="1129"/>
      <c r="P24" s="3303"/>
      <c r="Q24" s="1805"/>
      <c r="R24" s="773"/>
      <c r="S24" s="774"/>
      <c r="T24" s="773"/>
      <c r="U24" s="774"/>
      <c r="V24" s="773"/>
      <c r="W24" s="774"/>
      <c r="X24" s="1808"/>
      <c r="Y24" s="3254"/>
      <c r="Z24" s="1809"/>
      <c r="AA24" s="1806">
        <v>1</v>
      </c>
      <c r="AB24" s="1806">
        <v>1</v>
      </c>
      <c r="AC24" s="1806">
        <v>1</v>
      </c>
    </row>
    <row r="25" spans="1:29" ht="15">
      <c r="A25" s="427"/>
      <c r="B25" s="421" t="s">
        <v>2541</v>
      </c>
      <c r="C25" s="459"/>
      <c r="D25" s="434">
        <v>100</v>
      </c>
      <c r="E25" s="2604"/>
      <c r="F25" s="434">
        <f>SUMIF(86:86,E25,87:87)-SUMIF(86:86,C25,87:87)+100</f>
        <v>100</v>
      </c>
      <c r="G25" s="2605"/>
      <c r="H25" s="434">
        <f>SUMIF(86:86,G25,87:87)-SUMIF(86:86,C25,87:87)+100</f>
        <v>100</v>
      </c>
      <c r="I25" s="2605"/>
      <c r="J25" s="434">
        <f>SUMIF(86:86,I25,87:87)-SUMIF(86:86,C25,87:87)+100</f>
        <v>100</v>
      </c>
      <c r="K25" s="425"/>
      <c r="L25" s="1138"/>
      <c r="M25" s="1129"/>
      <c r="N25" s="1129"/>
      <c r="O25" s="1129"/>
      <c r="P25" s="3303"/>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54"/>
      <c r="Z25" s="1809" t="str">
        <f>Q25</f>
        <v>楼层-1</v>
      </c>
      <c r="AA25" s="1806">
        <f t="shared" ref="AA25:AA46" si="15">D25/F25</f>
        <v>1</v>
      </c>
      <c r="AB25" s="1806">
        <f t="shared" ref="AB25:AB46" si="16">D25/H25</f>
        <v>1</v>
      </c>
      <c r="AC25" s="1806">
        <f t="shared" ref="AC25:AC46" si="17">D25/J25</f>
        <v>1</v>
      </c>
    </row>
    <row r="26" spans="1:29" ht="15">
      <c r="A26" s="427"/>
      <c r="B26" s="421" t="s">
        <v>2542</v>
      </c>
      <c r="C26" s="459"/>
      <c r="D26" s="434">
        <v>100</v>
      </c>
      <c r="E26" s="2604"/>
      <c r="F26" s="434">
        <f>SUMIF(88:88,E26,89:89)-SUMIF(88:88,C26,89:89)+100</f>
        <v>100</v>
      </c>
      <c r="G26" s="2605"/>
      <c r="H26" s="434">
        <f>SUMIF(88:88,G26,89:89)-SUMIF(88:88,C26,89:89)+100</f>
        <v>100</v>
      </c>
      <c r="I26" s="2605"/>
      <c r="J26" s="434">
        <f>SUMIF(88:88,I26,89:89)-SUMIF(88:88,C26,89:89)+100</f>
        <v>100</v>
      </c>
      <c r="K26" s="425"/>
      <c r="L26" s="1138"/>
      <c r="M26" s="1129"/>
      <c r="N26" s="1129"/>
      <c r="O26" s="1129"/>
      <c r="P26" s="3303"/>
      <c r="Q26" s="1805" t="str">
        <f t="shared" si="11"/>
        <v>朝向</v>
      </c>
      <c r="R26" s="773" t="s">
        <v>21</v>
      </c>
      <c r="S26" s="774">
        <f t="shared" si="12"/>
        <v>100</v>
      </c>
      <c r="T26" s="773" t="s">
        <v>21</v>
      </c>
      <c r="U26" s="774">
        <f t="shared" si="13"/>
        <v>100</v>
      </c>
      <c r="V26" s="773" t="s">
        <v>21</v>
      </c>
      <c r="W26" s="774">
        <f t="shared" si="14"/>
        <v>100</v>
      </c>
      <c r="X26" s="1808"/>
      <c r="Y26" s="3254"/>
      <c r="Z26" s="1809" t="str">
        <f>Q26</f>
        <v>朝向</v>
      </c>
      <c r="AA26" s="1806">
        <f t="shared" si="15"/>
        <v>1</v>
      </c>
      <c r="AB26" s="1806">
        <f t="shared" si="16"/>
        <v>1</v>
      </c>
      <c r="AC26" s="180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2"/>
      <c r="L27" s="1130"/>
      <c r="M27" s="1131"/>
      <c r="N27" s="1131"/>
      <c r="O27" s="1131"/>
      <c r="P27" s="3303"/>
      <c r="Q27" s="1790">
        <f t="shared" si="11"/>
        <v>111</v>
      </c>
      <c r="R27" s="769" t="s">
        <v>21</v>
      </c>
      <c r="S27" s="770">
        <f t="shared" si="12"/>
        <v>100</v>
      </c>
      <c r="T27" s="769" t="s">
        <v>21</v>
      </c>
      <c r="U27" s="770">
        <f t="shared" si="13"/>
        <v>100</v>
      </c>
      <c r="V27" s="769" t="s">
        <v>21</v>
      </c>
      <c r="W27" s="770">
        <f t="shared" si="14"/>
        <v>100</v>
      </c>
      <c r="X27" s="771"/>
      <c r="Y27" s="3254"/>
      <c r="Z27" s="55">
        <f>Q27</f>
        <v>111</v>
      </c>
      <c r="AA27" s="1806">
        <f t="shared" si="15"/>
        <v>1</v>
      </c>
      <c r="AB27" s="1806">
        <f t="shared" si="16"/>
        <v>1</v>
      </c>
      <c r="AC27" s="1806">
        <f t="shared" si="17"/>
        <v>1</v>
      </c>
    </row>
    <row r="28" spans="1:29" ht="15">
      <c r="A28" s="427"/>
      <c r="B28" s="1383">
        <v>111</v>
      </c>
      <c r="C28" s="433"/>
      <c r="D28" s="434">
        <v>100</v>
      </c>
      <c r="E28" s="433"/>
      <c r="F28" s="434">
        <f>SUMIF(92:92,E28,93:93)-SUMIF(92:92,C28,93:93)+100</f>
        <v>100</v>
      </c>
      <c r="G28" s="2606"/>
      <c r="H28" s="434">
        <f>SUMIF(92:92,G28,93:93)-SUMIF(92:92,C28,93:93)+100</f>
        <v>100</v>
      </c>
      <c r="I28" s="433"/>
      <c r="J28" s="434">
        <f>SUMIF(92:92,I28,93:93)-SUMIF(92:92,C28,93:93)+100</f>
        <v>100</v>
      </c>
      <c r="K28" s="2592"/>
      <c r="L28" s="1138"/>
      <c r="M28" s="1129"/>
      <c r="N28" s="1129"/>
      <c r="O28" s="1129"/>
      <c r="P28" s="3303"/>
      <c r="Q28" s="1805">
        <f t="shared" si="11"/>
        <v>111</v>
      </c>
      <c r="R28" s="773" t="s">
        <v>21</v>
      </c>
      <c r="S28" s="774">
        <f t="shared" si="12"/>
        <v>100</v>
      </c>
      <c r="T28" s="773" t="s">
        <v>21</v>
      </c>
      <c r="U28" s="774">
        <f t="shared" si="13"/>
        <v>100</v>
      </c>
      <c r="V28" s="773" t="s">
        <v>21</v>
      </c>
      <c r="W28" s="774">
        <f t="shared" si="14"/>
        <v>100</v>
      </c>
      <c r="X28" s="1808"/>
      <c r="Y28" s="3254"/>
      <c r="Z28" s="1809">
        <f t="shared" ref="Z28:Z46" si="18">Q28</f>
        <v>111</v>
      </c>
      <c r="AA28" s="1806">
        <f t="shared" si="15"/>
        <v>1</v>
      </c>
      <c r="AB28" s="1806">
        <f t="shared" si="16"/>
        <v>1</v>
      </c>
      <c r="AC28" s="1806">
        <f t="shared" si="17"/>
        <v>1</v>
      </c>
    </row>
    <row r="29" spans="1:29" ht="15">
      <c r="A29" s="427"/>
      <c r="B29" s="1383">
        <v>111</v>
      </c>
      <c r="C29" s="433"/>
      <c r="D29" s="434">
        <v>100</v>
      </c>
      <c r="E29" s="433"/>
      <c r="F29" s="434">
        <f>SUMIF(94:94,E29,95:95)-SUMIF(94:94,C29,95:95)+100</f>
        <v>100</v>
      </c>
      <c r="G29" s="2606"/>
      <c r="H29" s="434">
        <f>SUMIF(94:94,G29,95:95)-SUMIF(94:94,C29,95:95)+100</f>
        <v>100</v>
      </c>
      <c r="I29" s="433"/>
      <c r="J29" s="434">
        <f>SUMIF(94:94,I29,95:95)-SUMIF(94:94,C29,95:95)+100</f>
        <v>100</v>
      </c>
      <c r="K29" s="2592"/>
      <c r="L29" s="1138"/>
      <c r="M29" s="1129"/>
      <c r="N29" s="1129"/>
      <c r="O29" s="1129"/>
      <c r="P29" s="3303"/>
      <c r="Q29" s="1805">
        <f t="shared" si="11"/>
        <v>111</v>
      </c>
      <c r="R29" s="773" t="s">
        <v>21</v>
      </c>
      <c r="S29" s="774">
        <f t="shared" si="12"/>
        <v>100</v>
      </c>
      <c r="T29" s="773" t="s">
        <v>21</v>
      </c>
      <c r="U29" s="774">
        <f t="shared" si="13"/>
        <v>100</v>
      </c>
      <c r="V29" s="773" t="s">
        <v>21</v>
      </c>
      <c r="W29" s="774">
        <f t="shared" si="14"/>
        <v>100</v>
      </c>
      <c r="X29" s="1808"/>
      <c r="Y29" s="3254"/>
      <c r="Z29" s="1809">
        <f t="shared" si="18"/>
        <v>111</v>
      </c>
      <c r="AA29" s="1806">
        <f t="shared" si="15"/>
        <v>1</v>
      </c>
      <c r="AB29" s="1806">
        <f t="shared" si="16"/>
        <v>1</v>
      </c>
      <c r="AC29" s="1806">
        <f t="shared" si="17"/>
        <v>1</v>
      </c>
    </row>
    <row r="30" spans="1:29" ht="15">
      <c r="A30" s="427"/>
      <c r="B30" s="1383">
        <v>111</v>
      </c>
      <c r="C30" s="433"/>
      <c r="D30" s="434">
        <v>100</v>
      </c>
      <c r="E30" s="433"/>
      <c r="F30" s="434">
        <f>SUMIF(96:96,E30,97:97)-SUMIF(96:96,C30,97:97)+100</f>
        <v>100</v>
      </c>
      <c r="G30" s="2606"/>
      <c r="H30" s="434">
        <f>SUMIF(96:96,G30,97:97)-SUMIF(96:96,C30,97:97)+100</f>
        <v>100</v>
      </c>
      <c r="I30" s="433"/>
      <c r="J30" s="434">
        <f>SUMIF(96:96,I30,97:97)-SUMIF(96:96,C30,97:97)+100</f>
        <v>100</v>
      </c>
      <c r="K30" s="2592"/>
      <c r="L30" s="1138"/>
      <c r="M30" s="1129"/>
      <c r="N30" s="1129"/>
      <c r="O30" s="1129"/>
      <c r="P30" s="3303"/>
      <c r="Q30" s="1805">
        <f t="shared" si="11"/>
        <v>111</v>
      </c>
      <c r="R30" s="773" t="s">
        <v>21</v>
      </c>
      <c r="S30" s="774">
        <f t="shared" si="12"/>
        <v>100</v>
      </c>
      <c r="T30" s="773" t="s">
        <v>21</v>
      </c>
      <c r="U30" s="774">
        <f t="shared" si="13"/>
        <v>100</v>
      </c>
      <c r="V30" s="773" t="s">
        <v>21</v>
      </c>
      <c r="W30" s="774">
        <f t="shared" si="14"/>
        <v>100</v>
      </c>
      <c r="X30" s="1808"/>
      <c r="Y30" s="3254"/>
      <c r="Z30" s="1809">
        <f t="shared" si="18"/>
        <v>111</v>
      </c>
      <c r="AA30" s="1806">
        <f t="shared" si="15"/>
        <v>1</v>
      </c>
      <c r="AB30" s="1806">
        <f t="shared" si="16"/>
        <v>1</v>
      </c>
      <c r="AC30" s="1806">
        <f t="shared" si="17"/>
        <v>1</v>
      </c>
    </row>
    <row r="31" spans="1:29" ht="15.75" thickBot="1">
      <c r="A31" s="435"/>
      <c r="B31" s="1383">
        <v>111</v>
      </c>
      <c r="C31" s="436"/>
      <c r="D31" s="437">
        <v>100</v>
      </c>
      <c r="E31" s="436"/>
      <c r="F31" s="437">
        <f>SUMIF(98:98,E31,99:99)-SUMIF(98:98,C31,99:99)+100</f>
        <v>100</v>
      </c>
      <c r="G31" s="2607"/>
      <c r="H31" s="437">
        <f>SUMIF(98:98,G31,99:99)-SUMIF(98:98,C31,99:99)+100</f>
        <v>100</v>
      </c>
      <c r="I31" s="436"/>
      <c r="J31" s="437">
        <f>SUMIF(98:98,I31,99:99)-SUMIF(98:98,C31,99:99)+100</f>
        <v>100</v>
      </c>
      <c r="K31" s="2592"/>
      <c r="L31" s="1138"/>
      <c r="M31" s="1129"/>
      <c r="N31" s="1129"/>
      <c r="O31" s="1129"/>
      <c r="P31" s="3303"/>
      <c r="Q31" s="1805">
        <f t="shared" si="11"/>
        <v>111</v>
      </c>
      <c r="R31" s="773" t="s">
        <v>21</v>
      </c>
      <c r="S31" s="774">
        <f t="shared" si="12"/>
        <v>100</v>
      </c>
      <c r="T31" s="773" t="s">
        <v>21</v>
      </c>
      <c r="U31" s="774">
        <f t="shared" si="13"/>
        <v>100</v>
      </c>
      <c r="V31" s="773" t="s">
        <v>21</v>
      </c>
      <c r="W31" s="774">
        <f t="shared" si="14"/>
        <v>100</v>
      </c>
      <c r="X31" s="1808"/>
      <c r="Y31" s="3254"/>
      <c r="Z31" s="1809">
        <f t="shared" si="18"/>
        <v>111</v>
      </c>
      <c r="AA31" s="1806">
        <f t="shared" si="15"/>
        <v>1</v>
      </c>
      <c r="AB31" s="1806">
        <f t="shared" si="16"/>
        <v>1</v>
      </c>
      <c r="AC31" s="1806">
        <f t="shared" si="17"/>
        <v>1</v>
      </c>
    </row>
    <row r="32" spans="1:29" ht="15">
      <c r="A32" s="439" t="s">
        <v>2543</v>
      </c>
      <c r="B32" s="71" t="s">
        <v>2544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8"/>
      <c r="M32" s="1129"/>
      <c r="N32" s="1129"/>
      <c r="O32" s="1129"/>
      <c r="P32" s="3298" t="s">
        <v>2545</v>
      </c>
      <c r="Q32" s="1805" t="str">
        <f t="shared" si="11"/>
        <v>建筑类型</v>
      </c>
      <c r="R32" s="773" t="s">
        <v>21</v>
      </c>
      <c r="S32" s="774">
        <f t="shared" si="12"/>
        <v>100</v>
      </c>
      <c r="T32" s="773" t="s">
        <v>21</v>
      </c>
      <c r="U32" s="774">
        <f t="shared" si="13"/>
        <v>100</v>
      </c>
      <c r="V32" s="773" t="s">
        <v>21</v>
      </c>
      <c r="W32" s="774">
        <f t="shared" si="14"/>
        <v>100</v>
      </c>
      <c r="X32" s="1808"/>
      <c r="Y32" s="3256" t="s">
        <v>2545</v>
      </c>
      <c r="Z32" s="1809" t="str">
        <f t="shared" si="18"/>
        <v>建筑类型</v>
      </c>
      <c r="AA32" s="1806">
        <f t="shared" si="15"/>
        <v>1</v>
      </c>
      <c r="AB32" s="1806">
        <f t="shared" si="16"/>
        <v>1</v>
      </c>
      <c r="AC32" s="1806">
        <f t="shared" si="17"/>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6"/>
      <c r="M33" s="1139"/>
      <c r="N33" s="1139"/>
      <c r="O33" s="1139"/>
      <c r="P33" s="3299"/>
      <c r="Q33" s="775" t="str">
        <f t="shared" si="11"/>
        <v>项目建筑规模</v>
      </c>
      <c r="R33" s="776" t="s">
        <v>21</v>
      </c>
      <c r="S33" s="777" t="e">
        <f t="shared" si="12"/>
        <v>#N/A</v>
      </c>
      <c r="T33" s="776" t="s">
        <v>21</v>
      </c>
      <c r="U33" s="777" t="e">
        <f t="shared" si="13"/>
        <v>#N/A</v>
      </c>
      <c r="V33" s="776" t="s">
        <v>21</v>
      </c>
      <c r="W33" s="777" t="e">
        <f t="shared" si="14"/>
        <v>#N/A</v>
      </c>
      <c r="X33" s="778"/>
      <c r="Y33" s="3256"/>
      <c r="Z33" s="779" t="str">
        <f t="shared" si="18"/>
        <v>项目建筑规模</v>
      </c>
      <c r="AA33" s="1806" t="e">
        <f t="shared" si="15"/>
        <v>#N/A</v>
      </c>
      <c r="AB33" s="1806" t="e">
        <f t="shared" si="16"/>
        <v>#N/A</v>
      </c>
      <c r="AC33" s="1806" t="e">
        <f t="shared" si="17"/>
        <v>#N/A</v>
      </c>
    </row>
    <row r="34" spans="1:29" ht="15">
      <c r="A34" s="471"/>
      <c r="B34" s="421" t="s">
        <v>2547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8"/>
      <c r="M34" s="1129"/>
      <c r="N34" s="1129"/>
      <c r="O34" s="1129"/>
      <c r="P34" s="3299"/>
      <c r="Q34" s="1805" t="str">
        <f t="shared" si="11"/>
        <v>建筑结构</v>
      </c>
      <c r="R34" s="773" t="s">
        <v>21</v>
      </c>
      <c r="S34" s="774">
        <f t="shared" si="12"/>
        <v>100</v>
      </c>
      <c r="T34" s="773" t="s">
        <v>21</v>
      </c>
      <c r="U34" s="774">
        <f t="shared" si="13"/>
        <v>100</v>
      </c>
      <c r="V34" s="773" t="s">
        <v>21</v>
      </c>
      <c r="W34" s="774">
        <f t="shared" si="14"/>
        <v>100</v>
      </c>
      <c r="X34" s="1808"/>
      <c r="Y34" s="3256"/>
      <c r="Z34" s="1809" t="str">
        <f t="shared" si="18"/>
        <v>建筑结构</v>
      </c>
      <c r="AA34" s="1806">
        <f t="shared" si="15"/>
        <v>1</v>
      </c>
      <c r="AB34" s="1806">
        <f t="shared" si="16"/>
        <v>1</v>
      </c>
      <c r="AC34" s="1806">
        <f t="shared" si="17"/>
        <v>1</v>
      </c>
    </row>
    <row r="35" spans="1:29" ht="15">
      <c r="A35" s="471"/>
      <c r="B35" s="421" t="s">
        <v>2548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8"/>
      <c r="M35" s="1129"/>
      <c r="N35" s="1129"/>
      <c r="O35" s="1129"/>
      <c r="P35" s="3299"/>
      <c r="Q35" s="1805" t="str">
        <f t="shared" si="11"/>
        <v>建筑品质</v>
      </c>
      <c r="R35" s="773" t="s">
        <v>21</v>
      </c>
      <c r="S35" s="774">
        <f t="shared" si="12"/>
        <v>100</v>
      </c>
      <c r="T35" s="773" t="s">
        <v>21</v>
      </c>
      <c r="U35" s="774">
        <f t="shared" si="13"/>
        <v>100</v>
      </c>
      <c r="V35" s="773" t="s">
        <v>21</v>
      </c>
      <c r="W35" s="774">
        <f t="shared" si="14"/>
        <v>100</v>
      </c>
      <c r="X35" s="1808"/>
      <c r="Y35" s="3256"/>
      <c r="Z35" s="1809" t="str">
        <f t="shared" si="18"/>
        <v>建筑品质</v>
      </c>
      <c r="AA35" s="1806">
        <f t="shared" si="15"/>
        <v>1</v>
      </c>
      <c r="AB35" s="1806">
        <f t="shared" si="16"/>
        <v>1</v>
      </c>
      <c r="AC35" s="1806">
        <f t="shared" si="17"/>
        <v>1</v>
      </c>
    </row>
    <row r="36" spans="1:29" ht="15">
      <c r="A36" s="471"/>
      <c r="B36" s="421" t="s">
        <v>2549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8"/>
      <c r="M36" s="1129"/>
      <c r="N36" s="1129"/>
      <c r="O36" s="1129"/>
      <c r="P36" s="3299"/>
      <c r="Q36" s="1805" t="str">
        <f t="shared" si="11"/>
        <v>公共部分装修</v>
      </c>
      <c r="R36" s="773" t="s">
        <v>21</v>
      </c>
      <c r="S36" s="774">
        <f t="shared" si="12"/>
        <v>100</v>
      </c>
      <c r="T36" s="773" t="s">
        <v>21</v>
      </c>
      <c r="U36" s="774">
        <f t="shared" si="13"/>
        <v>100</v>
      </c>
      <c r="V36" s="773" t="s">
        <v>21</v>
      </c>
      <c r="W36" s="774">
        <f t="shared" si="14"/>
        <v>100</v>
      </c>
      <c r="X36" s="1808"/>
      <c r="Y36" s="3256"/>
      <c r="Z36" s="1809" t="str">
        <f t="shared" si="18"/>
        <v>公共部分装修</v>
      </c>
      <c r="AA36" s="1806">
        <f t="shared" si="15"/>
        <v>1</v>
      </c>
      <c r="AB36" s="1806">
        <f t="shared" si="16"/>
        <v>1</v>
      </c>
      <c r="AC36" s="1806">
        <f t="shared" si="17"/>
        <v>1</v>
      </c>
    </row>
    <row r="37" spans="1:29" s="116" customFormat="1" ht="1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99"/>
      <c r="Q37" s="1790" t="str">
        <f t="shared" si="11"/>
        <v>成新度</v>
      </c>
      <c r="R37" s="769" t="s">
        <v>21</v>
      </c>
      <c r="S37" s="770" t="e">
        <f t="shared" si="12"/>
        <v>#N/A</v>
      </c>
      <c r="T37" s="769" t="s">
        <v>21</v>
      </c>
      <c r="U37" s="770" t="e">
        <f t="shared" si="13"/>
        <v>#N/A</v>
      </c>
      <c r="V37" s="769" t="s">
        <v>21</v>
      </c>
      <c r="W37" s="770" t="e">
        <f t="shared" si="14"/>
        <v>#N/A</v>
      </c>
      <c r="X37" s="771"/>
      <c r="Y37" s="3256"/>
      <c r="Z37" s="55" t="str">
        <f t="shared" si="18"/>
        <v>成新度</v>
      </c>
      <c r="AA37" s="772" t="e">
        <f t="shared" si="15"/>
        <v>#N/A</v>
      </c>
      <c r="AB37" s="772" t="e">
        <f t="shared" si="16"/>
        <v>#N/A</v>
      </c>
      <c r="AC37" s="772" t="e">
        <f t="shared" si="17"/>
        <v>#N/A</v>
      </c>
    </row>
    <row r="38" spans="1:29" ht="15">
      <c r="A38" s="471"/>
      <c r="B38" s="421" t="s">
        <v>2551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8"/>
      <c r="M38" s="1129"/>
      <c r="N38" s="1129"/>
      <c r="O38" s="1129"/>
      <c r="P38" s="3299" t="s">
        <v>2545</v>
      </c>
      <c r="Q38" s="1805" t="str">
        <f t="shared" si="11"/>
        <v>物业管理</v>
      </c>
      <c r="R38" s="773" t="s">
        <v>21</v>
      </c>
      <c r="S38" s="774">
        <f t="shared" si="12"/>
        <v>100</v>
      </c>
      <c r="T38" s="773" t="s">
        <v>21</v>
      </c>
      <c r="U38" s="774">
        <f t="shared" si="13"/>
        <v>100</v>
      </c>
      <c r="V38" s="773" t="s">
        <v>21</v>
      </c>
      <c r="W38" s="774">
        <f t="shared" si="14"/>
        <v>100</v>
      </c>
      <c r="X38" s="1808"/>
      <c r="Y38" s="3256" t="s">
        <v>2545</v>
      </c>
      <c r="Z38" s="1809" t="str">
        <f t="shared" si="18"/>
        <v>物业管理</v>
      </c>
      <c r="AA38" s="1806">
        <f t="shared" si="15"/>
        <v>1</v>
      </c>
      <c r="AB38" s="1806">
        <f t="shared" si="16"/>
        <v>1</v>
      </c>
      <c r="AC38" s="1806">
        <f t="shared" si="17"/>
        <v>1</v>
      </c>
    </row>
    <row r="39" spans="1:29" ht="15">
      <c r="A39" s="471"/>
      <c r="B39" s="421" t="s">
        <v>2552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8"/>
      <c r="M39" s="1129"/>
      <c r="N39" s="1129"/>
      <c r="O39" s="1129"/>
      <c r="P39" s="3299"/>
      <c r="Q39" s="1805" t="str">
        <f t="shared" si="11"/>
        <v>市政基础设施</v>
      </c>
      <c r="R39" s="773" t="s">
        <v>21</v>
      </c>
      <c r="S39" s="774">
        <f t="shared" si="12"/>
        <v>100</v>
      </c>
      <c r="T39" s="773" t="s">
        <v>21</v>
      </c>
      <c r="U39" s="774">
        <f t="shared" si="13"/>
        <v>100</v>
      </c>
      <c r="V39" s="773" t="s">
        <v>21</v>
      </c>
      <c r="W39" s="774">
        <f t="shared" si="14"/>
        <v>100</v>
      </c>
      <c r="X39" s="1808"/>
      <c r="Y39" s="3256"/>
      <c r="Z39" s="1809" t="str">
        <f t="shared" si="18"/>
        <v>市政基础设施</v>
      </c>
      <c r="AA39" s="1806">
        <f t="shared" si="15"/>
        <v>1</v>
      </c>
      <c r="AB39" s="1806">
        <f t="shared" si="16"/>
        <v>1</v>
      </c>
      <c r="AC39" s="1806">
        <f t="shared" si="17"/>
        <v>1</v>
      </c>
    </row>
    <row r="40" spans="1:29" ht="15">
      <c r="A40" s="471"/>
      <c r="B40" s="421" t="s">
        <v>2553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8"/>
      <c r="M40" s="1129"/>
      <c r="N40" s="1129"/>
      <c r="O40" s="1129"/>
      <c r="P40" s="3299"/>
      <c r="Q40" s="1805" t="str">
        <f t="shared" si="11"/>
        <v>房型</v>
      </c>
      <c r="R40" s="773" t="s">
        <v>21</v>
      </c>
      <c r="S40" s="774">
        <f t="shared" si="12"/>
        <v>100</v>
      </c>
      <c r="T40" s="773" t="s">
        <v>21</v>
      </c>
      <c r="U40" s="774">
        <f t="shared" si="13"/>
        <v>100</v>
      </c>
      <c r="V40" s="773" t="s">
        <v>21</v>
      </c>
      <c r="W40" s="774">
        <f t="shared" si="14"/>
        <v>100</v>
      </c>
      <c r="X40" s="1808"/>
      <c r="Y40" s="3256"/>
      <c r="Z40" s="1809" t="str">
        <f t="shared" si="18"/>
        <v>房型</v>
      </c>
      <c r="AA40" s="1806">
        <f t="shared" si="15"/>
        <v>1</v>
      </c>
      <c r="AB40" s="1806">
        <f t="shared" si="16"/>
        <v>1</v>
      </c>
      <c r="AC40" s="1806">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6"/>
      <c r="M41" s="1139"/>
      <c r="N41" s="1139"/>
      <c r="O41" s="1139"/>
      <c r="P41" s="3299"/>
      <c r="Q41" s="775" t="str">
        <f t="shared" si="11"/>
        <v>单套/主力户型建筑面积</v>
      </c>
      <c r="R41" s="776" t="s">
        <v>21</v>
      </c>
      <c r="S41" s="777">
        <f t="shared" si="12"/>
        <v>100</v>
      </c>
      <c r="T41" s="776" t="s">
        <v>21</v>
      </c>
      <c r="U41" s="777">
        <f t="shared" si="13"/>
        <v>100</v>
      </c>
      <c r="V41" s="776" t="s">
        <v>21</v>
      </c>
      <c r="W41" s="777">
        <f t="shared" si="14"/>
        <v>100</v>
      </c>
      <c r="X41" s="778"/>
      <c r="Y41" s="3256"/>
      <c r="Z41" s="779" t="str">
        <f t="shared" si="18"/>
        <v>单套/主力户型建筑面积</v>
      </c>
      <c r="AA41" s="1806">
        <f t="shared" si="15"/>
        <v>1</v>
      </c>
      <c r="AB41" s="1806">
        <f t="shared" si="16"/>
        <v>1</v>
      </c>
      <c r="AC41" s="1806">
        <f t="shared" si="17"/>
        <v>1</v>
      </c>
    </row>
    <row r="42" spans="1:29" ht="15">
      <c r="A42" s="471"/>
      <c r="B42" s="421" t="s">
        <v>2555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8"/>
      <c r="M42" s="1129"/>
      <c r="N42" s="1129"/>
      <c r="O42" s="1129"/>
      <c r="P42" s="3299"/>
      <c r="Q42" s="1805" t="str">
        <f t="shared" si="11"/>
        <v>内部装修</v>
      </c>
      <c r="R42" s="773" t="s">
        <v>21</v>
      </c>
      <c r="S42" s="774">
        <f t="shared" si="12"/>
        <v>100</v>
      </c>
      <c r="T42" s="773" t="s">
        <v>21</v>
      </c>
      <c r="U42" s="774">
        <f t="shared" si="13"/>
        <v>100</v>
      </c>
      <c r="V42" s="773" t="s">
        <v>21</v>
      </c>
      <c r="W42" s="774">
        <f t="shared" si="14"/>
        <v>100</v>
      </c>
      <c r="X42" s="1808"/>
      <c r="Y42" s="3256"/>
      <c r="Z42" s="1809" t="str">
        <f t="shared" si="18"/>
        <v>内部装修</v>
      </c>
      <c r="AA42" s="1806">
        <f t="shared" si="15"/>
        <v>1</v>
      </c>
      <c r="AB42" s="1806">
        <f t="shared" si="16"/>
        <v>1</v>
      </c>
      <c r="AC42" s="1806">
        <f t="shared" si="17"/>
        <v>1</v>
      </c>
    </row>
    <row r="43" spans="1:29" ht="15">
      <c r="A43" s="471"/>
      <c r="B43" s="421" t="s">
        <v>2556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8"/>
      <c r="M43" s="1129"/>
      <c r="N43" s="1129"/>
      <c r="O43" s="1129"/>
      <c r="P43" s="3299"/>
      <c r="Q43" s="1805" t="str">
        <f t="shared" si="11"/>
        <v>内部装修维护情况</v>
      </c>
      <c r="R43" s="773" t="s">
        <v>21</v>
      </c>
      <c r="S43" s="774">
        <f t="shared" si="12"/>
        <v>100</v>
      </c>
      <c r="T43" s="773" t="s">
        <v>21</v>
      </c>
      <c r="U43" s="774">
        <f t="shared" si="13"/>
        <v>100</v>
      </c>
      <c r="V43" s="773" t="s">
        <v>21</v>
      </c>
      <c r="W43" s="774">
        <f t="shared" si="14"/>
        <v>100</v>
      </c>
      <c r="X43" s="1808"/>
      <c r="Y43" s="3256"/>
      <c r="Z43" s="1809" t="str">
        <f t="shared" si="18"/>
        <v>内部装修维护情况</v>
      </c>
      <c r="AA43" s="1806">
        <f t="shared" si="15"/>
        <v>1</v>
      </c>
      <c r="AB43" s="1806">
        <f t="shared" si="16"/>
        <v>1</v>
      </c>
      <c r="AC43" s="180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0"/>
      <c r="M44" s="1131"/>
      <c r="N44" s="1131"/>
      <c r="O44" s="1131"/>
      <c r="P44" s="3299"/>
      <c r="Q44" s="1790">
        <f t="shared" si="11"/>
        <v>111</v>
      </c>
      <c r="R44" s="769" t="s">
        <v>21</v>
      </c>
      <c r="S44" s="770">
        <f t="shared" si="12"/>
        <v>100</v>
      </c>
      <c r="T44" s="769" t="s">
        <v>21</v>
      </c>
      <c r="U44" s="770">
        <f t="shared" si="13"/>
        <v>100</v>
      </c>
      <c r="V44" s="769" t="s">
        <v>21</v>
      </c>
      <c r="W44" s="770">
        <f t="shared" si="14"/>
        <v>100</v>
      </c>
      <c r="X44" s="771"/>
      <c r="Y44" s="3256"/>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8"/>
      <c r="M45" s="1129"/>
      <c r="N45" s="1129"/>
      <c r="O45" s="1129"/>
      <c r="P45" s="3299"/>
      <c r="Q45" s="1805">
        <f t="shared" si="11"/>
        <v>111</v>
      </c>
      <c r="R45" s="773" t="s">
        <v>21</v>
      </c>
      <c r="S45" s="774">
        <f t="shared" si="12"/>
        <v>100</v>
      </c>
      <c r="T45" s="773" t="s">
        <v>21</v>
      </c>
      <c r="U45" s="774">
        <f t="shared" si="13"/>
        <v>100</v>
      </c>
      <c r="V45" s="773" t="s">
        <v>21</v>
      </c>
      <c r="W45" s="774">
        <f t="shared" si="14"/>
        <v>100</v>
      </c>
      <c r="X45" s="1808"/>
      <c r="Y45" s="3256"/>
      <c r="Z45" s="1809">
        <f t="shared" si="18"/>
        <v>111</v>
      </c>
      <c r="AA45" s="1806">
        <f t="shared" si="15"/>
        <v>1</v>
      </c>
      <c r="AB45" s="1806">
        <f t="shared" si="16"/>
        <v>1</v>
      </c>
      <c r="AC45" s="1806">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8"/>
      <c r="M46" s="1129"/>
      <c r="N46" s="1129"/>
      <c r="O46" s="1129"/>
      <c r="P46" s="3300"/>
      <c r="Q46" s="1805">
        <f t="shared" si="11"/>
        <v>111</v>
      </c>
      <c r="R46" s="773" t="s">
        <v>20</v>
      </c>
      <c r="S46" s="774">
        <f t="shared" si="12"/>
        <v>100</v>
      </c>
      <c r="T46" s="773" t="s">
        <v>20</v>
      </c>
      <c r="U46" s="774">
        <f t="shared" si="13"/>
        <v>100</v>
      </c>
      <c r="V46" s="773" t="s">
        <v>20</v>
      </c>
      <c r="W46" s="774">
        <f t="shared" si="14"/>
        <v>100</v>
      </c>
      <c r="X46" s="1808"/>
      <c r="Y46" s="3301"/>
      <c r="Z46" s="1809">
        <f t="shared" si="18"/>
        <v>111</v>
      </c>
      <c r="AA46" s="1806">
        <f t="shared" si="15"/>
        <v>1</v>
      </c>
      <c r="AB46" s="1806">
        <f t="shared" si="16"/>
        <v>1</v>
      </c>
      <c r="AC46" s="1806">
        <f t="shared" si="17"/>
        <v>1</v>
      </c>
    </row>
    <row r="47" spans="1:29" ht="15">
      <c r="A47" s="478" t="s">
        <v>2557</v>
      </c>
      <c r="B47" s="479"/>
      <c r="C47" s="1403" t="s">
        <v>19</v>
      </c>
      <c r="D47" s="1404"/>
      <c r="E47" s="1405"/>
      <c r="F47" s="1406"/>
      <c r="G47" s="1407"/>
      <c r="H47" s="1408"/>
      <c r="I47" s="1405"/>
      <c r="J47" s="1408"/>
      <c r="K47" s="2612"/>
      <c r="L47" s="1141"/>
      <c r="M47" s="1142"/>
      <c r="N47" s="1129"/>
      <c r="O47" s="1142"/>
      <c r="P47" s="3238" t="str">
        <f>A47</f>
        <v>成交单价（元/平方米）</v>
      </c>
      <c r="Q47" s="3238"/>
      <c r="R47" s="3297">
        <f>E47</f>
        <v>0</v>
      </c>
      <c r="S47" s="3297"/>
      <c r="T47" s="3297">
        <f>G47</f>
        <v>0</v>
      </c>
      <c r="U47" s="3297"/>
      <c r="V47" s="3297">
        <f>I47</f>
        <v>0</v>
      </c>
      <c r="W47" s="3297"/>
      <c r="X47" s="758"/>
      <c r="Y47" s="780"/>
      <c r="Z47" s="758"/>
      <c r="AA47" s="758"/>
      <c r="AB47" s="758"/>
      <c r="AC47" s="758"/>
    </row>
    <row r="48" spans="1:29" ht="15.75" thickBot="1">
      <c r="A48" s="485" t="s">
        <v>2558</v>
      </c>
      <c r="B48" s="486"/>
      <c r="C48" s="1409" t="e">
        <f>R49</f>
        <v>#DIV/0!</v>
      </c>
      <c r="D48" s="1410"/>
      <c r="E48" s="1411" t="e">
        <f>R48</f>
        <v>#DIV/0!</v>
      </c>
      <c r="F48" s="1411"/>
      <c r="G48" s="1409" t="e">
        <f>T48</f>
        <v>#DIV/0!</v>
      </c>
      <c r="H48" s="1410"/>
      <c r="I48" s="1411" t="e">
        <f>V48</f>
        <v>#DIV/0!</v>
      </c>
      <c r="J48" s="1410"/>
      <c r="K48" s="2613"/>
      <c r="L48" s="1141"/>
      <c r="M48" s="1142"/>
      <c r="N48" s="1142"/>
      <c r="O48" s="1142"/>
      <c r="P48" s="3238" t="str">
        <f>A48</f>
        <v>比较价值（元/平方米）</v>
      </c>
      <c r="Q48" s="3238"/>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2559</v>
      </c>
      <c r="B49" s="492"/>
      <c r="C49" s="1412" t="e">
        <f>R49</f>
        <v>#DIV/0!</v>
      </c>
      <c r="D49" s="1413"/>
      <c r="E49" s="1413"/>
      <c r="F49" s="1413"/>
      <c r="G49" s="1413"/>
      <c r="H49" s="1413"/>
      <c r="I49" s="1413"/>
      <c r="J49" s="1413"/>
      <c r="K49" s="2614"/>
      <c r="L49" s="1141"/>
      <c r="M49" s="1142"/>
      <c r="N49" s="1142"/>
      <c r="O49" s="1142"/>
      <c r="P49" s="3258" t="str">
        <f>A49</f>
        <v>估价对象XX用房的比较价值（楼面单价，元/平方米）</v>
      </c>
      <c r="Q49" s="3259"/>
      <c r="R49" s="3296" t="e">
        <f>IF(F1="售价",ROUND(AVERAGE(R48:V48),0),ROUND(AVERAGE(R48:V48),1))</f>
        <v>#DIV/0!</v>
      </c>
      <c r="S49" s="3296"/>
      <c r="T49" s="3296"/>
      <c r="U49" s="3296"/>
      <c r="V49" s="3296"/>
      <c r="W49" s="329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2563</v>
      </c>
      <c r="B57" s="758"/>
      <c r="C57" s="763"/>
      <c r="D57" s="763"/>
      <c r="E57" s="763"/>
      <c r="F57" s="764"/>
      <c r="G57" s="764"/>
      <c r="H57" s="763"/>
      <c r="I57" s="763"/>
      <c r="J57" s="763"/>
      <c r="K57" s="1158"/>
      <c r="L57" s="1159"/>
      <c r="M57" s="1157"/>
      <c r="N57" s="1157"/>
      <c r="O57" s="1157"/>
      <c r="P57" s="2617"/>
      <c r="Q57" s="503"/>
    </row>
    <row r="58" spans="1:29" s="507" customFormat="1" ht="15">
      <c r="A58" s="504" t="s">
        <v>2564</v>
      </c>
      <c r="B58" s="505"/>
      <c r="C58" s="1571" t="str">
        <f>YEAR(C7)&amp;"-"&amp;MONTH(C7)</f>
        <v>2021-4</v>
      </c>
      <c r="D58" s="1570">
        <f>EDATE(C58,-1)</f>
        <v>44256</v>
      </c>
      <c r="E58" s="1570">
        <f>EDATE(D58,-1)</f>
        <v>44228</v>
      </c>
      <c r="F58" s="1570">
        <f t="shared" ref="F58:O58" si="19">EDATE(E58,-1)</f>
        <v>44197</v>
      </c>
      <c r="G58" s="1570">
        <f t="shared" si="19"/>
        <v>44166</v>
      </c>
      <c r="H58" s="1570">
        <f t="shared" si="19"/>
        <v>44136</v>
      </c>
      <c r="I58" s="1570">
        <f t="shared" si="19"/>
        <v>44105</v>
      </c>
      <c r="J58" s="1570">
        <f t="shared" si="19"/>
        <v>44075</v>
      </c>
      <c r="K58" s="1570">
        <f t="shared" si="19"/>
        <v>44044</v>
      </c>
      <c r="L58" s="1570">
        <f t="shared" si="19"/>
        <v>44013</v>
      </c>
      <c r="M58" s="1570">
        <f t="shared" si="19"/>
        <v>43983</v>
      </c>
      <c r="N58" s="1570">
        <f t="shared" si="19"/>
        <v>43952</v>
      </c>
      <c r="O58" s="1570">
        <f t="shared" si="19"/>
        <v>43922</v>
      </c>
      <c r="P58" s="1565"/>
    </row>
    <row r="59" spans="1:29" s="116" customFormat="1" ht="15">
      <c r="A59" s="508"/>
      <c r="B59" s="2618"/>
      <c r="C59" s="1568">
        <v>100</v>
      </c>
      <c r="D59" s="510"/>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2566</v>
      </c>
      <c r="B61" s="509"/>
      <c r="C61" s="521" t="s">
        <v>2567</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2085</v>
      </c>
      <c r="C82" s="538" t="s">
        <v>2584</v>
      </c>
      <c r="D82" s="538" t="s">
        <v>2585</v>
      </c>
      <c r="E82" s="538" t="s">
        <v>2586</v>
      </c>
      <c r="F82" s="538" t="s">
        <v>2587</v>
      </c>
      <c r="G82" s="538" t="s">
        <v>2588</v>
      </c>
      <c r="H82" s="538"/>
      <c r="I82" s="538"/>
      <c r="J82" s="538"/>
      <c r="K82" s="538"/>
      <c r="L82" s="538"/>
      <c r="M82" s="1379"/>
      <c r="N82" s="1151"/>
      <c r="O82" s="1151"/>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2590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2591</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2543</v>
      </c>
      <c r="B100" s="527" t="s">
        <v>2592</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15.7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2595</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2596</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2597</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2598</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2599</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2554</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2602</v>
      </c>
    </row>
    <row r="137" spans="1:17" ht="15">
      <c r="B137" s="2629" t="s">
        <v>2603</v>
      </c>
      <c r="C137" s="2630"/>
      <c r="D137" s="2630"/>
      <c r="E137" s="2630"/>
      <c r="F137" s="2630"/>
      <c r="G137" s="2631"/>
      <c r="H137" s="2632"/>
      <c r="I137" s="2633" t="s">
        <v>2604</v>
      </c>
      <c r="J137" s="2630"/>
      <c r="K137" s="2634"/>
    </row>
    <row r="138" spans="1:17" ht="15">
      <c r="B138" s="2635"/>
      <c r="C138" s="145" t="s">
        <v>2605</v>
      </c>
      <c r="D138" s="145" t="s">
        <v>2606</v>
      </c>
      <c r="E138" s="2636" t="s">
        <v>2607</v>
      </c>
      <c r="F138" s="2637" t="s">
        <v>2608</v>
      </c>
      <c r="G138" s="145" t="s">
        <v>2606</v>
      </c>
      <c r="H138" s="146" t="s">
        <v>2607</v>
      </c>
      <c r="I138" s="2638"/>
      <c r="J138" s="145" t="s">
        <v>2609</v>
      </c>
      <c r="K138" s="146" t="s">
        <v>2610</v>
      </c>
    </row>
    <row r="139" spans="1:17" ht="15">
      <c r="B139" s="1082">
        <v>6</v>
      </c>
      <c r="C139" s="1083">
        <v>96</v>
      </c>
      <c r="D139" s="2639" t="s">
        <v>2611</v>
      </c>
      <c r="E139" s="1084">
        <v>100</v>
      </c>
      <c r="F139" s="1085">
        <v>102.5</v>
      </c>
      <c r="G139" s="2639" t="s">
        <v>2611</v>
      </c>
      <c r="H139" s="1086">
        <v>105</v>
      </c>
      <c r="I139" s="2640" t="s">
        <v>2612</v>
      </c>
      <c r="J139" s="1083">
        <v>20</v>
      </c>
      <c r="K139" s="1087">
        <f>C145/(J139-2)</f>
        <v>4.0555555555555553E-3</v>
      </c>
    </row>
    <row r="140" spans="1:17" ht="15">
      <c r="B140" s="1088">
        <v>5</v>
      </c>
      <c r="C140" s="1089">
        <v>100</v>
      </c>
      <c r="D140" s="1089"/>
      <c r="E140" s="1090"/>
      <c r="F140" s="1091">
        <v>102</v>
      </c>
      <c r="G140" s="1089"/>
      <c r="H140" s="1092"/>
      <c r="I140" s="2641" t="s">
        <v>2613</v>
      </c>
      <c r="J140" s="314">
        <f>ROUNDUP((J139-1)/2,0)</f>
        <v>10</v>
      </c>
      <c r="K140" s="1093">
        <v>100</v>
      </c>
    </row>
    <row r="141" spans="1:17" ht="15">
      <c r="B141" s="1088">
        <v>4</v>
      </c>
      <c r="C141" s="1089">
        <v>102</v>
      </c>
      <c r="D141" s="1089"/>
      <c r="E141" s="1090"/>
      <c r="F141" s="1091">
        <v>101.5</v>
      </c>
      <c r="G141" s="1089"/>
      <c r="H141" s="1092"/>
      <c r="I141" s="2641" t="s">
        <v>2614</v>
      </c>
      <c r="J141" s="314">
        <v>1</v>
      </c>
      <c r="K141" s="1094">
        <f>ROUND(100+(J141-J140)*K139*100,1)</f>
        <v>96.4</v>
      </c>
    </row>
    <row r="142" spans="1:17" ht="15">
      <c r="B142" s="1088">
        <v>3</v>
      </c>
      <c r="C142" s="1089">
        <v>103</v>
      </c>
      <c r="D142" s="1089"/>
      <c r="E142" s="1090"/>
      <c r="F142" s="1091">
        <v>101</v>
      </c>
      <c r="G142" s="1089"/>
      <c r="H142" s="1092"/>
      <c r="I142" s="2641" t="s">
        <v>2615</v>
      </c>
      <c r="J142" s="314">
        <f>J139</f>
        <v>20</v>
      </c>
      <c r="K142" s="1095">
        <v>95</v>
      </c>
    </row>
    <row r="143" spans="1:17" ht="15">
      <c r="B143" s="1088">
        <v>2</v>
      </c>
      <c r="C143" s="1089">
        <v>100</v>
      </c>
      <c r="D143" s="1089"/>
      <c r="E143" s="1090"/>
      <c r="F143" s="1091">
        <v>100.5</v>
      </c>
      <c r="G143" s="1089"/>
      <c r="H143" s="1092"/>
      <c r="I143" s="2641" t="s">
        <v>2616</v>
      </c>
      <c r="J143" s="1089">
        <v>15</v>
      </c>
      <c r="K143" s="1094">
        <f>ROUND(100+(J143-J140)*K139*100,1)</f>
        <v>102</v>
      </c>
    </row>
    <row r="144" spans="1:17" ht="15">
      <c r="B144" s="1088">
        <v>1</v>
      </c>
      <c r="C144" s="1089">
        <v>98</v>
      </c>
      <c r="D144" s="2642" t="s">
        <v>2617</v>
      </c>
      <c r="E144" s="1090">
        <v>102</v>
      </c>
      <c r="F144" s="1096">
        <v>100</v>
      </c>
      <c r="G144" s="2642" t="s">
        <v>2617</v>
      </c>
      <c r="H144" s="1092">
        <v>105</v>
      </c>
      <c r="I144" s="2641" t="s">
        <v>2616</v>
      </c>
      <c r="J144" s="1089">
        <v>18</v>
      </c>
      <c r="K144" s="1094">
        <f>ROUND(100+(J144-J140)*K139*100,1)</f>
        <v>103.2</v>
      </c>
    </row>
    <row r="145" spans="2:11" ht="15.75" thickBot="1">
      <c r="B145" s="2643" t="s">
        <v>2618</v>
      </c>
      <c r="C145" s="1097">
        <f>ROUND(MAX(C139:C144)/MIN(C139:C144)-1,3)</f>
        <v>7.2999999999999995E-2</v>
      </c>
      <c r="D145" s="1098"/>
      <c r="E145" s="1098"/>
      <c r="F145" s="2644" t="s">
        <v>2619</v>
      </c>
      <c r="G145" s="2645"/>
      <c r="H145" s="2646"/>
      <c r="I145" s="2647" t="s">
        <v>2616</v>
      </c>
      <c r="J145" s="1099">
        <v>8</v>
      </c>
      <c r="K145" s="1100">
        <f>ROUND(100+(J145-J140)*K139*100,1)</f>
        <v>99.2</v>
      </c>
    </row>
    <row r="147" spans="2:11">
      <c r="B147" s="2628" t="s">
        <v>2620</v>
      </c>
    </row>
    <row r="148" spans="2:11">
      <c r="B148" s="2628" t="s">
        <v>2621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2622</v>
      </c>
      <c r="C1" s="1629" t="s">
        <v>2510</v>
      </c>
      <c r="D1" s="1616"/>
      <c r="E1" s="2648"/>
      <c r="F1" s="2575"/>
      <c r="G1" s="1626" t="s">
        <v>2623</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7" customFormat="1" ht="28.5" customHeight="1" thickTop="1">
      <c r="A2" s="1612" t="s">
        <v>2307</v>
      </c>
      <c r="B2" s="1414" t="e">
        <f ca="1">IF(C2="——",ROUND(C49*D3/10000,0),ROUND(C49*D3/10000,0)-D2)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2309</v>
      </c>
      <c r="B3" s="608" t="e">
        <f ca="1">IF(C2="——",C49,ROUND(B2*10000/D3,0))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51" t="s">
        <v>2628</v>
      </c>
      <c r="AC4" s="3221" t="s">
        <v>2629</v>
      </c>
    </row>
    <row r="5" spans="1:29" ht="15">
      <c r="A5" s="403"/>
      <c r="B5" s="404"/>
      <c r="C5" s="3232" t="s">
        <v>2522</v>
      </c>
      <c r="D5" s="3233"/>
      <c r="E5" s="3230" t="s">
        <v>2523</v>
      </c>
      <c r="F5" s="3231"/>
      <c r="G5" s="3232" t="s">
        <v>2524</v>
      </c>
      <c r="H5" s="3233"/>
      <c r="I5" s="3232" t="s">
        <v>2525</v>
      </c>
      <c r="J5" s="3233"/>
      <c r="K5" s="609"/>
      <c r="L5" s="1128"/>
      <c r="M5" s="1129"/>
      <c r="N5" s="1129"/>
      <c r="O5" s="1129"/>
      <c r="P5" s="3245"/>
      <c r="Q5" s="3246"/>
      <c r="R5" s="3228"/>
      <c r="S5" s="3229"/>
      <c r="T5" s="3228"/>
      <c r="U5" s="3229"/>
      <c r="V5" s="3251"/>
      <c r="W5" s="3251"/>
      <c r="X5" s="1808"/>
      <c r="Y5" s="3228"/>
      <c r="Z5" s="3229"/>
      <c r="AA5" s="3222"/>
      <c r="AB5" s="3251"/>
      <c r="AC5" s="3222"/>
    </row>
    <row r="6" spans="1:29" ht="15.75" thickBot="1">
      <c r="A6" s="405"/>
      <c r="B6" s="406"/>
      <c r="C6" s="3234" t="s">
        <v>2526</v>
      </c>
      <c r="D6" s="3235"/>
      <c r="E6" s="3236" t="s">
        <v>2526</v>
      </c>
      <c r="F6" s="3237"/>
      <c r="G6" s="3234" t="s">
        <v>2526</v>
      </c>
      <c r="H6" s="3235"/>
      <c r="I6" s="3234" t="s">
        <v>2526</v>
      </c>
      <c r="J6" s="3235"/>
      <c r="K6" s="609" t="s">
        <v>2527</v>
      </c>
      <c r="L6" s="1128"/>
      <c r="M6" s="1129"/>
      <c r="N6" s="1129"/>
      <c r="O6" s="1129"/>
      <c r="P6" s="3247"/>
      <c r="Q6" s="3248"/>
      <c r="R6" s="3228"/>
      <c r="S6" s="3229"/>
      <c r="T6" s="3249"/>
      <c r="U6" s="3250"/>
      <c r="V6" s="3251"/>
      <c r="W6" s="3251"/>
      <c r="X6" s="1808"/>
      <c r="Y6" s="3249"/>
      <c r="Z6" s="3250"/>
      <c r="AA6" s="3223"/>
      <c r="AB6" s="3251"/>
      <c r="AC6" s="3223"/>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4" t="s">
        <v>2529</v>
      </c>
      <c r="Q7" s="3252"/>
      <c r="R7" s="769" t="s">
        <v>17</v>
      </c>
      <c r="S7" s="770">
        <f t="shared" ref="S7:S15" si="0">F7</f>
        <v>0</v>
      </c>
      <c r="T7" s="769" t="s">
        <v>17</v>
      </c>
      <c r="U7" s="770">
        <f t="shared" ref="U7:U15" si="1">H7</f>
        <v>0</v>
      </c>
      <c r="V7" s="769" t="s">
        <v>17</v>
      </c>
      <c r="W7" s="770">
        <f t="shared" ref="W7:W15" si="2">J7</f>
        <v>0</v>
      </c>
      <c r="X7" s="771"/>
      <c r="Y7" s="3224" t="s">
        <v>2529</v>
      </c>
      <c r="Z7" s="3225"/>
      <c r="AA7" s="772" t="e">
        <f>D7/F7</f>
        <v>#DIV/0!</v>
      </c>
      <c r="AB7" s="772" t="e">
        <f>D7/H7</f>
        <v>#DIV/0!</v>
      </c>
      <c r="AC7" s="772" t="e">
        <f>D7/J7</f>
        <v>#DIV/0!</v>
      </c>
    </row>
    <row r="8" spans="1:29" s="116" customFormat="1" ht="15.7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4" t="s">
        <v>2532</v>
      </c>
      <c r="Q8" s="3225"/>
      <c r="R8" s="769" t="s">
        <v>17</v>
      </c>
      <c r="S8" s="770">
        <f t="shared" si="0"/>
        <v>0</v>
      </c>
      <c r="T8" s="769" t="s">
        <v>17</v>
      </c>
      <c r="U8" s="770">
        <f t="shared" si="1"/>
        <v>0</v>
      </c>
      <c r="V8" s="769" t="s">
        <v>17</v>
      </c>
      <c r="W8" s="770">
        <f t="shared" si="2"/>
        <v>0</v>
      </c>
      <c r="X8" s="771"/>
      <c r="Y8" s="3224" t="s">
        <v>2532</v>
      </c>
      <c r="Z8" s="3225"/>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62"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62"/>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62"/>
      <c r="Q11" s="1790"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62"/>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62"/>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62"/>
      <c r="Q14" s="1790">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15">
      <c r="A15" s="439" t="s">
        <v>2539</v>
      </c>
      <c r="B15" s="69" t="s">
        <v>2633</v>
      </c>
      <c r="C15" s="2594"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02" t="s">
        <v>2540</v>
      </c>
      <c r="Q15" s="1805" t="str">
        <f t="shared" si="6"/>
        <v>商业繁华度</v>
      </c>
      <c r="R15" s="773" t="s">
        <v>17</v>
      </c>
      <c r="S15" s="774">
        <f t="shared" si="0"/>
        <v>100</v>
      </c>
      <c r="T15" s="773" t="s">
        <v>17</v>
      </c>
      <c r="U15" s="774">
        <f t="shared" si="1"/>
        <v>100</v>
      </c>
      <c r="V15" s="773" t="s">
        <v>17</v>
      </c>
      <c r="W15" s="774">
        <f t="shared" si="2"/>
        <v>100</v>
      </c>
      <c r="X15" s="1808"/>
      <c r="Y15" s="3253" t="s">
        <v>2540</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29"/>
      <c r="P16" s="3303"/>
      <c r="Q16" s="1805"/>
      <c r="R16" s="773"/>
      <c r="S16" s="774"/>
      <c r="T16" s="773"/>
      <c r="U16" s="774"/>
      <c r="V16" s="773"/>
      <c r="W16" s="774"/>
      <c r="X16" s="1808"/>
      <c r="Y16" s="3254"/>
      <c r="Z16" s="1809"/>
      <c r="AA16" s="1806">
        <v>1</v>
      </c>
      <c r="AB16" s="1806">
        <v>1</v>
      </c>
      <c r="AC16" s="1806">
        <v>1</v>
      </c>
    </row>
    <row r="17" spans="1:29" ht="15">
      <c r="A17" s="427"/>
      <c r="B17" s="450" t="s">
        <v>2084</v>
      </c>
      <c r="C17" s="2598"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03"/>
      <c r="Q17" s="1805" t="str">
        <f>B17</f>
        <v>交通便捷度</v>
      </c>
      <c r="R17" s="773" t="s">
        <v>17</v>
      </c>
      <c r="S17" s="774">
        <f>F17</f>
        <v>100</v>
      </c>
      <c r="T17" s="773" t="s">
        <v>17</v>
      </c>
      <c r="U17" s="774">
        <f>H17</f>
        <v>100</v>
      </c>
      <c r="V17" s="773" t="s">
        <v>17</v>
      </c>
      <c r="W17" s="774">
        <f>J17</f>
        <v>100</v>
      </c>
      <c r="X17" s="1808"/>
      <c r="Y17" s="3254"/>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29"/>
      <c r="P18" s="3303"/>
      <c r="Q18" s="1805"/>
      <c r="R18" s="773"/>
      <c r="S18" s="774"/>
      <c r="T18" s="773"/>
      <c r="U18" s="774"/>
      <c r="V18" s="773"/>
      <c r="W18" s="774"/>
      <c r="X18" s="1808"/>
      <c r="Y18" s="3254"/>
      <c r="Z18" s="1809"/>
      <c r="AA18" s="1806">
        <v>1</v>
      </c>
      <c r="AB18" s="1806">
        <v>1</v>
      </c>
      <c r="AC18" s="1806">
        <v>1</v>
      </c>
    </row>
    <row r="19" spans="1:29" ht="15">
      <c r="A19" s="427"/>
      <c r="B19" s="450" t="s">
        <v>2634</v>
      </c>
      <c r="C19" s="2598"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03"/>
      <c r="Q19" s="1805" t="str">
        <f>B19</f>
        <v>公共配套设施</v>
      </c>
      <c r="R19" s="773" t="s">
        <v>17</v>
      </c>
      <c r="S19" s="774">
        <f>F19</f>
        <v>100</v>
      </c>
      <c r="T19" s="773" t="s">
        <v>17</v>
      </c>
      <c r="U19" s="774">
        <f>H19</f>
        <v>100</v>
      </c>
      <c r="V19" s="773" t="s">
        <v>17</v>
      </c>
      <c r="W19" s="774">
        <f>J19</f>
        <v>100</v>
      </c>
      <c r="X19" s="1808"/>
      <c r="Y19" s="3254"/>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29"/>
      <c r="P20" s="3303"/>
      <c r="Q20" s="1805"/>
      <c r="R20" s="773"/>
      <c r="S20" s="774"/>
      <c r="T20" s="773"/>
      <c r="U20" s="774"/>
      <c r="V20" s="773"/>
      <c r="W20" s="774"/>
      <c r="X20" s="1808"/>
      <c r="Y20" s="3254"/>
      <c r="Z20" s="1809"/>
      <c r="AA20" s="1806">
        <v>1</v>
      </c>
      <c r="AB20" s="1806">
        <v>1</v>
      </c>
      <c r="AC20" s="1806">
        <v>1</v>
      </c>
    </row>
    <row r="21" spans="1:29" ht="15">
      <c r="A21" s="427"/>
      <c r="B21" s="1381" t="s">
        <v>2635</v>
      </c>
      <c r="C21" s="2598"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54"/>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29"/>
      <c r="P22" s="3303"/>
      <c r="Q22" s="1805"/>
      <c r="R22" s="773"/>
      <c r="S22" s="774"/>
      <c r="T22" s="773"/>
      <c r="U22" s="774"/>
      <c r="V22" s="773"/>
      <c r="W22" s="774"/>
      <c r="X22" s="1808"/>
      <c r="Y22" s="3254"/>
      <c r="Z22" s="1809"/>
      <c r="AA22" s="1806">
        <v>1</v>
      </c>
      <c r="AB22" s="1806">
        <v>1</v>
      </c>
      <c r="AC22" s="1806">
        <v>1</v>
      </c>
    </row>
    <row r="23" spans="1:29" ht="15">
      <c r="A23" s="427"/>
      <c r="B23" s="450" t="s">
        <v>2089</v>
      </c>
      <c r="C23" s="2655"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03"/>
      <c r="Q23" s="1805" t="str">
        <f>B23</f>
        <v>自然及人文环境</v>
      </c>
      <c r="R23" s="773" t="s">
        <v>17</v>
      </c>
      <c r="S23" s="774">
        <f>F23</f>
        <v>100</v>
      </c>
      <c r="T23" s="773" t="s">
        <v>17</v>
      </c>
      <c r="U23" s="774">
        <f>H23</f>
        <v>100</v>
      </c>
      <c r="V23" s="773" t="s">
        <v>17</v>
      </c>
      <c r="W23" s="774">
        <f>J23</f>
        <v>100</v>
      </c>
      <c r="X23" s="1808"/>
      <c r="Y23" s="3254"/>
      <c r="Z23" s="1809" t="str">
        <f>Q23</f>
        <v>自然及人文环境</v>
      </c>
      <c r="AA23" s="1806">
        <f t="shared" si="3"/>
        <v>1</v>
      </c>
      <c r="AB23" s="1806">
        <f t="shared" si="4"/>
        <v>1</v>
      </c>
      <c r="AC23" s="1806">
        <f t="shared" si="5"/>
        <v>1</v>
      </c>
    </row>
    <row r="24" spans="1:29" ht="15">
      <c r="A24" s="427"/>
      <c r="B24" s="455"/>
      <c r="C24" s="446"/>
      <c r="D24" s="447"/>
      <c r="E24" s="2596"/>
      <c r="F24" s="448"/>
      <c r="G24" s="2595"/>
      <c r="H24" s="447"/>
      <c r="I24" s="2596"/>
      <c r="J24" s="447"/>
      <c r="K24" s="614"/>
      <c r="L24" s="1138"/>
      <c r="M24" s="1129"/>
      <c r="N24" s="1129"/>
      <c r="O24" s="1129"/>
      <c r="P24" s="3303"/>
      <c r="Q24" s="1805"/>
      <c r="R24" s="773"/>
      <c r="S24" s="774"/>
      <c r="T24" s="773"/>
      <c r="U24" s="774"/>
      <c r="V24" s="773"/>
      <c r="W24" s="774"/>
      <c r="X24" s="1808"/>
      <c r="Y24" s="3254"/>
      <c r="Z24" s="1809"/>
      <c r="AA24" s="1806">
        <v>1</v>
      </c>
      <c r="AB24" s="1806">
        <v>1</v>
      </c>
      <c r="AC24" s="1806">
        <v>1</v>
      </c>
    </row>
    <row r="25" spans="1:29" ht="1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03"/>
      <c r="Q25" s="1805" t="str">
        <f t="shared" ref="Q25:Q46" si="11">B25</f>
        <v>临街状况</v>
      </c>
      <c r="R25" s="773" t="s">
        <v>17</v>
      </c>
      <c r="S25" s="774">
        <f>F25</f>
        <v>100</v>
      </c>
      <c r="T25" s="773" t="s">
        <v>17</v>
      </c>
      <c r="U25" s="774">
        <f>H25</f>
        <v>100</v>
      </c>
      <c r="V25" s="773" t="s">
        <v>17</v>
      </c>
      <c r="W25" s="774">
        <f>J25</f>
        <v>100</v>
      </c>
      <c r="X25" s="1808"/>
      <c r="Y25" s="3254"/>
      <c r="Z25" s="1809" t="str">
        <f>Q25</f>
        <v>临街状况</v>
      </c>
      <c r="AA25" s="1806">
        <f t="shared" si="3"/>
        <v>1</v>
      </c>
      <c r="AB25" s="1806">
        <f t="shared" si="4"/>
        <v>1</v>
      </c>
      <c r="AC25" s="1806">
        <f t="shared" si="5"/>
        <v>1</v>
      </c>
    </row>
    <row r="26" spans="1:29" ht="15">
      <c r="A26" s="427"/>
      <c r="B26" s="1383"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03"/>
      <c r="Q26" s="1805" t="str">
        <f t="shared" si="11"/>
        <v>平面位置/可视性</v>
      </c>
      <c r="R26" s="773" t="s">
        <v>17</v>
      </c>
      <c r="S26" s="774">
        <f>F26</f>
        <v>100</v>
      </c>
      <c r="T26" s="773" t="s">
        <v>17</v>
      </c>
      <c r="U26" s="774">
        <f>H26</f>
        <v>100</v>
      </c>
      <c r="V26" s="773" t="s">
        <v>17</v>
      </c>
      <c r="W26" s="774">
        <f>J26</f>
        <v>100</v>
      </c>
      <c r="X26" s="1808"/>
      <c r="Y26" s="3254"/>
      <c r="Z26" s="1809" t="str">
        <f>Q26</f>
        <v>平面位置/可视性</v>
      </c>
      <c r="AA26" s="1806">
        <f t="shared" si="3"/>
        <v>1</v>
      </c>
      <c r="AB26" s="1806">
        <f t="shared" si="4"/>
        <v>1</v>
      </c>
      <c r="AC26" s="1806">
        <f t="shared" si="5"/>
        <v>1</v>
      </c>
    </row>
    <row r="27" spans="1:29" s="116" customFormat="1" ht="15">
      <c r="A27" s="430"/>
      <c r="B27" s="450" t="s">
        <v>2638</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303"/>
      <c r="Q27" s="1790" t="str">
        <f t="shared" si="11"/>
        <v>人流量</v>
      </c>
      <c r="R27" s="769" t="s">
        <v>17</v>
      </c>
      <c r="S27" s="770">
        <f>F27</f>
        <v>100</v>
      </c>
      <c r="T27" s="769" t="s">
        <v>17</v>
      </c>
      <c r="U27" s="770">
        <f>H27</f>
        <v>100</v>
      </c>
      <c r="V27" s="769" t="s">
        <v>17</v>
      </c>
      <c r="W27" s="770">
        <f>J27</f>
        <v>100</v>
      </c>
      <c r="X27" s="771"/>
      <c r="Y27" s="3254"/>
      <c r="Z27" s="55" t="str">
        <f>Q27</f>
        <v>人流量</v>
      </c>
      <c r="AA27" s="1806">
        <f>D27/F27</f>
        <v>1</v>
      </c>
      <c r="AB27" s="1806">
        <f>D27/H27</f>
        <v>1</v>
      </c>
      <c r="AC27" s="1806">
        <f>D27/J27</f>
        <v>1</v>
      </c>
    </row>
    <row r="28" spans="1:29" ht="1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03"/>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54"/>
      <c r="Z28" s="1809" t="str">
        <f t="shared" ref="Z28:Z46" si="15">Q28</f>
        <v>楼层</v>
      </c>
      <c r="AA28" s="1806">
        <f t="shared" si="3"/>
        <v>1</v>
      </c>
      <c r="AB28" s="1806">
        <f t="shared" si="4"/>
        <v>1</v>
      </c>
      <c r="AC28" s="1806">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03"/>
      <c r="Q29" s="1805">
        <f t="shared" si="11"/>
        <v>111</v>
      </c>
      <c r="R29" s="773" t="s">
        <v>17</v>
      </c>
      <c r="S29" s="774">
        <f t="shared" si="12"/>
        <v>100</v>
      </c>
      <c r="T29" s="773" t="s">
        <v>17</v>
      </c>
      <c r="U29" s="774">
        <f t="shared" si="13"/>
        <v>100</v>
      </c>
      <c r="V29" s="773" t="s">
        <v>17</v>
      </c>
      <c r="W29" s="774">
        <f t="shared" si="14"/>
        <v>100</v>
      </c>
      <c r="X29" s="1808"/>
      <c r="Y29" s="3254"/>
      <c r="Z29" s="1809">
        <f t="shared" si="15"/>
        <v>111</v>
      </c>
      <c r="AA29" s="1806">
        <f t="shared" si="3"/>
        <v>1</v>
      </c>
      <c r="AB29" s="1806">
        <f t="shared" si="4"/>
        <v>1</v>
      </c>
      <c r="AC29" s="1806">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03"/>
      <c r="Q30" s="1805">
        <f t="shared" si="11"/>
        <v>111</v>
      </c>
      <c r="R30" s="773" t="s">
        <v>17</v>
      </c>
      <c r="S30" s="774">
        <f t="shared" si="12"/>
        <v>100</v>
      </c>
      <c r="T30" s="773" t="s">
        <v>17</v>
      </c>
      <c r="U30" s="774">
        <f t="shared" si="13"/>
        <v>100</v>
      </c>
      <c r="V30" s="773" t="s">
        <v>17</v>
      </c>
      <c r="W30" s="774">
        <f t="shared" si="14"/>
        <v>100</v>
      </c>
      <c r="X30" s="1808"/>
      <c r="Y30" s="3254"/>
      <c r="Z30" s="1809">
        <f t="shared" si="15"/>
        <v>111</v>
      </c>
      <c r="AA30" s="1806">
        <f t="shared" si="3"/>
        <v>1</v>
      </c>
      <c r="AB30" s="1806">
        <f t="shared" si="4"/>
        <v>1</v>
      </c>
      <c r="AC30" s="1806">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03"/>
      <c r="Q31" s="1805">
        <f t="shared" si="11"/>
        <v>111</v>
      </c>
      <c r="R31" s="773" t="s">
        <v>17</v>
      </c>
      <c r="S31" s="774">
        <f t="shared" si="12"/>
        <v>100</v>
      </c>
      <c r="T31" s="773" t="s">
        <v>17</v>
      </c>
      <c r="U31" s="774">
        <f t="shared" si="13"/>
        <v>100</v>
      </c>
      <c r="V31" s="773" t="s">
        <v>17</v>
      </c>
      <c r="W31" s="774">
        <f t="shared" si="14"/>
        <v>100</v>
      </c>
      <c r="X31" s="1808"/>
      <c r="Y31" s="3254"/>
      <c r="Z31" s="1809">
        <f t="shared" si="15"/>
        <v>111</v>
      </c>
      <c r="AA31" s="1806">
        <f t="shared" si="3"/>
        <v>1</v>
      </c>
      <c r="AB31" s="1806">
        <f t="shared" si="4"/>
        <v>1</v>
      </c>
      <c r="AC31" s="1806">
        <f t="shared" si="5"/>
        <v>1</v>
      </c>
    </row>
    <row r="32" spans="1:29" ht="15">
      <c r="A32" s="439" t="s">
        <v>2543</v>
      </c>
      <c r="B32" s="71" t="s">
        <v>2640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8"/>
      <c r="M32" s="1129"/>
      <c r="N32" s="1129"/>
      <c r="O32" s="1129"/>
      <c r="P32" s="3298" t="s">
        <v>2545</v>
      </c>
      <c r="Q32" s="1805" t="str">
        <f t="shared" si="11"/>
        <v>商业类型</v>
      </c>
      <c r="R32" s="773" t="s">
        <v>17</v>
      </c>
      <c r="S32" s="774">
        <f t="shared" si="12"/>
        <v>100</v>
      </c>
      <c r="T32" s="773" t="s">
        <v>17</v>
      </c>
      <c r="U32" s="774">
        <f t="shared" si="13"/>
        <v>100</v>
      </c>
      <c r="V32" s="773" t="s">
        <v>17</v>
      </c>
      <c r="W32" s="774">
        <f t="shared" si="14"/>
        <v>100</v>
      </c>
      <c r="X32" s="1808"/>
      <c r="Y32" s="3256" t="s">
        <v>2545</v>
      </c>
      <c r="Z32" s="1809" t="str">
        <f t="shared" si="15"/>
        <v>商业类型</v>
      </c>
      <c r="AA32" s="1806">
        <f t="shared" si="3"/>
        <v>1</v>
      </c>
      <c r="AB32" s="1806">
        <f t="shared" si="4"/>
        <v>1</v>
      </c>
      <c r="AC32" s="1806">
        <f t="shared" si="5"/>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99"/>
      <c r="Q33" s="775" t="str">
        <f t="shared" si="11"/>
        <v>项目建筑规模</v>
      </c>
      <c r="R33" s="776" t="s">
        <v>17</v>
      </c>
      <c r="S33" s="777" t="e">
        <f t="shared" si="12"/>
        <v>#N/A</v>
      </c>
      <c r="T33" s="776" t="s">
        <v>17</v>
      </c>
      <c r="U33" s="777" t="e">
        <f t="shared" si="13"/>
        <v>#N/A</v>
      </c>
      <c r="V33" s="776" t="s">
        <v>17</v>
      </c>
      <c r="W33" s="777" t="e">
        <f t="shared" si="14"/>
        <v>#N/A</v>
      </c>
      <c r="X33" s="778"/>
      <c r="Y33" s="3256"/>
      <c r="Z33" s="779" t="str">
        <f t="shared" si="15"/>
        <v>项目建筑规模</v>
      </c>
      <c r="AA33" s="1806" t="e">
        <f t="shared" si="3"/>
        <v>#N/A</v>
      </c>
      <c r="AB33" s="1806" t="e">
        <f t="shared" si="4"/>
        <v>#N/A</v>
      </c>
      <c r="AC33" s="1806" t="e">
        <f t="shared" si="5"/>
        <v>#N/A</v>
      </c>
    </row>
    <row r="34" spans="1:29" ht="15">
      <c r="A34" s="471"/>
      <c r="B34" s="421" t="s">
        <v>2547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99"/>
      <c r="Q34" s="1805" t="str">
        <f t="shared" si="11"/>
        <v>建筑结构</v>
      </c>
      <c r="R34" s="773" t="s">
        <v>17</v>
      </c>
      <c r="S34" s="774">
        <f t="shared" si="12"/>
        <v>100</v>
      </c>
      <c r="T34" s="773" t="s">
        <v>17</v>
      </c>
      <c r="U34" s="774">
        <f t="shared" si="13"/>
        <v>100</v>
      </c>
      <c r="V34" s="773" t="s">
        <v>17</v>
      </c>
      <c r="W34" s="774">
        <f t="shared" si="14"/>
        <v>100</v>
      </c>
      <c r="X34" s="1808"/>
      <c r="Y34" s="3256"/>
      <c r="Z34" s="1809" t="str">
        <f t="shared" si="15"/>
        <v>建筑结构</v>
      </c>
      <c r="AA34" s="1806">
        <f t="shared" si="3"/>
        <v>1</v>
      </c>
      <c r="AB34" s="1806">
        <f t="shared" si="4"/>
        <v>1</v>
      </c>
      <c r="AC34" s="1806">
        <f t="shared" si="5"/>
        <v>1</v>
      </c>
    </row>
    <row r="35" spans="1:29" ht="15">
      <c r="A35" s="471"/>
      <c r="B35" s="421" t="s">
        <v>2641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8"/>
      <c r="M35" s="1129"/>
      <c r="N35" s="1129"/>
      <c r="O35" s="1129"/>
      <c r="P35" s="3299"/>
      <c r="Q35" s="1805" t="str">
        <f t="shared" si="11"/>
        <v>公共部分装修</v>
      </c>
      <c r="R35" s="773" t="s">
        <v>17</v>
      </c>
      <c r="S35" s="774">
        <f t="shared" si="12"/>
        <v>100</v>
      </c>
      <c r="T35" s="773" t="s">
        <v>17</v>
      </c>
      <c r="U35" s="774">
        <f t="shared" si="13"/>
        <v>100</v>
      </c>
      <c r="V35" s="773" t="s">
        <v>17</v>
      </c>
      <c r="W35" s="774">
        <f t="shared" si="14"/>
        <v>100</v>
      </c>
      <c r="X35" s="1808"/>
      <c r="Y35" s="3256"/>
      <c r="Z35" s="1809" t="str">
        <f t="shared" si="15"/>
        <v>公共部分装修</v>
      </c>
      <c r="AA35" s="1806">
        <f t="shared" si="3"/>
        <v>1</v>
      </c>
      <c r="AB35" s="1806">
        <f t="shared" si="4"/>
        <v>1</v>
      </c>
      <c r="AC35" s="1806">
        <f t="shared" si="5"/>
        <v>1</v>
      </c>
    </row>
    <row r="36" spans="1:29" ht="1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99"/>
      <c r="Q36" s="1805" t="str">
        <f t="shared" si="11"/>
        <v>成新度</v>
      </c>
      <c r="R36" s="773" t="s">
        <v>17</v>
      </c>
      <c r="S36" s="774" t="e">
        <f t="shared" si="12"/>
        <v>#N/A</v>
      </c>
      <c r="T36" s="773" t="s">
        <v>17</v>
      </c>
      <c r="U36" s="774" t="e">
        <f t="shared" si="13"/>
        <v>#N/A</v>
      </c>
      <c r="V36" s="773" t="s">
        <v>17</v>
      </c>
      <c r="W36" s="774" t="e">
        <f t="shared" si="14"/>
        <v>#N/A</v>
      </c>
      <c r="X36" s="1808"/>
      <c r="Y36" s="3256"/>
      <c r="Z36" s="1809" t="str">
        <f t="shared" si="15"/>
        <v>成新度</v>
      </c>
      <c r="AA36" s="1806" t="e">
        <f t="shared" si="3"/>
        <v>#N/A</v>
      </c>
      <c r="AB36" s="1806" t="e">
        <f t="shared" si="4"/>
        <v>#N/A</v>
      </c>
      <c r="AC36" s="1806" t="e">
        <f t="shared" si="5"/>
        <v>#N/A</v>
      </c>
    </row>
    <row r="37" spans="1:29" s="116" customFormat="1" ht="15">
      <c r="A37" s="472"/>
      <c r="B37" s="421" t="s">
        <v>2643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0"/>
      <c r="M37" s="1131"/>
      <c r="N37" s="1131"/>
      <c r="O37" s="1131"/>
      <c r="P37" s="3299"/>
      <c r="Q37" s="1790" t="str">
        <f t="shared" si="11"/>
        <v>市政基础设施</v>
      </c>
      <c r="R37" s="769" t="s">
        <v>17</v>
      </c>
      <c r="S37" s="770">
        <f t="shared" si="12"/>
        <v>100</v>
      </c>
      <c r="T37" s="769" t="s">
        <v>17</v>
      </c>
      <c r="U37" s="770">
        <f t="shared" si="13"/>
        <v>100</v>
      </c>
      <c r="V37" s="769" t="s">
        <v>17</v>
      </c>
      <c r="W37" s="770">
        <f t="shared" si="14"/>
        <v>100</v>
      </c>
      <c r="X37" s="771"/>
      <c r="Y37" s="3256"/>
      <c r="Z37" s="55" t="str">
        <f t="shared" si="15"/>
        <v>市政基础设施</v>
      </c>
      <c r="AA37" s="772">
        <f t="shared" si="3"/>
        <v>1</v>
      </c>
      <c r="AB37" s="772">
        <f t="shared" si="4"/>
        <v>1</v>
      </c>
      <c r="AC37" s="772">
        <f t="shared" si="5"/>
        <v>1</v>
      </c>
    </row>
    <row r="38" spans="1:29" ht="15">
      <c r="A38" s="471"/>
      <c r="B38" s="421" t="s">
        <v>2644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8"/>
      <c r="M38" s="1129"/>
      <c r="N38" s="1129"/>
      <c r="O38" s="1129"/>
      <c r="P38" s="3299" t="s">
        <v>2545</v>
      </c>
      <c r="Q38" s="1805" t="str">
        <f t="shared" si="11"/>
        <v>业态</v>
      </c>
      <c r="R38" s="773" t="s">
        <v>17</v>
      </c>
      <c r="S38" s="774">
        <f t="shared" si="12"/>
        <v>100</v>
      </c>
      <c r="T38" s="773" t="s">
        <v>17</v>
      </c>
      <c r="U38" s="774">
        <f t="shared" si="13"/>
        <v>100</v>
      </c>
      <c r="V38" s="773" t="s">
        <v>17</v>
      </c>
      <c r="W38" s="774">
        <f t="shared" si="14"/>
        <v>100</v>
      </c>
      <c r="X38" s="1808"/>
      <c r="Y38" s="3256" t="s">
        <v>2545</v>
      </c>
      <c r="Z38" s="1809" t="str">
        <f t="shared" si="15"/>
        <v>业态</v>
      </c>
      <c r="AA38" s="1806">
        <f t="shared" si="3"/>
        <v>1</v>
      </c>
      <c r="AB38" s="1806">
        <f t="shared" si="4"/>
        <v>1</v>
      </c>
      <c r="AC38" s="1806">
        <f t="shared" si="5"/>
        <v>1</v>
      </c>
    </row>
    <row r="39" spans="1:29" ht="15">
      <c r="A39" s="471"/>
      <c r="B39" s="421" t="s">
        <v>2645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8"/>
      <c r="M39" s="1129"/>
      <c r="N39" s="1129"/>
      <c r="O39" s="1129"/>
      <c r="P39" s="3299"/>
      <c r="Q39" s="1805" t="str">
        <f t="shared" si="11"/>
        <v>层高</v>
      </c>
      <c r="R39" s="773" t="s">
        <v>17</v>
      </c>
      <c r="S39" s="774">
        <f t="shared" si="12"/>
        <v>100</v>
      </c>
      <c r="T39" s="773" t="s">
        <v>17</v>
      </c>
      <c r="U39" s="774">
        <f t="shared" si="13"/>
        <v>100</v>
      </c>
      <c r="V39" s="773" t="s">
        <v>17</v>
      </c>
      <c r="W39" s="774">
        <f t="shared" si="14"/>
        <v>100</v>
      </c>
      <c r="X39" s="1808"/>
      <c r="Y39" s="3256"/>
      <c r="Z39" s="1809" t="str">
        <f t="shared" si="15"/>
        <v>层高</v>
      </c>
      <c r="AA39" s="1806">
        <f t="shared" si="3"/>
        <v>1</v>
      </c>
      <c r="AB39" s="1806">
        <f t="shared" si="4"/>
        <v>1</v>
      </c>
      <c r="AC39" s="1806">
        <f t="shared" si="5"/>
        <v>1</v>
      </c>
    </row>
    <row r="40" spans="1:29" ht="1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99"/>
      <c r="Q40" s="1805" t="str">
        <f t="shared" si="11"/>
        <v>单套建筑面积</v>
      </c>
      <c r="R40" s="773" t="s">
        <v>17</v>
      </c>
      <c r="S40" s="774">
        <f t="shared" si="12"/>
        <v>100</v>
      </c>
      <c r="T40" s="773" t="s">
        <v>17</v>
      </c>
      <c r="U40" s="774">
        <f t="shared" si="13"/>
        <v>100</v>
      </c>
      <c r="V40" s="773" t="s">
        <v>17</v>
      </c>
      <c r="W40" s="774">
        <f t="shared" si="14"/>
        <v>100</v>
      </c>
      <c r="X40" s="1808"/>
      <c r="Y40" s="3256"/>
      <c r="Z40" s="1809" t="str">
        <f t="shared" si="15"/>
        <v>单套建筑面积</v>
      </c>
      <c r="AA40" s="1806">
        <f t="shared" si="3"/>
        <v>1</v>
      </c>
      <c r="AB40" s="1806">
        <f t="shared" si="4"/>
        <v>1</v>
      </c>
      <c r="AC40" s="1806">
        <f t="shared" si="5"/>
        <v>1</v>
      </c>
    </row>
    <row r="41" spans="1:29" s="470" customFormat="1" ht="15">
      <c r="A41" s="467"/>
      <c r="B41" s="1807"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9"/>
      <c r="Q41" s="775" t="str">
        <f t="shared" si="11"/>
        <v>进深比</v>
      </c>
      <c r="R41" s="776" t="s">
        <v>17</v>
      </c>
      <c r="S41" s="777">
        <f t="shared" si="12"/>
        <v>100</v>
      </c>
      <c r="T41" s="776" t="s">
        <v>17</v>
      </c>
      <c r="U41" s="777">
        <f t="shared" si="13"/>
        <v>100</v>
      </c>
      <c r="V41" s="776" t="s">
        <v>17</v>
      </c>
      <c r="W41" s="777">
        <f t="shared" si="14"/>
        <v>100</v>
      </c>
      <c r="X41" s="778"/>
      <c r="Y41" s="3256"/>
      <c r="Z41" s="779" t="str">
        <f t="shared" si="15"/>
        <v>进深比</v>
      </c>
      <c r="AA41" s="1806">
        <f t="shared" si="3"/>
        <v>1</v>
      </c>
      <c r="AB41" s="1806">
        <f t="shared" si="4"/>
        <v>1</v>
      </c>
      <c r="AC41" s="1806">
        <f t="shared" si="5"/>
        <v>1</v>
      </c>
    </row>
    <row r="42" spans="1:29" ht="15">
      <c r="A42" s="471"/>
      <c r="B42" s="421" t="s">
        <v>2648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8"/>
      <c r="M42" s="1129"/>
      <c r="N42" s="1129"/>
      <c r="O42" s="1129"/>
      <c r="P42" s="3299"/>
      <c r="Q42" s="1805" t="str">
        <f t="shared" si="11"/>
        <v>内部装修</v>
      </c>
      <c r="R42" s="773" t="s">
        <v>17</v>
      </c>
      <c r="S42" s="774">
        <f t="shared" si="12"/>
        <v>100</v>
      </c>
      <c r="T42" s="773" t="s">
        <v>17</v>
      </c>
      <c r="U42" s="774">
        <f t="shared" si="13"/>
        <v>100</v>
      </c>
      <c r="V42" s="773" t="s">
        <v>17</v>
      </c>
      <c r="W42" s="774">
        <f t="shared" si="14"/>
        <v>100</v>
      </c>
      <c r="X42" s="1808"/>
      <c r="Y42" s="3256"/>
      <c r="Z42" s="1809" t="str">
        <f t="shared" si="15"/>
        <v>内部装修</v>
      </c>
      <c r="AA42" s="1806">
        <f t="shared" si="3"/>
        <v>1</v>
      </c>
      <c r="AB42" s="1806">
        <f t="shared" si="4"/>
        <v>1</v>
      </c>
      <c r="AC42" s="1806">
        <f t="shared" si="5"/>
        <v>1</v>
      </c>
    </row>
    <row r="43" spans="1:29" ht="15">
      <c r="A43" s="471"/>
      <c r="B43" s="421" t="s">
        <v>2556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8"/>
      <c r="M43" s="1129"/>
      <c r="N43" s="1129"/>
      <c r="O43" s="1129"/>
      <c r="P43" s="3299"/>
      <c r="Q43" s="1805" t="str">
        <f t="shared" si="11"/>
        <v>内部装修维护情况</v>
      </c>
      <c r="R43" s="773" t="s">
        <v>17</v>
      </c>
      <c r="S43" s="774">
        <f t="shared" si="12"/>
        <v>100</v>
      </c>
      <c r="T43" s="773" t="s">
        <v>17</v>
      </c>
      <c r="U43" s="774">
        <f t="shared" si="13"/>
        <v>100</v>
      </c>
      <c r="V43" s="773" t="s">
        <v>17</v>
      </c>
      <c r="W43" s="774">
        <f t="shared" si="14"/>
        <v>100</v>
      </c>
      <c r="X43" s="1808"/>
      <c r="Y43" s="3256"/>
      <c r="Z43" s="1809" t="str">
        <f t="shared" si="15"/>
        <v>内部装修维护情况</v>
      </c>
      <c r="AA43" s="1806">
        <f t="shared" si="3"/>
        <v>1</v>
      </c>
      <c r="AB43" s="1806">
        <f t="shared" si="4"/>
        <v>1</v>
      </c>
      <c r="AC43" s="1806">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9"/>
      <c r="Q44" s="1790">
        <f t="shared" si="11"/>
        <v>111</v>
      </c>
      <c r="R44" s="769" t="s">
        <v>17</v>
      </c>
      <c r="S44" s="770">
        <f t="shared" si="12"/>
        <v>100</v>
      </c>
      <c r="T44" s="769" t="s">
        <v>17</v>
      </c>
      <c r="U44" s="770">
        <f t="shared" si="13"/>
        <v>100</v>
      </c>
      <c r="V44" s="769" t="s">
        <v>17</v>
      </c>
      <c r="W44" s="770">
        <f t="shared" si="14"/>
        <v>100</v>
      </c>
      <c r="X44" s="771"/>
      <c r="Y44" s="3256"/>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9"/>
      <c r="Q45" s="1805">
        <f t="shared" si="11"/>
        <v>111</v>
      </c>
      <c r="R45" s="773" t="s">
        <v>17</v>
      </c>
      <c r="S45" s="774">
        <f t="shared" si="12"/>
        <v>100</v>
      </c>
      <c r="T45" s="773" t="s">
        <v>17</v>
      </c>
      <c r="U45" s="774">
        <f t="shared" si="13"/>
        <v>100</v>
      </c>
      <c r="V45" s="773" t="s">
        <v>17</v>
      </c>
      <c r="W45" s="774">
        <f t="shared" si="14"/>
        <v>100</v>
      </c>
      <c r="X45" s="1808"/>
      <c r="Y45" s="3256"/>
      <c r="Z45" s="1809">
        <f t="shared" si="15"/>
        <v>111</v>
      </c>
      <c r="AA45" s="1806">
        <f t="shared" si="3"/>
        <v>1</v>
      </c>
      <c r="AB45" s="1806">
        <f t="shared" si="4"/>
        <v>1</v>
      </c>
      <c r="AC45" s="1806">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00"/>
      <c r="Q46" s="1805">
        <f t="shared" si="11"/>
        <v>111</v>
      </c>
      <c r="R46" s="773" t="s">
        <v>17</v>
      </c>
      <c r="S46" s="774">
        <f t="shared" si="12"/>
        <v>100</v>
      </c>
      <c r="T46" s="773" t="s">
        <v>17</v>
      </c>
      <c r="U46" s="774">
        <f t="shared" si="13"/>
        <v>100</v>
      </c>
      <c r="V46" s="773" t="s">
        <v>17</v>
      </c>
      <c r="W46" s="774">
        <f t="shared" si="14"/>
        <v>100</v>
      </c>
      <c r="X46" s="1808"/>
      <c r="Y46" s="3301"/>
      <c r="Z46" s="1809">
        <f t="shared" si="15"/>
        <v>111</v>
      </c>
      <c r="AA46" s="1806">
        <f t="shared" si="3"/>
        <v>1</v>
      </c>
      <c r="AB46" s="1806">
        <f t="shared" si="4"/>
        <v>1</v>
      </c>
      <c r="AC46" s="1806">
        <f t="shared" si="5"/>
        <v>1</v>
      </c>
    </row>
    <row r="47" spans="1:29" ht="15">
      <c r="A47" s="478" t="s">
        <v>2557</v>
      </c>
      <c r="B47" s="479"/>
      <c r="C47" s="1403" t="s">
        <v>1</v>
      </c>
      <c r="D47" s="1404"/>
      <c r="E47" s="1405"/>
      <c r="F47" s="1406"/>
      <c r="G47" s="1407"/>
      <c r="H47" s="1408"/>
      <c r="I47" s="1405"/>
      <c r="J47" s="1408"/>
      <c r="K47" s="782"/>
      <c r="L47" s="1141"/>
      <c r="M47" s="1142"/>
      <c r="N47" s="1129"/>
      <c r="O47" s="1142"/>
      <c r="P47" s="3238" t="str">
        <f>A47</f>
        <v>成交单价（元/平方米）</v>
      </c>
      <c r="Q47" s="3238"/>
      <c r="R47" s="3251">
        <f>E47</f>
        <v>0</v>
      </c>
      <c r="S47" s="3251"/>
      <c r="T47" s="3251">
        <f>G47</f>
        <v>0</v>
      </c>
      <c r="U47" s="3251"/>
      <c r="V47" s="3251">
        <f>I47</f>
        <v>0</v>
      </c>
      <c r="W47" s="3251"/>
      <c r="X47" s="758"/>
      <c r="Y47" s="780"/>
      <c r="Z47" s="758"/>
      <c r="AA47" s="758"/>
      <c r="AB47" s="758"/>
      <c r="AC47" s="758"/>
    </row>
    <row r="48" spans="1:29" ht="15.75" thickBot="1">
      <c r="A48" s="485" t="s">
        <v>2649</v>
      </c>
      <c r="B48" s="486"/>
      <c r="C48" s="1409" t="e">
        <f>R49</f>
        <v>#DIV/0!</v>
      </c>
      <c r="D48" s="1410"/>
      <c r="E48" s="1411" t="e">
        <f>R48</f>
        <v>#DIV/0!</v>
      </c>
      <c r="F48" s="1411"/>
      <c r="G48" s="1409" t="e">
        <f>T48</f>
        <v>#DIV/0!</v>
      </c>
      <c r="H48" s="1410"/>
      <c r="I48" s="1411" t="e">
        <f>V48</f>
        <v>#DIV/0!</v>
      </c>
      <c r="J48" s="1410"/>
      <c r="K48" s="783"/>
      <c r="L48" s="1141"/>
      <c r="M48" s="1142"/>
      <c r="N48" s="1129"/>
      <c r="O48" s="1142"/>
      <c r="P48" s="3238" t="str">
        <f>A48</f>
        <v>比较价值（元/平方米）</v>
      </c>
      <c r="Q48" s="3238"/>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2650</v>
      </c>
      <c r="B49" s="492"/>
      <c r="C49" s="1413" t="e">
        <f>R49</f>
        <v>#DIV/0!</v>
      </c>
      <c r="D49" s="1413"/>
      <c r="E49" s="1413"/>
      <c r="F49" s="1413"/>
      <c r="G49" s="1413"/>
      <c r="H49" s="1413"/>
      <c r="I49" s="1413"/>
      <c r="J49" s="1413"/>
      <c r="K49" s="784"/>
      <c r="L49" s="1141"/>
      <c r="M49" s="1142"/>
      <c r="N49" s="1129"/>
      <c r="O49" s="1142"/>
      <c r="P49" s="3258" t="str">
        <f>A49</f>
        <v>估价对象XX用房的比较价值（楼面单价，元/平方米）</v>
      </c>
      <c r="Q49" s="3259"/>
      <c r="R49" s="3296" t="e">
        <f>IF(F1="售价",ROUND(AVERAGE(R48:V48),0),ROUND(AVERAGE(R48:V48),1))</f>
        <v>#DIV/0!</v>
      </c>
      <c r="S49" s="3296"/>
      <c r="T49" s="3296"/>
      <c r="U49" s="3296"/>
      <c r="V49" s="3296"/>
      <c r="W49" s="329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2654</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2528</v>
      </c>
      <c r="B58" s="505"/>
      <c r="C58" s="1569" t="str">
        <f>YEAR(C7)&amp;"-"&amp;MONTH(C7)</f>
        <v>2021-4</v>
      </c>
      <c r="D58" s="1570">
        <f>EDATE(C58,-1)</f>
        <v>44256</v>
      </c>
      <c r="E58" s="1570">
        <f t="shared" ref="E58:N58" si="16">EDATE(D58,-1)</f>
        <v>44228</v>
      </c>
      <c r="F58" s="1570">
        <f t="shared" si="16"/>
        <v>44197</v>
      </c>
      <c r="G58" s="1570">
        <f t="shared" si="16"/>
        <v>44166</v>
      </c>
      <c r="H58" s="1570">
        <f t="shared" si="16"/>
        <v>44136</v>
      </c>
      <c r="I58" s="1570">
        <f t="shared" si="16"/>
        <v>44105</v>
      </c>
      <c r="J58" s="1570">
        <f t="shared" si="16"/>
        <v>44075</v>
      </c>
      <c r="K58" s="1570">
        <f t="shared" si="16"/>
        <v>44044</v>
      </c>
      <c r="L58" s="1570">
        <f t="shared" si="16"/>
        <v>44013</v>
      </c>
      <c r="M58" s="1570">
        <f t="shared" si="16"/>
        <v>43983</v>
      </c>
      <c r="N58" s="1570">
        <f t="shared" si="16"/>
        <v>43952</v>
      </c>
      <c r="O58" s="1570">
        <f>EDATE(N58,-1)</f>
        <v>43922</v>
      </c>
      <c r="P58" s="1565"/>
    </row>
    <row r="59" spans="1:29" s="116" customFormat="1" ht="15">
      <c r="A59" s="508"/>
      <c r="B59" s="509"/>
      <c r="C59" s="1568">
        <v>100</v>
      </c>
      <c r="D59" s="511"/>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2530</v>
      </c>
      <c r="B61" s="509"/>
      <c r="C61" s="521" t="s">
        <v>2632</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2635</v>
      </c>
      <c r="C82" s="659" t="s">
        <v>2655</v>
      </c>
      <c r="D82" s="659" t="s">
        <v>2656</v>
      </c>
      <c r="E82" s="659" t="s">
        <v>2657</v>
      </c>
      <c r="F82" s="659" t="s">
        <v>2658</v>
      </c>
      <c r="G82" s="659" t="s">
        <v>2659</v>
      </c>
      <c r="H82" s="538"/>
      <c r="I82" s="538"/>
      <c r="J82" s="538"/>
      <c r="K82" s="538"/>
      <c r="L82" s="538"/>
      <c r="M82" s="1379"/>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2660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2543</v>
      </c>
      <c r="B100" s="527" t="s">
        <v>2661</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2596</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2598</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2662</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2663</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2664</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2665</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2666</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IF(C2="——",ROUND(C50*D3/10000,0),ROUND(C50*D3/10000,0)-D2)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310" t="s">
        <v>2631</v>
      </c>
      <c r="Q4" s="3311"/>
      <c r="R4" s="3305" t="s">
        <v>2627</v>
      </c>
      <c r="S4" s="3306"/>
      <c r="T4" s="3305" t="s">
        <v>2628</v>
      </c>
      <c r="U4" s="3306"/>
      <c r="V4" s="3314" t="s">
        <v>2629</v>
      </c>
      <c r="W4" s="3314"/>
      <c r="X4" s="2661"/>
      <c r="Y4" s="3305" t="s">
        <v>2631</v>
      </c>
      <c r="Z4" s="3306"/>
      <c r="AA4" s="3304" t="s">
        <v>2627</v>
      </c>
      <c r="AB4" s="3304" t="s">
        <v>2628</v>
      </c>
      <c r="AC4" s="3307" t="s">
        <v>2629</v>
      </c>
    </row>
    <row r="5" spans="1:29" ht="15">
      <c r="A5" s="403"/>
      <c r="B5" s="404"/>
      <c r="C5" s="3232" t="s">
        <v>2522</v>
      </c>
      <c r="D5" s="3233"/>
      <c r="E5" s="3230" t="s">
        <v>2523</v>
      </c>
      <c r="F5" s="3231"/>
      <c r="G5" s="3232" t="s">
        <v>2524</v>
      </c>
      <c r="H5" s="3233"/>
      <c r="I5" s="3232" t="s">
        <v>2525</v>
      </c>
      <c r="J5" s="3233"/>
      <c r="K5" s="609"/>
      <c r="L5" s="1128"/>
      <c r="M5" s="1129"/>
      <c r="N5" s="1129"/>
      <c r="O5" s="1129"/>
      <c r="P5" s="3312"/>
      <c r="Q5" s="3246"/>
      <c r="R5" s="3228"/>
      <c r="S5" s="3229"/>
      <c r="T5" s="3228"/>
      <c r="U5" s="3229"/>
      <c r="V5" s="3251"/>
      <c r="W5" s="3251"/>
      <c r="X5" s="1808"/>
      <c r="Y5" s="3228"/>
      <c r="Z5" s="3229"/>
      <c r="AA5" s="3222"/>
      <c r="AB5" s="3222"/>
      <c r="AC5" s="3308"/>
    </row>
    <row r="6" spans="1:29" ht="15.75" thickBot="1">
      <c r="A6" s="405"/>
      <c r="B6" s="406"/>
      <c r="C6" s="3234" t="s">
        <v>2526</v>
      </c>
      <c r="D6" s="3235"/>
      <c r="E6" s="3236" t="s">
        <v>2526</v>
      </c>
      <c r="F6" s="3237"/>
      <c r="G6" s="3234" t="s">
        <v>2526</v>
      </c>
      <c r="H6" s="3235"/>
      <c r="I6" s="3234" t="s">
        <v>2526</v>
      </c>
      <c r="J6" s="3235"/>
      <c r="K6" s="609" t="s">
        <v>2527</v>
      </c>
      <c r="L6" s="1128"/>
      <c r="M6" s="1129"/>
      <c r="N6" s="1129"/>
      <c r="O6" s="1129"/>
      <c r="P6" s="3313"/>
      <c r="Q6" s="3248"/>
      <c r="R6" s="3228"/>
      <c r="S6" s="3229"/>
      <c r="T6" s="3249"/>
      <c r="U6" s="3250"/>
      <c r="V6" s="3251"/>
      <c r="W6" s="3251"/>
      <c r="X6" s="1808"/>
      <c r="Y6" s="3249"/>
      <c r="Z6" s="3250"/>
      <c r="AA6" s="3223"/>
      <c r="AB6" s="3223"/>
      <c r="AC6" s="3309"/>
    </row>
    <row r="7" spans="1:29" s="116" customFormat="1" ht="15.75" thickBot="1">
      <c r="A7" s="407" t="s">
        <v>2528</v>
      </c>
      <c r="B7" s="408"/>
      <c r="C7" s="409">
        <f>'数据-取费表'!B2</f>
        <v>44312</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15" t="s">
        <v>2529</v>
      </c>
      <c r="Q7" s="3252"/>
      <c r="R7" s="769" t="s">
        <v>17</v>
      </c>
      <c r="S7" s="770">
        <f t="shared" ref="S7:S15" si="0">F7</f>
        <v>0</v>
      </c>
      <c r="T7" s="769" t="s">
        <v>17</v>
      </c>
      <c r="U7" s="770">
        <f t="shared" ref="U7:U15" si="1">H7</f>
        <v>0</v>
      </c>
      <c r="V7" s="769" t="s">
        <v>17</v>
      </c>
      <c r="W7" s="770">
        <f t="shared" ref="W7:W15" si="2">J7</f>
        <v>0</v>
      </c>
      <c r="X7" s="771"/>
      <c r="Y7" s="3224" t="s">
        <v>2529</v>
      </c>
      <c r="Z7" s="3225"/>
      <c r="AA7" s="772" t="e">
        <f>D7/F7</f>
        <v>#DIV/0!</v>
      </c>
      <c r="AB7" s="772" t="e">
        <f>D7/H7</f>
        <v>#DIV/0!</v>
      </c>
      <c r="AC7" s="2662" t="e">
        <f>D7/J7</f>
        <v>#DIV/0!</v>
      </c>
    </row>
    <row r="8" spans="1:29" s="116" customFormat="1" ht="15.7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15" t="s">
        <v>2532</v>
      </c>
      <c r="Q8" s="3225"/>
      <c r="R8" s="769" t="s">
        <v>17</v>
      </c>
      <c r="S8" s="770">
        <f t="shared" si="0"/>
        <v>0</v>
      </c>
      <c r="T8" s="769" t="s">
        <v>17</v>
      </c>
      <c r="U8" s="770">
        <f t="shared" si="1"/>
        <v>0</v>
      </c>
      <c r="V8" s="769" t="s">
        <v>17</v>
      </c>
      <c r="W8" s="770">
        <f t="shared" si="2"/>
        <v>0</v>
      </c>
      <c r="X8" s="771"/>
      <c r="Y8" s="3224" t="s">
        <v>2532</v>
      </c>
      <c r="Z8" s="3225"/>
      <c r="AA8" s="772" t="e">
        <f t="shared" ref="AA8:AA47" si="3">D8/F8</f>
        <v>#DIV/0!</v>
      </c>
      <c r="AB8" s="772" t="e">
        <f t="shared" ref="AB8:AB47" si="4">D8/H8</f>
        <v>#DIV/0!</v>
      </c>
      <c r="AC8" s="2662"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62"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2662">
        <f t="shared" si="5"/>
        <v>1</v>
      </c>
    </row>
    <row r="10" spans="1:29" s="426" customFormat="1" ht="27">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62"/>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2662">
        <f t="shared" si="5"/>
        <v>1</v>
      </c>
    </row>
    <row r="11" spans="1:29" ht="1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62"/>
      <c r="Q11" s="1790"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62"/>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62"/>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62"/>
      <c r="Q14" s="1790">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2662">
        <f t="shared" si="5"/>
        <v>1</v>
      </c>
    </row>
    <row r="15" spans="1:29" ht="15">
      <c r="A15" s="439" t="s">
        <v>2539</v>
      </c>
      <c r="B15" s="628" t="s">
        <v>2667</v>
      </c>
      <c r="C15" s="2664"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02" t="s">
        <v>2540</v>
      </c>
      <c r="Q15" s="1805" t="str">
        <f t="shared" si="6"/>
        <v>办公集聚程度</v>
      </c>
      <c r="R15" s="773" t="s">
        <v>17</v>
      </c>
      <c r="S15" s="774">
        <f t="shared" si="0"/>
        <v>100</v>
      </c>
      <c r="T15" s="773" t="s">
        <v>17</v>
      </c>
      <c r="U15" s="774">
        <f t="shared" si="1"/>
        <v>100</v>
      </c>
      <c r="V15" s="773" t="s">
        <v>17</v>
      </c>
      <c r="W15" s="774">
        <f t="shared" si="2"/>
        <v>100</v>
      </c>
      <c r="X15" s="1808"/>
      <c r="Y15" s="3253" t="s">
        <v>2540</v>
      </c>
      <c r="Z15" s="1809" t="str">
        <f t="shared" si="7"/>
        <v>办公集聚程度</v>
      </c>
      <c r="AA15" s="1806">
        <f t="shared" si="3"/>
        <v>1</v>
      </c>
      <c r="AB15" s="1806">
        <f t="shared" si="4"/>
        <v>1</v>
      </c>
      <c r="AC15" s="2665">
        <f t="shared" si="5"/>
        <v>1</v>
      </c>
    </row>
    <row r="16" spans="1:29" ht="15">
      <c r="A16" s="427"/>
      <c r="B16" s="629"/>
      <c r="C16" s="2602"/>
      <c r="D16" s="447"/>
      <c r="E16" s="446"/>
      <c r="F16" s="447"/>
      <c r="G16" s="2602"/>
      <c r="H16" s="449"/>
      <c r="I16" s="446"/>
      <c r="J16" s="447"/>
      <c r="K16" s="614"/>
      <c r="L16" s="1138"/>
      <c r="M16" s="1129"/>
      <c r="N16" s="1129"/>
      <c r="O16" s="1129"/>
      <c r="P16" s="3303"/>
      <c r="Q16" s="1805"/>
      <c r="R16" s="773"/>
      <c r="S16" s="774"/>
      <c r="T16" s="773"/>
      <c r="U16" s="774"/>
      <c r="V16" s="773"/>
      <c r="W16" s="774"/>
      <c r="X16" s="1808"/>
      <c r="Y16" s="3254"/>
      <c r="Z16" s="1809"/>
      <c r="AA16" s="1806">
        <v>1</v>
      </c>
      <c r="AB16" s="1806">
        <v>1</v>
      </c>
      <c r="AC16" s="2665">
        <v>1</v>
      </c>
    </row>
    <row r="17" spans="1:29" ht="15">
      <c r="A17" s="427"/>
      <c r="B17" s="630" t="s">
        <v>2084</v>
      </c>
      <c r="C17" s="2666"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03"/>
      <c r="Q17" s="1805" t="str">
        <f>B17</f>
        <v>交通便捷度</v>
      </c>
      <c r="R17" s="773" t="s">
        <v>17</v>
      </c>
      <c r="S17" s="774">
        <f>F17</f>
        <v>100</v>
      </c>
      <c r="T17" s="773" t="s">
        <v>17</v>
      </c>
      <c r="U17" s="774">
        <f>H17</f>
        <v>100</v>
      </c>
      <c r="V17" s="773" t="s">
        <v>17</v>
      </c>
      <c r="W17" s="774">
        <f>J17</f>
        <v>100</v>
      </c>
      <c r="X17" s="1808"/>
      <c r="Y17" s="3254"/>
      <c r="Z17" s="1809" t="str">
        <f>Q17</f>
        <v>交通便捷度</v>
      </c>
      <c r="AA17" s="1806">
        <f t="shared" si="3"/>
        <v>1</v>
      </c>
      <c r="AB17" s="1806">
        <f t="shared" si="4"/>
        <v>1</v>
      </c>
      <c r="AC17" s="2665">
        <f t="shared" si="5"/>
        <v>1</v>
      </c>
    </row>
    <row r="18" spans="1:29" ht="15">
      <c r="A18" s="427"/>
      <c r="B18" s="631"/>
      <c r="C18" s="2667"/>
      <c r="D18" s="449"/>
      <c r="E18" s="2600"/>
      <c r="F18" s="449"/>
      <c r="G18" s="2601"/>
      <c r="H18" s="447"/>
      <c r="I18" s="2601"/>
      <c r="J18" s="447"/>
      <c r="K18" s="614"/>
      <c r="L18" s="1138"/>
      <c r="M18" s="1129"/>
      <c r="N18" s="1129"/>
      <c r="O18" s="1129"/>
      <c r="P18" s="3303"/>
      <c r="Q18" s="1805"/>
      <c r="R18" s="773"/>
      <c r="S18" s="774"/>
      <c r="T18" s="773"/>
      <c r="U18" s="774"/>
      <c r="V18" s="773"/>
      <c r="W18" s="774"/>
      <c r="X18" s="1808"/>
      <c r="Y18" s="3254"/>
      <c r="Z18" s="1809"/>
      <c r="AA18" s="1806">
        <v>1</v>
      </c>
      <c r="AB18" s="1806">
        <v>1</v>
      </c>
      <c r="AC18" s="2665">
        <v>1</v>
      </c>
    </row>
    <row r="19" spans="1:29" ht="15">
      <c r="A19" s="427"/>
      <c r="B19" s="630" t="s">
        <v>2668</v>
      </c>
      <c r="C19" s="2666"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03"/>
      <c r="Q19" s="1805" t="str">
        <f>B19</f>
        <v>公共配套设施</v>
      </c>
      <c r="R19" s="773" t="s">
        <v>17</v>
      </c>
      <c r="S19" s="774">
        <f>F19</f>
        <v>100</v>
      </c>
      <c r="T19" s="773" t="s">
        <v>17</v>
      </c>
      <c r="U19" s="774">
        <f>H19</f>
        <v>100</v>
      </c>
      <c r="V19" s="773" t="s">
        <v>17</v>
      </c>
      <c r="W19" s="774">
        <f>J19</f>
        <v>100</v>
      </c>
      <c r="X19" s="1808"/>
      <c r="Y19" s="3254"/>
      <c r="Z19" s="1809" t="str">
        <f>Q19</f>
        <v>公共配套设施</v>
      </c>
      <c r="AA19" s="1806">
        <f t="shared" si="3"/>
        <v>1</v>
      </c>
      <c r="AB19" s="1806">
        <f t="shared" si="4"/>
        <v>1</v>
      </c>
      <c r="AC19" s="2665">
        <f t="shared" si="5"/>
        <v>1</v>
      </c>
    </row>
    <row r="20" spans="1:29" ht="15">
      <c r="A20" s="427"/>
      <c r="B20" s="631"/>
      <c r="C20" s="2602"/>
      <c r="D20" s="447"/>
      <c r="E20" s="2595"/>
      <c r="F20" s="447"/>
      <c r="G20" s="2596"/>
      <c r="H20" s="447"/>
      <c r="I20" s="2596"/>
      <c r="J20" s="447"/>
      <c r="K20" s="614"/>
      <c r="L20" s="1138"/>
      <c r="M20" s="1129"/>
      <c r="N20" s="1129"/>
      <c r="O20" s="1129"/>
      <c r="P20" s="3303"/>
      <c r="Q20" s="1805"/>
      <c r="R20" s="773"/>
      <c r="S20" s="774"/>
      <c r="T20" s="773"/>
      <c r="U20" s="774"/>
      <c r="V20" s="773"/>
      <c r="W20" s="774"/>
      <c r="X20" s="1808"/>
      <c r="Y20" s="3254"/>
      <c r="Z20" s="1809"/>
      <c r="AA20" s="1806">
        <v>1</v>
      </c>
      <c r="AB20" s="1806">
        <v>1</v>
      </c>
      <c r="AC20" s="2665">
        <v>1</v>
      </c>
    </row>
    <row r="21" spans="1:29" ht="15">
      <c r="A21" s="427"/>
      <c r="B21" s="632" t="s">
        <v>2669</v>
      </c>
      <c r="C21" s="2666"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54"/>
      <c r="Z21" s="1809" t="str">
        <f>Q21</f>
        <v>基础设施水平</v>
      </c>
      <c r="AA21" s="1806">
        <f t="shared" ref="AA21" si="8">D21/F21</f>
        <v>1</v>
      </c>
      <c r="AB21" s="1806">
        <f t="shared" ref="AB21" si="9">D21/H21</f>
        <v>1</v>
      </c>
      <c r="AC21" s="2665">
        <f t="shared" ref="AC21" si="10">D21/J21</f>
        <v>1</v>
      </c>
    </row>
    <row r="22" spans="1:29" ht="15">
      <c r="A22" s="427"/>
      <c r="B22" s="632"/>
      <c r="C22" s="2667"/>
      <c r="D22" s="447"/>
      <c r="E22" s="446"/>
      <c r="F22" s="447"/>
      <c r="G22" s="2602"/>
      <c r="H22" s="447"/>
      <c r="I22" s="2602"/>
      <c r="J22" s="447"/>
      <c r="K22" s="1380"/>
      <c r="L22" s="1138"/>
      <c r="M22" s="1129"/>
      <c r="N22" s="1129"/>
      <c r="O22" s="1129"/>
      <c r="P22" s="3303"/>
      <c r="Q22" s="1805"/>
      <c r="R22" s="773"/>
      <c r="S22" s="774"/>
      <c r="T22" s="773"/>
      <c r="U22" s="774"/>
      <c r="V22" s="773"/>
      <c r="W22" s="774"/>
      <c r="X22" s="1808"/>
      <c r="Y22" s="3254"/>
      <c r="Z22" s="1809"/>
      <c r="AA22" s="1806">
        <v>1</v>
      </c>
      <c r="AB22" s="1806">
        <v>1</v>
      </c>
      <c r="AC22" s="2665">
        <v>1</v>
      </c>
    </row>
    <row r="23" spans="1:29" ht="15">
      <c r="A23" s="427"/>
      <c r="B23" s="630" t="s">
        <v>2670</v>
      </c>
      <c r="C23" s="2666"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03"/>
      <c r="Q23" s="1805" t="str">
        <f>B23</f>
        <v>环境质量</v>
      </c>
      <c r="R23" s="773" t="s">
        <v>17</v>
      </c>
      <c r="S23" s="774">
        <f>F23</f>
        <v>100</v>
      </c>
      <c r="T23" s="773" t="s">
        <v>17</v>
      </c>
      <c r="U23" s="774">
        <f>H23</f>
        <v>100</v>
      </c>
      <c r="V23" s="773" t="s">
        <v>17</v>
      </c>
      <c r="W23" s="774">
        <f>J23</f>
        <v>100</v>
      </c>
      <c r="X23" s="1808"/>
      <c r="Y23" s="3254"/>
      <c r="Z23" s="1809" t="str">
        <f>Q23</f>
        <v>环境质量</v>
      </c>
      <c r="AA23" s="1806">
        <f t="shared" si="3"/>
        <v>1</v>
      </c>
      <c r="AB23" s="1806">
        <f t="shared" si="4"/>
        <v>1</v>
      </c>
      <c r="AC23" s="2665">
        <f t="shared" si="5"/>
        <v>1</v>
      </c>
    </row>
    <row r="24" spans="1:29" ht="15">
      <c r="A24" s="427"/>
      <c r="B24" s="632"/>
      <c r="C24" s="2602"/>
      <c r="D24" s="447"/>
      <c r="E24" s="2595"/>
      <c r="F24" s="447"/>
      <c r="G24" s="2596"/>
      <c r="H24" s="447"/>
      <c r="I24" s="2596"/>
      <c r="J24" s="447"/>
      <c r="K24" s="614"/>
      <c r="L24" s="1138"/>
      <c r="M24" s="1129"/>
      <c r="N24" s="1129"/>
      <c r="O24" s="1129"/>
      <c r="P24" s="3303"/>
      <c r="Q24" s="1805"/>
      <c r="R24" s="773"/>
      <c r="S24" s="774"/>
      <c r="T24" s="773"/>
      <c r="U24" s="774"/>
      <c r="V24" s="773"/>
      <c r="W24" s="774"/>
      <c r="X24" s="1808"/>
      <c r="Y24" s="3254"/>
      <c r="Z24" s="1809"/>
      <c r="AA24" s="1806">
        <v>1</v>
      </c>
      <c r="AB24" s="1806">
        <v>1</v>
      </c>
      <c r="AC24" s="2665">
        <v>1</v>
      </c>
    </row>
    <row r="25" spans="1:29" ht="27">
      <c r="A25" s="403"/>
      <c r="B25" s="630" t="s">
        <v>2671</v>
      </c>
      <c r="C25" s="2606"/>
      <c r="D25" s="434">
        <v>100</v>
      </c>
      <c r="E25" s="433"/>
      <c r="F25" s="434">
        <f>SUMIF(87:87,E26,88:88)-SUMIF(87:87,C26,88:88)+100</f>
        <v>100</v>
      </c>
      <c r="G25" s="2606"/>
      <c r="H25" s="434">
        <f>SUMIF(87:87,G26,88:88)-SUMIF(87:87,C26,88:88)+100</f>
        <v>100</v>
      </c>
      <c r="I25" s="433"/>
      <c r="J25" s="434">
        <f>SUMIF(87:87,I26,88:88)-SUMIF(87:87,C26,88:88)+100</f>
        <v>100</v>
      </c>
      <c r="K25" s="613"/>
      <c r="L25" s="1138"/>
      <c r="M25" s="1129"/>
      <c r="N25" s="1129"/>
      <c r="O25" s="1129"/>
      <c r="P25" s="3303"/>
      <c r="Q25" s="1805" t="str">
        <f>B25</f>
        <v>毗邻道路的类型与等级</v>
      </c>
      <c r="R25" s="773" t="s">
        <v>17</v>
      </c>
      <c r="S25" s="774">
        <f>F25</f>
        <v>100</v>
      </c>
      <c r="T25" s="773" t="s">
        <v>17</v>
      </c>
      <c r="U25" s="774">
        <f>H25</f>
        <v>100</v>
      </c>
      <c r="V25" s="773" t="s">
        <v>17</v>
      </c>
      <c r="W25" s="774">
        <f>J25</f>
        <v>100</v>
      </c>
      <c r="X25" s="1808"/>
      <c r="Y25" s="3254"/>
      <c r="Z25" s="1809" t="str">
        <f>Q25</f>
        <v>毗邻道路的类型与等级</v>
      </c>
      <c r="AA25" s="1806">
        <f t="shared" si="3"/>
        <v>1</v>
      </c>
      <c r="AB25" s="1806">
        <f t="shared" si="4"/>
        <v>1</v>
      </c>
      <c r="AC25" s="2665">
        <f t="shared" si="5"/>
        <v>1</v>
      </c>
    </row>
    <row r="26" spans="1:29" ht="15">
      <c r="A26" s="403"/>
      <c r="B26" s="631"/>
      <c r="C26" s="633"/>
      <c r="D26" s="434"/>
      <c r="E26" s="615"/>
      <c r="F26" s="434"/>
      <c r="G26" s="633"/>
      <c r="H26" s="434"/>
      <c r="I26" s="615"/>
      <c r="J26" s="434"/>
      <c r="K26" s="614"/>
      <c r="L26" s="1138"/>
      <c r="M26" s="1129"/>
      <c r="N26" s="1129"/>
      <c r="O26" s="1129"/>
      <c r="P26" s="3303"/>
      <c r="Q26" s="1805"/>
      <c r="R26" s="773"/>
      <c r="S26" s="774"/>
      <c r="T26" s="773"/>
      <c r="U26" s="774"/>
      <c r="V26" s="773"/>
      <c r="W26" s="774"/>
      <c r="X26" s="1808"/>
      <c r="Y26" s="3254"/>
      <c r="Z26" s="1809"/>
      <c r="AA26" s="1806">
        <v>1</v>
      </c>
      <c r="AB26" s="1806">
        <v>1</v>
      </c>
      <c r="AC26" s="2665">
        <v>1</v>
      </c>
    </row>
    <row r="27" spans="1:29" ht="1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03"/>
      <c r="Q27" s="1805" t="str">
        <f t="shared" ref="Q27:Q47" si="11">B27</f>
        <v>楼层</v>
      </c>
      <c r="R27" s="773" t="s">
        <v>17</v>
      </c>
      <c r="S27" s="774">
        <f>F27</f>
        <v>100</v>
      </c>
      <c r="T27" s="773" t="s">
        <v>17</v>
      </c>
      <c r="U27" s="774">
        <f>H27</f>
        <v>100</v>
      </c>
      <c r="V27" s="773" t="s">
        <v>17</v>
      </c>
      <c r="W27" s="774">
        <f>J27</f>
        <v>100</v>
      </c>
      <c r="X27" s="1808"/>
      <c r="Y27" s="3254"/>
      <c r="Z27" s="1809" t="str">
        <f>Q27</f>
        <v>楼层</v>
      </c>
      <c r="AA27" s="1806">
        <f t="shared" si="3"/>
        <v>1</v>
      </c>
      <c r="AB27" s="1806">
        <f t="shared" si="4"/>
        <v>1</v>
      </c>
      <c r="AC27" s="2665">
        <f t="shared" si="5"/>
        <v>1</v>
      </c>
    </row>
    <row r="28" spans="1:29" s="116" customFormat="1" ht="15">
      <c r="A28" s="430"/>
      <c r="B28" s="630" t="s">
        <v>2672</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303"/>
      <c r="Q28" s="1790" t="str">
        <f t="shared" si="11"/>
        <v>朝向</v>
      </c>
      <c r="R28" s="769" t="s">
        <v>17</v>
      </c>
      <c r="S28" s="770">
        <f>F28</f>
        <v>100</v>
      </c>
      <c r="T28" s="769" t="s">
        <v>17</v>
      </c>
      <c r="U28" s="770">
        <f>H28</f>
        <v>100</v>
      </c>
      <c r="V28" s="769" t="s">
        <v>17</v>
      </c>
      <c r="W28" s="770">
        <f>J28</f>
        <v>100</v>
      </c>
      <c r="X28" s="771"/>
      <c r="Y28" s="3254"/>
      <c r="Z28" s="55" t="str">
        <f>Q28</f>
        <v>朝向</v>
      </c>
      <c r="AA28" s="1806">
        <f>D28/F28</f>
        <v>1</v>
      </c>
      <c r="AB28" s="1806">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303"/>
      <c r="Q29" s="1805">
        <f t="shared" si="11"/>
        <v>111</v>
      </c>
      <c r="R29" s="773" t="s">
        <v>17</v>
      </c>
      <c r="S29" s="774">
        <f t="shared" ref="S29:S47" si="12">F29</f>
        <v>100</v>
      </c>
      <c r="T29" s="773" t="s">
        <v>17</v>
      </c>
      <c r="U29" s="774">
        <f t="shared" ref="U29:U47" si="13">H29</f>
        <v>100</v>
      </c>
      <c r="V29" s="773" t="s">
        <v>17</v>
      </c>
      <c r="W29" s="774">
        <f t="shared" ref="W29:W47" si="14">J29</f>
        <v>100</v>
      </c>
      <c r="X29" s="1808"/>
      <c r="Y29" s="3254"/>
      <c r="Z29" s="1809">
        <f t="shared" ref="Z29:Z47" si="15">Q29</f>
        <v>111</v>
      </c>
      <c r="AA29" s="1806">
        <f t="shared" si="3"/>
        <v>1</v>
      </c>
      <c r="AB29" s="1806">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303"/>
      <c r="Q30" s="1805">
        <f t="shared" si="11"/>
        <v>111</v>
      </c>
      <c r="R30" s="773" t="s">
        <v>17</v>
      </c>
      <c r="S30" s="774">
        <f t="shared" si="12"/>
        <v>100</v>
      </c>
      <c r="T30" s="773" t="s">
        <v>17</v>
      </c>
      <c r="U30" s="774">
        <f t="shared" si="13"/>
        <v>100</v>
      </c>
      <c r="V30" s="773" t="s">
        <v>17</v>
      </c>
      <c r="W30" s="774">
        <f t="shared" si="14"/>
        <v>100</v>
      </c>
      <c r="X30" s="1808"/>
      <c r="Y30" s="3254"/>
      <c r="Z30" s="1809">
        <f t="shared" si="15"/>
        <v>111</v>
      </c>
      <c r="AA30" s="1806">
        <f t="shared" si="3"/>
        <v>1</v>
      </c>
      <c r="AB30" s="1806">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303"/>
      <c r="Q31" s="1805">
        <f t="shared" si="11"/>
        <v>111</v>
      </c>
      <c r="R31" s="773" t="s">
        <v>17</v>
      </c>
      <c r="S31" s="774">
        <f t="shared" si="12"/>
        <v>100</v>
      </c>
      <c r="T31" s="773" t="s">
        <v>17</v>
      </c>
      <c r="U31" s="774">
        <f t="shared" si="13"/>
        <v>100</v>
      </c>
      <c r="V31" s="773" t="s">
        <v>17</v>
      </c>
      <c r="W31" s="774">
        <f t="shared" si="14"/>
        <v>100</v>
      </c>
      <c r="X31" s="1808"/>
      <c r="Y31" s="3254"/>
      <c r="Z31" s="1809">
        <f t="shared" si="15"/>
        <v>111</v>
      </c>
      <c r="AA31" s="1806">
        <f t="shared" si="3"/>
        <v>1</v>
      </c>
      <c r="AB31" s="1806">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303"/>
      <c r="Q32" s="1805">
        <f t="shared" si="11"/>
        <v>111</v>
      </c>
      <c r="R32" s="773" t="s">
        <v>17</v>
      </c>
      <c r="S32" s="774">
        <f t="shared" si="12"/>
        <v>100</v>
      </c>
      <c r="T32" s="773" t="s">
        <v>17</v>
      </c>
      <c r="U32" s="774">
        <f t="shared" si="13"/>
        <v>100</v>
      </c>
      <c r="V32" s="773" t="s">
        <v>17</v>
      </c>
      <c r="W32" s="774">
        <f t="shared" si="14"/>
        <v>100</v>
      </c>
      <c r="X32" s="1808"/>
      <c r="Y32" s="3254"/>
      <c r="Z32" s="1809">
        <f t="shared" si="15"/>
        <v>111</v>
      </c>
      <c r="AA32" s="1806">
        <f t="shared" si="3"/>
        <v>1</v>
      </c>
      <c r="AB32" s="1806">
        <f t="shared" si="4"/>
        <v>1</v>
      </c>
      <c r="AC32" s="2665">
        <f t="shared" si="5"/>
        <v>1</v>
      </c>
    </row>
    <row r="33" spans="1:29" ht="15">
      <c r="A33" s="439" t="s">
        <v>2543</v>
      </c>
      <c r="B33" s="71" t="s">
        <v>2673</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98" t="s">
        <v>2545</v>
      </c>
      <c r="Q33" s="1805" t="str">
        <f t="shared" si="11"/>
        <v>建筑类型</v>
      </c>
      <c r="R33" s="773" t="s">
        <v>17</v>
      </c>
      <c r="S33" s="774">
        <f t="shared" si="12"/>
        <v>100</v>
      </c>
      <c r="T33" s="773" t="s">
        <v>17</v>
      </c>
      <c r="U33" s="774">
        <f t="shared" si="13"/>
        <v>100</v>
      </c>
      <c r="V33" s="773" t="s">
        <v>17</v>
      </c>
      <c r="W33" s="774">
        <f t="shared" si="14"/>
        <v>100</v>
      </c>
      <c r="X33" s="1808"/>
      <c r="Y33" s="3256" t="s">
        <v>2545</v>
      </c>
      <c r="Z33" s="1809" t="str">
        <f t="shared" si="15"/>
        <v>建筑类型</v>
      </c>
      <c r="AA33" s="1806">
        <f t="shared" si="3"/>
        <v>1</v>
      </c>
      <c r="AB33" s="1806">
        <f t="shared" si="4"/>
        <v>1</v>
      </c>
      <c r="AC33" s="2665">
        <f t="shared" si="5"/>
        <v>1</v>
      </c>
    </row>
    <row r="34" spans="1:29" s="470" customFormat="1" ht="1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99"/>
      <c r="Q34" s="775" t="str">
        <f t="shared" si="11"/>
        <v>项目建筑规模</v>
      </c>
      <c r="R34" s="776" t="s">
        <v>17</v>
      </c>
      <c r="S34" s="777" t="e">
        <f t="shared" si="12"/>
        <v>#N/A</v>
      </c>
      <c r="T34" s="776" t="s">
        <v>17</v>
      </c>
      <c r="U34" s="777" t="e">
        <f t="shared" si="13"/>
        <v>#N/A</v>
      </c>
      <c r="V34" s="776" t="s">
        <v>17</v>
      </c>
      <c r="W34" s="777" t="e">
        <f t="shared" si="14"/>
        <v>#N/A</v>
      </c>
      <c r="X34" s="778"/>
      <c r="Y34" s="3256"/>
      <c r="Z34" s="779" t="str">
        <f t="shared" si="15"/>
        <v>项目建筑规模</v>
      </c>
      <c r="AA34" s="1806" t="e">
        <f t="shared" si="3"/>
        <v>#N/A</v>
      </c>
      <c r="AB34" s="1806" t="e">
        <f t="shared" si="4"/>
        <v>#N/A</v>
      </c>
      <c r="AC34" s="2665" t="e">
        <f t="shared" si="5"/>
        <v>#N/A</v>
      </c>
    </row>
    <row r="35" spans="1:29" ht="1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99"/>
      <c r="Q35" s="1805" t="str">
        <f t="shared" si="11"/>
        <v>建筑结构</v>
      </c>
      <c r="R35" s="773" t="s">
        <v>17</v>
      </c>
      <c r="S35" s="774">
        <f t="shared" si="12"/>
        <v>100</v>
      </c>
      <c r="T35" s="773" t="s">
        <v>17</v>
      </c>
      <c r="U35" s="774">
        <f t="shared" si="13"/>
        <v>100</v>
      </c>
      <c r="V35" s="773" t="s">
        <v>17</v>
      </c>
      <c r="W35" s="774">
        <f t="shared" si="14"/>
        <v>100</v>
      </c>
      <c r="X35" s="1808"/>
      <c r="Y35" s="3256"/>
      <c r="Z35" s="1809" t="str">
        <f t="shared" si="15"/>
        <v>建筑结构</v>
      </c>
      <c r="AA35" s="1806">
        <f t="shared" si="3"/>
        <v>1</v>
      </c>
      <c r="AB35" s="1806">
        <f t="shared" si="4"/>
        <v>1</v>
      </c>
      <c r="AC35" s="2665">
        <f t="shared" si="5"/>
        <v>1</v>
      </c>
    </row>
    <row r="36" spans="1:29" ht="1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99"/>
      <c r="Q36" s="1805" t="str">
        <f t="shared" si="11"/>
        <v>公共部分装修</v>
      </c>
      <c r="R36" s="773" t="s">
        <v>17</v>
      </c>
      <c r="S36" s="774">
        <f t="shared" si="12"/>
        <v>100</v>
      </c>
      <c r="T36" s="773" t="s">
        <v>17</v>
      </c>
      <c r="U36" s="774">
        <f t="shared" si="13"/>
        <v>100</v>
      </c>
      <c r="V36" s="773" t="s">
        <v>17</v>
      </c>
      <c r="W36" s="774">
        <f t="shared" si="14"/>
        <v>100</v>
      </c>
      <c r="X36" s="1808"/>
      <c r="Y36" s="3256"/>
      <c r="Z36" s="1809" t="str">
        <f t="shared" si="15"/>
        <v>公共部分装修</v>
      </c>
      <c r="AA36" s="1806">
        <f t="shared" si="3"/>
        <v>1</v>
      </c>
      <c r="AB36" s="1806">
        <f t="shared" si="4"/>
        <v>1</v>
      </c>
      <c r="AC36" s="2665">
        <f t="shared" si="5"/>
        <v>1</v>
      </c>
    </row>
    <row r="37" spans="1:29" ht="1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99"/>
      <c r="Q37" s="1805" t="str">
        <f t="shared" si="11"/>
        <v>成新度</v>
      </c>
      <c r="R37" s="773" t="s">
        <v>17</v>
      </c>
      <c r="S37" s="774" t="e">
        <f t="shared" si="12"/>
        <v>#N/A</v>
      </c>
      <c r="T37" s="773" t="s">
        <v>17</v>
      </c>
      <c r="U37" s="774" t="e">
        <f t="shared" si="13"/>
        <v>#N/A</v>
      </c>
      <c r="V37" s="773" t="s">
        <v>17</v>
      </c>
      <c r="W37" s="774" t="e">
        <f t="shared" si="14"/>
        <v>#N/A</v>
      </c>
      <c r="X37" s="1808"/>
      <c r="Y37" s="3256"/>
      <c r="Z37" s="1809" t="str">
        <f t="shared" si="15"/>
        <v>成新度</v>
      </c>
      <c r="AA37" s="1806" t="e">
        <f t="shared" si="3"/>
        <v>#N/A</v>
      </c>
      <c r="AB37" s="1806" t="e">
        <f t="shared" si="4"/>
        <v>#N/A</v>
      </c>
      <c r="AC37" s="2665" t="e">
        <f t="shared" si="5"/>
        <v>#N/A</v>
      </c>
    </row>
    <row r="38" spans="1:29" s="116" customFormat="1" ht="1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99"/>
      <c r="Q38" s="1790" t="str">
        <f t="shared" si="11"/>
        <v>写字楼等级</v>
      </c>
      <c r="R38" s="769" t="s">
        <v>17</v>
      </c>
      <c r="S38" s="770">
        <f t="shared" si="12"/>
        <v>100</v>
      </c>
      <c r="T38" s="769" t="s">
        <v>17</v>
      </c>
      <c r="U38" s="770">
        <f t="shared" si="13"/>
        <v>100</v>
      </c>
      <c r="V38" s="769" t="s">
        <v>17</v>
      </c>
      <c r="W38" s="770">
        <f t="shared" si="14"/>
        <v>100</v>
      </c>
      <c r="X38" s="771"/>
      <c r="Y38" s="3256"/>
      <c r="Z38" s="55" t="str">
        <f t="shared" si="15"/>
        <v>写字楼等级</v>
      </c>
      <c r="AA38" s="772">
        <f t="shared" si="3"/>
        <v>1</v>
      </c>
      <c r="AB38" s="772">
        <f t="shared" si="4"/>
        <v>1</v>
      </c>
      <c r="AC38" s="2662">
        <f t="shared" si="5"/>
        <v>1</v>
      </c>
    </row>
    <row r="39" spans="1:29" ht="1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99" t="s">
        <v>2545</v>
      </c>
      <c r="Q39" s="1805" t="str">
        <f t="shared" si="11"/>
        <v>物业管理</v>
      </c>
      <c r="R39" s="773" t="s">
        <v>17</v>
      </c>
      <c r="S39" s="774">
        <f t="shared" si="12"/>
        <v>100</v>
      </c>
      <c r="T39" s="773" t="s">
        <v>17</v>
      </c>
      <c r="U39" s="774">
        <f t="shared" si="13"/>
        <v>100</v>
      </c>
      <c r="V39" s="773" t="s">
        <v>17</v>
      </c>
      <c r="W39" s="774">
        <f t="shared" si="14"/>
        <v>100</v>
      </c>
      <c r="X39" s="1808"/>
      <c r="Y39" s="3256" t="s">
        <v>2545</v>
      </c>
      <c r="Z39" s="1809" t="str">
        <f t="shared" si="15"/>
        <v>物业管理</v>
      </c>
      <c r="AA39" s="1806">
        <f t="shared" si="3"/>
        <v>1</v>
      </c>
      <c r="AB39" s="1806">
        <f t="shared" si="4"/>
        <v>1</v>
      </c>
      <c r="AC39" s="2665">
        <f t="shared" si="5"/>
        <v>1</v>
      </c>
    </row>
    <row r="40" spans="1:29" ht="1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99"/>
      <c r="Q40" s="1805" t="str">
        <f t="shared" si="11"/>
        <v>市政基础设施</v>
      </c>
      <c r="R40" s="773" t="s">
        <v>17</v>
      </c>
      <c r="S40" s="774">
        <f t="shared" si="12"/>
        <v>100</v>
      </c>
      <c r="T40" s="773" t="s">
        <v>17</v>
      </c>
      <c r="U40" s="774">
        <f t="shared" si="13"/>
        <v>100</v>
      </c>
      <c r="V40" s="773" t="s">
        <v>17</v>
      </c>
      <c r="W40" s="774">
        <f t="shared" si="14"/>
        <v>100</v>
      </c>
      <c r="X40" s="1808"/>
      <c r="Y40" s="3256"/>
      <c r="Z40" s="1809" t="str">
        <f t="shared" si="15"/>
        <v>市政基础设施</v>
      </c>
      <c r="AA40" s="1806">
        <f t="shared" si="3"/>
        <v>1</v>
      </c>
      <c r="AB40" s="1806">
        <f t="shared" si="4"/>
        <v>1</v>
      </c>
      <c r="AC40" s="2665">
        <f t="shared" si="5"/>
        <v>1</v>
      </c>
    </row>
    <row r="41" spans="1:29" ht="1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99"/>
      <c r="Q41" s="1805" t="str">
        <f t="shared" si="11"/>
        <v>层高</v>
      </c>
      <c r="R41" s="773" t="s">
        <v>17</v>
      </c>
      <c r="S41" s="774">
        <f t="shared" si="12"/>
        <v>100</v>
      </c>
      <c r="T41" s="773" t="s">
        <v>17</v>
      </c>
      <c r="U41" s="774">
        <f t="shared" si="13"/>
        <v>100</v>
      </c>
      <c r="V41" s="773" t="s">
        <v>17</v>
      </c>
      <c r="W41" s="774">
        <f t="shared" si="14"/>
        <v>100</v>
      </c>
      <c r="X41" s="1808"/>
      <c r="Y41" s="3256"/>
      <c r="Z41" s="1809" t="str">
        <f t="shared" si="15"/>
        <v>层高</v>
      </c>
      <c r="AA41" s="1806">
        <f t="shared" si="3"/>
        <v>1</v>
      </c>
      <c r="AB41" s="1806">
        <f t="shared" si="4"/>
        <v>1</v>
      </c>
      <c r="AC41" s="2665">
        <f t="shared" si="5"/>
        <v>1</v>
      </c>
    </row>
    <row r="42" spans="1:29" s="470" customFormat="1" ht="15">
      <c r="A42" s="467"/>
      <c r="B42" s="1807"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9"/>
      <c r="Q42" s="775" t="str">
        <f t="shared" si="11"/>
        <v>单套建筑面积</v>
      </c>
      <c r="R42" s="776" t="s">
        <v>17</v>
      </c>
      <c r="S42" s="777">
        <f t="shared" si="12"/>
        <v>100</v>
      </c>
      <c r="T42" s="776" t="s">
        <v>17</v>
      </c>
      <c r="U42" s="777">
        <f t="shared" si="13"/>
        <v>100</v>
      </c>
      <c r="V42" s="776" t="s">
        <v>17</v>
      </c>
      <c r="W42" s="777">
        <f t="shared" si="14"/>
        <v>100</v>
      </c>
      <c r="X42" s="778"/>
      <c r="Y42" s="3256"/>
      <c r="Z42" s="779" t="str">
        <f t="shared" si="15"/>
        <v>单套建筑面积</v>
      </c>
      <c r="AA42" s="1806">
        <f t="shared" si="3"/>
        <v>1</v>
      </c>
      <c r="AB42" s="1806">
        <f t="shared" si="4"/>
        <v>1</v>
      </c>
      <c r="AC42" s="2665">
        <f t="shared" si="5"/>
        <v>1</v>
      </c>
    </row>
    <row r="43" spans="1:29" ht="1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99"/>
      <c r="Q43" s="1805" t="str">
        <f t="shared" si="11"/>
        <v>内部装修</v>
      </c>
      <c r="R43" s="773" t="s">
        <v>17</v>
      </c>
      <c r="S43" s="774">
        <f t="shared" si="12"/>
        <v>100</v>
      </c>
      <c r="T43" s="773" t="s">
        <v>17</v>
      </c>
      <c r="U43" s="774">
        <f t="shared" si="13"/>
        <v>100</v>
      </c>
      <c r="V43" s="773" t="s">
        <v>17</v>
      </c>
      <c r="W43" s="774">
        <f t="shared" si="14"/>
        <v>100</v>
      </c>
      <c r="X43" s="1808"/>
      <c r="Y43" s="3256"/>
      <c r="Z43" s="1809" t="str">
        <f t="shared" si="15"/>
        <v>内部装修</v>
      </c>
      <c r="AA43" s="1806">
        <f t="shared" si="3"/>
        <v>1</v>
      </c>
      <c r="AB43" s="1806">
        <f t="shared" si="4"/>
        <v>1</v>
      </c>
      <c r="AC43" s="2665">
        <f t="shared" si="5"/>
        <v>1</v>
      </c>
    </row>
    <row r="44" spans="1:29" ht="15">
      <c r="A44" s="471"/>
      <c r="B44" s="421" t="s">
        <v>2556</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8"/>
      <c r="M44" s="1129"/>
      <c r="N44" s="1129"/>
      <c r="O44" s="1129"/>
      <c r="P44" s="3299"/>
      <c r="Q44" s="1805" t="str">
        <f t="shared" si="11"/>
        <v>内部装修维护情况</v>
      </c>
      <c r="R44" s="773" t="s">
        <v>17</v>
      </c>
      <c r="S44" s="774">
        <f t="shared" si="12"/>
        <v>100</v>
      </c>
      <c r="T44" s="773" t="s">
        <v>17</v>
      </c>
      <c r="U44" s="774">
        <f t="shared" si="13"/>
        <v>100</v>
      </c>
      <c r="V44" s="773" t="s">
        <v>17</v>
      </c>
      <c r="W44" s="774">
        <f t="shared" si="14"/>
        <v>100</v>
      </c>
      <c r="X44" s="1808"/>
      <c r="Y44" s="3256"/>
      <c r="Z44" s="1809" t="str">
        <f t="shared" si="15"/>
        <v>内部装修维护情况</v>
      </c>
      <c r="AA44" s="1806">
        <f t="shared" si="3"/>
        <v>1</v>
      </c>
      <c r="AB44" s="1806">
        <f t="shared" si="4"/>
        <v>1</v>
      </c>
      <c r="AC44" s="2665">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9"/>
      <c r="Q45" s="1790">
        <f t="shared" si="11"/>
        <v>111</v>
      </c>
      <c r="R45" s="769" t="s">
        <v>17</v>
      </c>
      <c r="S45" s="770">
        <f t="shared" si="12"/>
        <v>100</v>
      </c>
      <c r="T45" s="769" t="s">
        <v>17</v>
      </c>
      <c r="U45" s="770">
        <f t="shared" si="13"/>
        <v>100</v>
      </c>
      <c r="V45" s="769" t="s">
        <v>17</v>
      </c>
      <c r="W45" s="770">
        <f t="shared" si="14"/>
        <v>100</v>
      </c>
      <c r="X45" s="771"/>
      <c r="Y45" s="3256"/>
      <c r="Z45" s="55">
        <f t="shared" si="15"/>
        <v>111</v>
      </c>
      <c r="AA45" s="772">
        <f t="shared" si="3"/>
        <v>1</v>
      </c>
      <c r="AB45" s="772">
        <f t="shared" si="4"/>
        <v>1</v>
      </c>
      <c r="AC45" s="2662">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99"/>
      <c r="Q46" s="1805">
        <f t="shared" si="11"/>
        <v>111</v>
      </c>
      <c r="R46" s="773" t="s">
        <v>17</v>
      </c>
      <c r="S46" s="774">
        <f t="shared" si="12"/>
        <v>100</v>
      </c>
      <c r="T46" s="773" t="s">
        <v>17</v>
      </c>
      <c r="U46" s="774">
        <f t="shared" si="13"/>
        <v>100</v>
      </c>
      <c r="V46" s="773" t="s">
        <v>17</v>
      </c>
      <c r="W46" s="774">
        <f t="shared" si="14"/>
        <v>100</v>
      </c>
      <c r="X46" s="1808"/>
      <c r="Y46" s="3256"/>
      <c r="Z46" s="1809">
        <f t="shared" si="15"/>
        <v>111</v>
      </c>
      <c r="AA46" s="1806">
        <f t="shared" si="3"/>
        <v>1</v>
      </c>
      <c r="AB46" s="1806">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00"/>
      <c r="Q47" s="1805">
        <f t="shared" si="11"/>
        <v>111</v>
      </c>
      <c r="R47" s="773" t="s">
        <v>17</v>
      </c>
      <c r="S47" s="774">
        <f t="shared" si="12"/>
        <v>100</v>
      </c>
      <c r="T47" s="773" t="s">
        <v>17</v>
      </c>
      <c r="U47" s="774">
        <f t="shared" si="13"/>
        <v>100</v>
      </c>
      <c r="V47" s="773" t="s">
        <v>17</v>
      </c>
      <c r="W47" s="774">
        <f t="shared" si="14"/>
        <v>100</v>
      </c>
      <c r="X47" s="1808"/>
      <c r="Y47" s="3301"/>
      <c r="Z47" s="1809">
        <f t="shared" si="15"/>
        <v>111</v>
      </c>
      <c r="AA47" s="1806">
        <f t="shared" si="3"/>
        <v>1</v>
      </c>
      <c r="AB47" s="1806">
        <f t="shared" si="4"/>
        <v>1</v>
      </c>
      <c r="AC47" s="2665">
        <f t="shared" si="5"/>
        <v>1</v>
      </c>
    </row>
    <row r="48" spans="1:29" ht="15">
      <c r="A48" s="478" t="s">
        <v>2557</v>
      </c>
      <c r="B48" s="479"/>
      <c r="C48" s="1403" t="s">
        <v>1</v>
      </c>
      <c r="D48" s="1404"/>
      <c r="E48" s="1405"/>
      <c r="F48" s="1406"/>
      <c r="G48" s="1407"/>
      <c r="H48" s="1408"/>
      <c r="I48" s="1405"/>
      <c r="J48" s="484"/>
      <c r="K48" s="782"/>
      <c r="L48" s="1141"/>
      <c r="M48" s="1129"/>
      <c r="N48" s="1129"/>
      <c r="O48" s="1129"/>
      <c r="P48" s="3262" t="str">
        <f>A48</f>
        <v>成交单价（元/平方米）</v>
      </c>
      <c r="Q48" s="3238"/>
      <c r="R48" s="3297">
        <f>E48</f>
        <v>0</v>
      </c>
      <c r="S48" s="3297"/>
      <c r="T48" s="3297">
        <f>G48</f>
        <v>0</v>
      </c>
      <c r="U48" s="3297"/>
      <c r="V48" s="3297">
        <f>I48</f>
        <v>0</v>
      </c>
      <c r="W48" s="3297"/>
      <c r="X48" s="445"/>
      <c r="Y48" s="780"/>
      <c r="Z48" s="445"/>
      <c r="AA48" s="445"/>
      <c r="AB48" s="445"/>
      <c r="AC48" s="629"/>
    </row>
    <row r="49" spans="1:29" ht="15.75" thickBot="1">
      <c r="A49" s="485" t="s">
        <v>2649</v>
      </c>
      <c r="B49" s="486"/>
      <c r="C49" s="1409" t="e">
        <f>R50</f>
        <v>#DIV/0!</v>
      </c>
      <c r="D49" s="1410"/>
      <c r="E49" s="1411" t="e">
        <f>R49</f>
        <v>#DIV/0!</v>
      </c>
      <c r="F49" s="1411"/>
      <c r="G49" s="1409" t="e">
        <f>T49</f>
        <v>#DIV/0!</v>
      </c>
      <c r="H49" s="1410"/>
      <c r="I49" s="1411" t="e">
        <f>V49</f>
        <v>#DIV/0!</v>
      </c>
      <c r="J49" s="488"/>
      <c r="K49" s="783"/>
      <c r="L49" s="1141"/>
      <c r="M49" s="1129"/>
      <c r="N49" s="1129"/>
      <c r="O49" s="1129"/>
      <c r="P49" s="3262" t="str">
        <f>A49</f>
        <v>比较价值（元/平方米）</v>
      </c>
      <c r="Q49" s="3238"/>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5"/>
      <c r="Y49" s="445"/>
      <c r="Z49" s="445"/>
      <c r="AA49" s="445"/>
      <c r="AB49" s="445"/>
      <c r="AC49" s="629"/>
    </row>
    <row r="50" spans="1:29" ht="15.75" thickBot="1">
      <c r="A50" s="491" t="s">
        <v>2650</v>
      </c>
      <c r="B50" s="492"/>
      <c r="C50" s="1413" t="e">
        <f>R50</f>
        <v>#DIV/0!</v>
      </c>
      <c r="D50" s="1413"/>
      <c r="E50" s="1413"/>
      <c r="F50" s="1413"/>
      <c r="G50" s="1413"/>
      <c r="H50" s="1413"/>
      <c r="I50" s="1413"/>
      <c r="J50" s="493"/>
      <c r="K50" s="784"/>
      <c r="L50" s="1141"/>
      <c r="M50" s="1129"/>
      <c r="N50" s="1129"/>
      <c r="O50" s="1129"/>
      <c r="P50" s="3316" t="str">
        <f>A50</f>
        <v>估价对象XX用房的比较价值（楼面单价，元/平方米）</v>
      </c>
      <c r="Q50" s="3317"/>
      <c r="R50" s="3318" t="e">
        <f>IF(F1="售价",ROUND(AVERAGE(R49:V49),0),ROUND(AVERAGE(R49:V49),1))</f>
        <v>#DIV/0!</v>
      </c>
      <c r="S50" s="3318"/>
      <c r="T50" s="3318"/>
      <c r="U50" s="3318"/>
      <c r="V50" s="3318"/>
      <c r="W50" s="3318"/>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2654</v>
      </c>
      <c r="B58" s="758"/>
      <c r="C58" s="763"/>
      <c r="D58" s="763"/>
      <c r="E58" s="763"/>
      <c r="F58" s="764"/>
      <c r="G58" s="764"/>
      <c r="H58" s="763"/>
      <c r="I58" s="763"/>
      <c r="J58" s="763"/>
      <c r="K58" s="765"/>
      <c r="L58" s="1159"/>
      <c r="M58" s="1157"/>
      <c r="N58" s="1157"/>
      <c r="O58" s="1157"/>
      <c r="P58" s="2672"/>
      <c r="Q58" s="503"/>
    </row>
    <row r="59" spans="1:29" s="507" customFormat="1" ht="15">
      <c r="A59" s="504" t="s">
        <v>2528</v>
      </c>
      <c r="B59" s="505"/>
      <c r="C59" s="1569" t="str">
        <f>YEAR(C7)&amp;"-"&amp;MONTH(C7)</f>
        <v>2021-4</v>
      </c>
      <c r="D59" s="1570">
        <f>EDATE(C59,-1)</f>
        <v>44256</v>
      </c>
      <c r="E59" s="1570">
        <f>EDATE(D59,-1)</f>
        <v>44228</v>
      </c>
      <c r="F59" s="1570">
        <f t="shared" ref="F59:O59" si="16">EDATE(E59,-1)</f>
        <v>44197</v>
      </c>
      <c r="G59" s="1570">
        <f t="shared" si="16"/>
        <v>44166</v>
      </c>
      <c r="H59" s="1570">
        <f t="shared" si="16"/>
        <v>44136</v>
      </c>
      <c r="I59" s="1570">
        <f t="shared" si="16"/>
        <v>44105</v>
      </c>
      <c r="J59" s="1570">
        <f t="shared" si="16"/>
        <v>44075</v>
      </c>
      <c r="K59" s="1570">
        <f t="shared" si="16"/>
        <v>44044</v>
      </c>
      <c r="L59" s="1570">
        <f t="shared" si="16"/>
        <v>44013</v>
      </c>
      <c r="M59" s="1570">
        <f t="shared" si="16"/>
        <v>43983</v>
      </c>
      <c r="N59" s="1570">
        <f t="shared" si="16"/>
        <v>43952</v>
      </c>
      <c r="O59" s="1570">
        <f t="shared" si="16"/>
        <v>43922</v>
      </c>
      <c r="P59" s="1566"/>
    </row>
    <row r="60" spans="1:29" s="116" customFormat="1" ht="15">
      <c r="A60" s="508"/>
      <c r="B60" s="509"/>
      <c r="C60" s="1568">
        <v>100</v>
      </c>
      <c r="D60" s="511"/>
      <c r="E60" s="511"/>
      <c r="F60" s="511"/>
      <c r="G60" s="511"/>
      <c r="H60" s="511"/>
      <c r="I60" s="511"/>
      <c r="J60" s="511"/>
      <c r="K60" s="511"/>
      <c r="L60" s="511"/>
      <c r="M60" s="512"/>
      <c r="N60" s="511"/>
      <c r="O60" s="512"/>
      <c r="P60" s="2673"/>
    </row>
    <row r="61" spans="1:29" s="116" customFormat="1" ht="15.75" thickBot="1">
      <c r="A61" s="514" t="s">
        <v>2565</v>
      </c>
      <c r="B61" s="515"/>
      <c r="C61" s="516"/>
      <c r="D61" s="517"/>
      <c r="E61" s="517"/>
      <c r="F61" s="517"/>
      <c r="G61" s="517"/>
      <c r="H61" s="517"/>
      <c r="I61" s="517"/>
      <c r="J61" s="517"/>
      <c r="K61" s="517"/>
      <c r="L61" s="517"/>
      <c r="M61" s="518"/>
      <c r="N61" s="517"/>
      <c r="O61" s="518"/>
      <c r="P61" s="2673"/>
      <c r="Q61" s="503"/>
    </row>
    <row r="62" spans="1:29" s="116" customFormat="1" ht="15">
      <c r="A62" s="520" t="s">
        <v>2530</v>
      </c>
      <c r="B62" s="509"/>
      <c r="C62" s="521" t="s">
        <v>2632</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2568</v>
      </c>
      <c r="B64" s="527" t="s">
        <v>2534</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2582</v>
      </c>
      <c r="C79" s="577" t="s">
        <v>2577</v>
      </c>
      <c r="D79" s="577" t="s">
        <v>2578</v>
      </c>
      <c r="E79" s="577" t="s">
        <v>2579</v>
      </c>
      <c r="F79" s="577" t="s">
        <v>2580</v>
      </c>
      <c r="G79" s="577" t="s">
        <v>2581</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2583</v>
      </c>
      <c r="C81" s="577" t="s">
        <v>2577</v>
      </c>
      <c r="D81" s="577" t="s">
        <v>2578</v>
      </c>
      <c r="E81" s="577" t="s">
        <v>2579</v>
      </c>
      <c r="F81" s="577" t="s">
        <v>2580</v>
      </c>
      <c r="G81" s="577" t="s">
        <v>2581</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2669</v>
      </c>
      <c r="C83" s="659" t="s">
        <v>2655</v>
      </c>
      <c r="D83" s="659" t="s">
        <v>2656</v>
      </c>
      <c r="E83" s="659" t="s">
        <v>2657</v>
      </c>
      <c r="F83" s="659" t="s">
        <v>2658</v>
      </c>
      <c r="G83" s="659" t="s">
        <v>2659</v>
      </c>
      <c r="H83" s="538"/>
      <c r="I83" s="538"/>
      <c r="J83" s="538"/>
      <c r="K83" s="538"/>
      <c r="L83" s="538"/>
      <c r="M83" s="1379"/>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2678</v>
      </c>
      <c r="C85" s="577" t="s">
        <v>2577</v>
      </c>
      <c r="D85" s="577" t="s">
        <v>2578</v>
      </c>
      <c r="E85" s="577" t="s">
        <v>2579</v>
      </c>
      <c r="F85" s="577" t="s">
        <v>2580</v>
      </c>
      <c r="G85" s="577" t="s">
        <v>2581</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2679</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2543</v>
      </c>
      <c r="B101" s="527" t="s">
        <v>2592</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2594</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2596</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2680</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2597</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2598</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2681</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2664</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2600</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2682</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IF(C2="——",ROUND(C43*D3/10000,0),ROUND(C43*D3/10000,0)-D2)</f>
        <v>#DIV/0!</v>
      </c>
      <c r="C2" s="2577"/>
      <c r="D2" s="112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22" t="s">
        <v>2628</v>
      </c>
      <c r="AC4" s="3221" t="s">
        <v>2629</v>
      </c>
    </row>
    <row r="5" spans="1:29" ht="15">
      <c r="A5" s="403"/>
      <c r="B5" s="404"/>
      <c r="C5" s="3232" t="s">
        <v>2522</v>
      </c>
      <c r="D5" s="3233"/>
      <c r="E5" s="3230" t="s">
        <v>2523</v>
      </c>
      <c r="F5" s="3231"/>
      <c r="G5" s="3232" t="s">
        <v>2524</v>
      </c>
      <c r="H5" s="3233"/>
      <c r="I5" s="3232" t="s">
        <v>2525</v>
      </c>
      <c r="J5" s="3233"/>
      <c r="K5" s="609"/>
      <c r="L5" s="1128"/>
      <c r="M5" s="1129"/>
      <c r="N5" s="1129"/>
      <c r="O5" s="1129"/>
      <c r="P5" s="3245"/>
      <c r="Q5" s="3246"/>
      <c r="R5" s="3228"/>
      <c r="S5" s="3229"/>
      <c r="T5" s="3228"/>
      <c r="U5" s="3229"/>
      <c r="V5" s="3251"/>
      <c r="W5" s="3251"/>
      <c r="X5" s="1808"/>
      <c r="Y5" s="3228"/>
      <c r="Z5" s="3229"/>
      <c r="AA5" s="3222"/>
      <c r="AB5" s="3222"/>
      <c r="AC5" s="3222"/>
    </row>
    <row r="6" spans="1:29" ht="15.75" thickBot="1">
      <c r="A6" s="405"/>
      <c r="B6" s="406"/>
      <c r="C6" s="3234" t="s">
        <v>2526</v>
      </c>
      <c r="D6" s="3235"/>
      <c r="E6" s="3236" t="s">
        <v>2526</v>
      </c>
      <c r="F6" s="3237"/>
      <c r="G6" s="3234" t="s">
        <v>2526</v>
      </c>
      <c r="H6" s="3235"/>
      <c r="I6" s="3234" t="s">
        <v>2526</v>
      </c>
      <c r="J6" s="3235"/>
      <c r="K6" s="609" t="s">
        <v>2527</v>
      </c>
      <c r="L6" s="1128"/>
      <c r="M6" s="1129"/>
      <c r="N6" s="1129"/>
      <c r="O6" s="1129"/>
      <c r="P6" s="3247"/>
      <c r="Q6" s="3248"/>
      <c r="R6" s="3228"/>
      <c r="S6" s="3229"/>
      <c r="T6" s="3249"/>
      <c r="U6" s="3250"/>
      <c r="V6" s="3251"/>
      <c r="W6" s="3251"/>
      <c r="X6" s="1808"/>
      <c r="Y6" s="3249"/>
      <c r="Z6" s="3250"/>
      <c r="AA6" s="3223"/>
      <c r="AB6" s="3223"/>
      <c r="AC6" s="3223"/>
    </row>
    <row r="7" spans="1:29" s="116" customFormat="1" ht="15.75" thickBot="1">
      <c r="A7" s="407" t="s">
        <v>2528</v>
      </c>
      <c r="B7" s="408"/>
      <c r="C7" s="409">
        <f>'数据-取费表'!B2</f>
        <v>44312</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4" t="s">
        <v>2529</v>
      </c>
      <c r="Q7" s="3252"/>
      <c r="R7" s="769" t="s">
        <v>17</v>
      </c>
      <c r="S7" s="770">
        <f t="shared" ref="S7:S15" si="0">F7</f>
        <v>0</v>
      </c>
      <c r="T7" s="769" t="s">
        <v>17</v>
      </c>
      <c r="U7" s="770">
        <f t="shared" ref="U7:U15" si="1">H7</f>
        <v>0</v>
      </c>
      <c r="V7" s="769" t="s">
        <v>17</v>
      </c>
      <c r="W7" s="770">
        <f t="shared" ref="W7:W15" si="2">J7</f>
        <v>0</v>
      </c>
      <c r="X7" s="771"/>
      <c r="Y7" s="3224" t="s">
        <v>2529</v>
      </c>
      <c r="Z7" s="3225"/>
      <c r="AA7" s="772" t="e">
        <f>D7/F7</f>
        <v>#DIV/0!</v>
      </c>
      <c r="AB7" s="772" t="e">
        <f>D7/H7</f>
        <v>#DIV/0!</v>
      </c>
      <c r="AC7" s="772" t="e">
        <f>D7/J7</f>
        <v>#DIV/0!</v>
      </c>
    </row>
    <row r="8" spans="1:29" s="116" customFormat="1" ht="15.7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4" t="s">
        <v>2532</v>
      </c>
      <c r="Q8" s="3225"/>
      <c r="R8" s="769" t="s">
        <v>17</v>
      </c>
      <c r="S8" s="770">
        <f t="shared" si="0"/>
        <v>0</v>
      </c>
      <c r="T8" s="769" t="s">
        <v>17</v>
      </c>
      <c r="U8" s="770">
        <f t="shared" si="1"/>
        <v>0</v>
      </c>
      <c r="V8" s="769" t="s">
        <v>17</v>
      </c>
      <c r="W8" s="770">
        <f t="shared" si="2"/>
        <v>0</v>
      </c>
      <c r="X8" s="771"/>
      <c r="Y8" s="3224" t="s">
        <v>2532</v>
      </c>
      <c r="Z8" s="3225"/>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8"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8"/>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8"/>
      <c r="Q11" s="1790"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38"/>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38"/>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38"/>
      <c r="Q14" s="1790">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57">
      <c r="A15" s="439" t="s">
        <v>2539</v>
      </c>
      <c r="B15" s="69" t="s">
        <v>2683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3" t="s">
        <v>2540</v>
      </c>
      <c r="Q15" s="1805" t="str">
        <f t="shared" si="6"/>
        <v>产业集聚程度</v>
      </c>
      <c r="R15" s="773" t="s">
        <v>17</v>
      </c>
      <c r="S15" s="774">
        <f t="shared" si="0"/>
        <v>100</v>
      </c>
      <c r="T15" s="773" t="s">
        <v>17</v>
      </c>
      <c r="U15" s="774">
        <f t="shared" si="1"/>
        <v>100</v>
      </c>
      <c r="V15" s="773" t="s">
        <v>17</v>
      </c>
      <c r="W15" s="774">
        <f t="shared" si="2"/>
        <v>100</v>
      </c>
      <c r="X15" s="1808"/>
      <c r="Y15" s="3253" t="s">
        <v>2540</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37"/>
      <c r="P16" s="3254"/>
      <c r="Q16" s="1805"/>
      <c r="R16" s="773"/>
      <c r="S16" s="774"/>
      <c r="T16" s="773"/>
      <c r="U16" s="774"/>
      <c r="V16" s="773"/>
      <c r="W16" s="774"/>
      <c r="X16" s="1808"/>
      <c r="Y16" s="3254"/>
      <c r="Z16" s="1809"/>
      <c r="AA16" s="1806">
        <v>1</v>
      </c>
      <c r="AB16" s="1806">
        <v>1</v>
      </c>
      <c r="AC16" s="1806">
        <v>1</v>
      </c>
    </row>
    <row r="17" spans="1:29" ht="85.5">
      <c r="A17" s="427"/>
      <c r="B17" s="450" t="s">
        <v>2084</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4"/>
      <c r="Q17" s="1805" t="str">
        <f>B17</f>
        <v>交通便捷度</v>
      </c>
      <c r="R17" s="773" t="s">
        <v>17</v>
      </c>
      <c r="S17" s="774">
        <f>F17</f>
        <v>100</v>
      </c>
      <c r="T17" s="773" t="s">
        <v>17</v>
      </c>
      <c r="U17" s="774">
        <f>H17</f>
        <v>100</v>
      </c>
      <c r="V17" s="773" t="s">
        <v>17</v>
      </c>
      <c r="W17" s="774">
        <f>J17</f>
        <v>100</v>
      </c>
      <c r="X17" s="1808"/>
      <c r="Y17" s="3254"/>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37"/>
      <c r="P18" s="3254"/>
      <c r="Q18" s="1805"/>
      <c r="R18" s="773"/>
      <c r="S18" s="774"/>
      <c r="T18" s="773"/>
      <c r="U18" s="774"/>
      <c r="V18" s="773"/>
      <c r="W18" s="774"/>
      <c r="X18" s="1808"/>
      <c r="Y18" s="3254"/>
      <c r="Z18" s="1809"/>
      <c r="AA18" s="1806">
        <v>1</v>
      </c>
      <c r="AB18" s="1806">
        <v>1</v>
      </c>
      <c r="AC18" s="1806">
        <v>1</v>
      </c>
    </row>
    <row r="19" spans="1:29" ht="42.75">
      <c r="A19" s="427"/>
      <c r="B19" s="450" t="s">
        <v>2668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4"/>
      <c r="Q19" s="1805" t="str">
        <f>B19</f>
        <v>公共配套设施</v>
      </c>
      <c r="R19" s="773" t="s">
        <v>17</v>
      </c>
      <c r="S19" s="774">
        <f>F19</f>
        <v>100</v>
      </c>
      <c r="T19" s="773" t="s">
        <v>17</v>
      </c>
      <c r="U19" s="774">
        <f>H19</f>
        <v>100</v>
      </c>
      <c r="V19" s="773" t="s">
        <v>17</v>
      </c>
      <c r="W19" s="774">
        <f>J19</f>
        <v>100</v>
      </c>
      <c r="X19" s="1808"/>
      <c r="Y19" s="3254"/>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37"/>
      <c r="P20" s="3254"/>
      <c r="Q20" s="1805"/>
      <c r="R20" s="773"/>
      <c r="S20" s="774"/>
      <c r="T20" s="773"/>
      <c r="U20" s="774"/>
      <c r="V20" s="773"/>
      <c r="W20" s="774"/>
      <c r="X20" s="1808"/>
      <c r="Y20" s="3254"/>
      <c r="Z20" s="1809"/>
      <c r="AA20" s="1806">
        <v>1</v>
      </c>
      <c r="AB20" s="1806">
        <v>1</v>
      </c>
      <c r="AC20" s="1806">
        <v>1</v>
      </c>
    </row>
    <row r="21" spans="1:29" ht="28.5">
      <c r="A21" s="427"/>
      <c r="B21" s="1381" t="s">
        <v>2669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4"/>
      <c r="Q21" s="1805" t="str">
        <f>B21</f>
        <v>基础设施水平</v>
      </c>
      <c r="R21" s="773" t="s">
        <v>17</v>
      </c>
      <c r="S21" s="774">
        <f>F21</f>
        <v>100</v>
      </c>
      <c r="T21" s="773" t="s">
        <v>17</v>
      </c>
      <c r="U21" s="774">
        <f>H21</f>
        <v>100</v>
      </c>
      <c r="V21" s="773" t="s">
        <v>17</v>
      </c>
      <c r="W21" s="774">
        <f>J21</f>
        <v>100</v>
      </c>
      <c r="X21" s="1808"/>
      <c r="Y21" s="3254"/>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37"/>
      <c r="P22" s="3254"/>
      <c r="Q22" s="1805"/>
      <c r="R22" s="773"/>
      <c r="S22" s="774"/>
      <c r="T22" s="773"/>
      <c r="U22" s="774"/>
      <c r="V22" s="773"/>
      <c r="W22" s="774"/>
      <c r="X22" s="1808"/>
      <c r="Y22" s="3254"/>
      <c r="Z22" s="1809"/>
      <c r="AA22" s="1806">
        <v>1</v>
      </c>
      <c r="AB22" s="1806">
        <v>1</v>
      </c>
      <c r="AC22" s="1806">
        <v>1</v>
      </c>
    </row>
    <row r="23" spans="1:29" ht="71.25">
      <c r="A23" s="427"/>
      <c r="B23" s="450" t="s">
        <v>2670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4"/>
      <c r="Q23" s="1805" t="str">
        <f>B23</f>
        <v>环境质量</v>
      </c>
      <c r="R23" s="773" t="s">
        <v>17</v>
      </c>
      <c r="S23" s="774">
        <f>F23</f>
        <v>100</v>
      </c>
      <c r="T23" s="773" t="s">
        <v>17</v>
      </c>
      <c r="U23" s="774">
        <f>H23</f>
        <v>100</v>
      </c>
      <c r="V23" s="773" t="s">
        <v>17</v>
      </c>
      <c r="W23" s="774">
        <f>J23</f>
        <v>100</v>
      </c>
      <c r="X23" s="1808"/>
      <c r="Y23" s="3254"/>
      <c r="Z23" s="1809" t="str">
        <f>Q23</f>
        <v>环境质量</v>
      </c>
      <c r="AA23" s="1806">
        <f t="shared" si="3"/>
        <v>1</v>
      </c>
      <c r="AB23" s="1806">
        <f t="shared" si="4"/>
        <v>1</v>
      </c>
      <c r="AC23" s="1806">
        <f t="shared" si="5"/>
        <v>1</v>
      </c>
    </row>
    <row r="24" spans="1:29" ht="15">
      <c r="A24" s="427"/>
      <c r="B24" s="1381"/>
      <c r="C24" s="446"/>
      <c r="D24" s="447"/>
      <c r="E24" s="2596"/>
      <c r="F24" s="448"/>
      <c r="G24" s="2595"/>
      <c r="H24" s="447"/>
      <c r="I24" s="2596"/>
      <c r="J24" s="447"/>
      <c r="K24" s="614"/>
      <c r="L24" s="1138"/>
      <c r="M24" s="1129"/>
      <c r="N24" s="1129"/>
      <c r="O24" s="1137"/>
      <c r="P24" s="3254"/>
      <c r="Q24" s="1805"/>
      <c r="R24" s="773"/>
      <c r="S24" s="774"/>
      <c r="T24" s="773"/>
      <c r="U24" s="774"/>
      <c r="V24" s="773"/>
      <c r="W24" s="774"/>
      <c r="X24" s="1808"/>
      <c r="Y24" s="3254"/>
      <c r="Z24" s="1809"/>
      <c r="AA24" s="1806">
        <v>1</v>
      </c>
      <c r="AB24" s="1806">
        <v>1</v>
      </c>
      <c r="AC24" s="1806">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4"/>
      <c r="Q25" s="1805">
        <f>B25</f>
        <v>111</v>
      </c>
      <c r="R25" s="773" t="s">
        <v>17</v>
      </c>
      <c r="S25" s="774">
        <f>F25</f>
        <v>100</v>
      </c>
      <c r="T25" s="773" t="s">
        <v>17</v>
      </c>
      <c r="U25" s="774">
        <f>H25</f>
        <v>100</v>
      </c>
      <c r="V25" s="773" t="s">
        <v>17</v>
      </c>
      <c r="W25" s="774">
        <f>J25</f>
        <v>100</v>
      </c>
      <c r="X25" s="1808"/>
      <c r="Y25" s="3254"/>
      <c r="Z25" s="1809">
        <f>Q25</f>
        <v>111</v>
      </c>
      <c r="AA25" s="1806">
        <f t="shared" si="3"/>
        <v>1</v>
      </c>
      <c r="AB25" s="1806">
        <f t="shared" si="4"/>
        <v>1</v>
      </c>
      <c r="AC25" s="1806">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4"/>
      <c r="Q26" s="1805">
        <f t="shared" ref="Q26:Q40" si="11">B26</f>
        <v>111</v>
      </c>
      <c r="R26" s="773" t="s">
        <v>17</v>
      </c>
      <c r="S26" s="774">
        <f>F26</f>
        <v>100</v>
      </c>
      <c r="T26" s="773" t="s">
        <v>17</v>
      </c>
      <c r="U26" s="774">
        <f>H26</f>
        <v>100</v>
      </c>
      <c r="V26" s="773" t="s">
        <v>17</v>
      </c>
      <c r="W26" s="774">
        <f>J26</f>
        <v>100</v>
      </c>
      <c r="X26" s="1808"/>
      <c r="Y26" s="3254"/>
      <c r="Z26" s="1809">
        <f>Q26</f>
        <v>111</v>
      </c>
      <c r="AA26" s="1806">
        <f t="shared" si="3"/>
        <v>1</v>
      </c>
      <c r="AB26" s="1806">
        <f t="shared" si="4"/>
        <v>1</v>
      </c>
      <c r="AC26" s="1806">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4"/>
      <c r="Q27" s="1790">
        <f t="shared" si="11"/>
        <v>111</v>
      </c>
      <c r="R27" s="769" t="s">
        <v>17</v>
      </c>
      <c r="S27" s="770">
        <f>F27</f>
        <v>100</v>
      </c>
      <c r="T27" s="769" t="s">
        <v>17</v>
      </c>
      <c r="U27" s="770">
        <f>H27</f>
        <v>100</v>
      </c>
      <c r="V27" s="769" t="s">
        <v>17</v>
      </c>
      <c r="W27" s="770">
        <f>J27</f>
        <v>100</v>
      </c>
      <c r="X27" s="771"/>
      <c r="Y27" s="3254"/>
      <c r="Z27" s="55">
        <f>Q27</f>
        <v>111</v>
      </c>
      <c r="AA27" s="1806">
        <f>D27/F27</f>
        <v>1</v>
      </c>
      <c r="AB27" s="1806">
        <f>D27/H27</f>
        <v>1</v>
      </c>
      <c r="AC27" s="1806">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4"/>
      <c r="Q28" s="1805">
        <f t="shared" si="11"/>
        <v>111</v>
      </c>
      <c r="R28" s="773" t="s">
        <v>17</v>
      </c>
      <c r="S28" s="774">
        <f t="shared" ref="S28:S40" si="12">F28</f>
        <v>100</v>
      </c>
      <c r="T28" s="773" t="s">
        <v>17</v>
      </c>
      <c r="U28" s="774">
        <f t="shared" ref="U28:U40" si="13">H28</f>
        <v>100</v>
      </c>
      <c r="V28" s="773" t="s">
        <v>17</v>
      </c>
      <c r="W28" s="774">
        <f t="shared" ref="W28:W40" si="14">J28</f>
        <v>100</v>
      </c>
      <c r="X28" s="1808"/>
      <c r="Y28" s="3254"/>
      <c r="Z28" s="1809">
        <f t="shared" ref="Z28:Z40" si="15">Q28</f>
        <v>111</v>
      </c>
      <c r="AA28" s="1806">
        <f t="shared" si="3"/>
        <v>1</v>
      </c>
      <c r="AB28" s="1806">
        <f t="shared" si="4"/>
        <v>1</v>
      </c>
      <c r="AC28" s="1806">
        <f t="shared" si="5"/>
        <v>1</v>
      </c>
    </row>
    <row r="29" spans="1:29" ht="28.5">
      <c r="A29" s="465" t="s">
        <v>2543</v>
      </c>
      <c r="B29" s="71" t="s">
        <v>2673</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55" t="s">
        <v>2545</v>
      </c>
      <c r="Q29" s="1805" t="str">
        <f t="shared" si="11"/>
        <v>建筑类型</v>
      </c>
      <c r="R29" s="773" t="s">
        <v>17</v>
      </c>
      <c r="S29" s="774">
        <f t="shared" si="12"/>
        <v>100</v>
      </c>
      <c r="T29" s="773" t="s">
        <v>17</v>
      </c>
      <c r="U29" s="774">
        <f t="shared" si="13"/>
        <v>100</v>
      </c>
      <c r="V29" s="773" t="s">
        <v>17</v>
      </c>
      <c r="W29" s="774">
        <f t="shared" si="14"/>
        <v>100</v>
      </c>
      <c r="X29" s="1808"/>
      <c r="Y29" s="3256" t="s">
        <v>2545</v>
      </c>
      <c r="Z29" s="1809" t="str">
        <f t="shared" si="15"/>
        <v>建筑类型</v>
      </c>
      <c r="AA29" s="1806">
        <f t="shared" si="3"/>
        <v>1</v>
      </c>
      <c r="AB29" s="1806">
        <f t="shared" si="4"/>
        <v>1</v>
      </c>
      <c r="AC29" s="1806">
        <f t="shared" si="5"/>
        <v>1</v>
      </c>
    </row>
    <row r="30" spans="1:29" s="470" customFormat="1" ht="1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56"/>
      <c r="Q30" s="775" t="str">
        <f t="shared" si="11"/>
        <v>项目建筑规模</v>
      </c>
      <c r="R30" s="776" t="s">
        <v>17</v>
      </c>
      <c r="S30" s="777" t="e">
        <f t="shared" si="12"/>
        <v>#N/A</v>
      </c>
      <c r="T30" s="776" t="s">
        <v>17</v>
      </c>
      <c r="U30" s="777" t="e">
        <f t="shared" si="13"/>
        <v>#N/A</v>
      </c>
      <c r="V30" s="776" t="s">
        <v>17</v>
      </c>
      <c r="W30" s="777" t="e">
        <f t="shared" si="14"/>
        <v>#N/A</v>
      </c>
      <c r="X30" s="778"/>
      <c r="Y30" s="3256"/>
      <c r="Z30" s="779" t="str">
        <f t="shared" si="15"/>
        <v>项目建筑规模</v>
      </c>
      <c r="AA30" s="1806" t="e">
        <f t="shared" si="3"/>
        <v>#N/A</v>
      </c>
      <c r="AB30" s="1806" t="e">
        <f t="shared" si="4"/>
        <v>#N/A</v>
      </c>
      <c r="AC30" s="1806" t="e">
        <f t="shared" si="5"/>
        <v>#N/A</v>
      </c>
    </row>
    <row r="31" spans="1:29" ht="1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56"/>
      <c r="Q31" s="1805" t="str">
        <f t="shared" si="11"/>
        <v>建筑结构</v>
      </c>
      <c r="R31" s="773" t="s">
        <v>17</v>
      </c>
      <c r="S31" s="774">
        <f t="shared" si="12"/>
        <v>100</v>
      </c>
      <c r="T31" s="773" t="s">
        <v>17</v>
      </c>
      <c r="U31" s="774">
        <f t="shared" si="13"/>
        <v>100</v>
      </c>
      <c r="V31" s="773" t="s">
        <v>17</v>
      </c>
      <c r="W31" s="774">
        <f t="shared" si="14"/>
        <v>100</v>
      </c>
      <c r="X31" s="1808"/>
      <c r="Y31" s="3256"/>
      <c r="Z31" s="1809" t="str">
        <f t="shared" si="15"/>
        <v>建筑结构</v>
      </c>
      <c r="AA31" s="1806">
        <f t="shared" si="3"/>
        <v>1</v>
      </c>
      <c r="AB31" s="1806">
        <f t="shared" si="4"/>
        <v>1</v>
      </c>
      <c r="AC31" s="1806">
        <f t="shared" si="5"/>
        <v>1</v>
      </c>
    </row>
    <row r="32" spans="1:29" ht="1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56"/>
      <c r="Q32" s="1805" t="str">
        <f t="shared" si="11"/>
        <v>公共部分装修</v>
      </c>
      <c r="R32" s="773" t="s">
        <v>17</v>
      </c>
      <c r="S32" s="774">
        <f t="shared" si="12"/>
        <v>100</v>
      </c>
      <c r="T32" s="773" t="s">
        <v>17</v>
      </c>
      <c r="U32" s="774">
        <f t="shared" si="13"/>
        <v>100</v>
      </c>
      <c r="V32" s="773" t="s">
        <v>17</v>
      </c>
      <c r="W32" s="774">
        <f t="shared" si="14"/>
        <v>100</v>
      </c>
      <c r="X32" s="1808"/>
      <c r="Y32" s="3256"/>
      <c r="Z32" s="1809" t="str">
        <f t="shared" si="15"/>
        <v>公共部分装修</v>
      </c>
      <c r="AA32" s="1806">
        <f t="shared" si="3"/>
        <v>1</v>
      </c>
      <c r="AB32" s="1806">
        <f t="shared" si="4"/>
        <v>1</v>
      </c>
      <c r="AC32" s="1806">
        <f t="shared" si="5"/>
        <v>1</v>
      </c>
    </row>
    <row r="33" spans="1:29" ht="1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56"/>
      <c r="Q33" s="1805" t="str">
        <f t="shared" si="11"/>
        <v>成新度</v>
      </c>
      <c r="R33" s="773" t="s">
        <v>17</v>
      </c>
      <c r="S33" s="774" t="e">
        <f t="shared" si="12"/>
        <v>#N/A</v>
      </c>
      <c r="T33" s="773" t="s">
        <v>17</v>
      </c>
      <c r="U33" s="774" t="e">
        <f t="shared" si="13"/>
        <v>#N/A</v>
      </c>
      <c r="V33" s="773" t="s">
        <v>17</v>
      </c>
      <c r="W33" s="774" t="e">
        <f t="shared" si="14"/>
        <v>#N/A</v>
      </c>
      <c r="X33" s="1808"/>
      <c r="Y33" s="3256"/>
      <c r="Z33" s="1809" t="str">
        <f t="shared" si="15"/>
        <v>成新度</v>
      </c>
      <c r="AA33" s="1806" t="e">
        <f t="shared" si="3"/>
        <v>#N/A</v>
      </c>
      <c r="AB33" s="1806" t="e">
        <f t="shared" si="4"/>
        <v>#N/A</v>
      </c>
      <c r="AC33" s="1806" t="e">
        <f t="shared" si="5"/>
        <v>#N/A</v>
      </c>
    </row>
    <row r="34" spans="1:29" s="116" customFormat="1" ht="1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56"/>
      <c r="Q34" s="1790" t="str">
        <f t="shared" si="11"/>
        <v>物业管理</v>
      </c>
      <c r="R34" s="769" t="s">
        <v>17</v>
      </c>
      <c r="S34" s="770">
        <f t="shared" si="12"/>
        <v>100</v>
      </c>
      <c r="T34" s="769" t="s">
        <v>17</v>
      </c>
      <c r="U34" s="770">
        <f t="shared" si="13"/>
        <v>100</v>
      </c>
      <c r="V34" s="769" t="s">
        <v>17</v>
      </c>
      <c r="W34" s="770">
        <f t="shared" si="14"/>
        <v>100</v>
      </c>
      <c r="X34" s="771"/>
      <c r="Y34" s="3256"/>
      <c r="Z34" s="55" t="str">
        <f t="shared" si="15"/>
        <v>物业管理</v>
      </c>
      <c r="AA34" s="772">
        <f t="shared" si="3"/>
        <v>1</v>
      </c>
      <c r="AB34" s="772">
        <f t="shared" si="4"/>
        <v>1</v>
      </c>
      <c r="AC34" s="772">
        <f t="shared" si="5"/>
        <v>1</v>
      </c>
    </row>
    <row r="35" spans="1:29" ht="1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56" t="s">
        <v>2545</v>
      </c>
      <c r="Q35" s="1805" t="str">
        <f t="shared" si="11"/>
        <v>市政基础设施</v>
      </c>
      <c r="R35" s="773" t="s">
        <v>17</v>
      </c>
      <c r="S35" s="774">
        <f t="shared" si="12"/>
        <v>100</v>
      </c>
      <c r="T35" s="773" t="s">
        <v>17</v>
      </c>
      <c r="U35" s="774">
        <f t="shared" si="13"/>
        <v>100</v>
      </c>
      <c r="V35" s="773" t="s">
        <v>17</v>
      </c>
      <c r="W35" s="774">
        <f t="shared" si="14"/>
        <v>100</v>
      </c>
      <c r="X35" s="1808"/>
      <c r="Y35" s="3256" t="s">
        <v>2545</v>
      </c>
      <c r="Z35" s="1809" t="str">
        <f t="shared" si="15"/>
        <v>市政基础设施</v>
      </c>
      <c r="AA35" s="1806">
        <f t="shared" si="3"/>
        <v>1</v>
      </c>
      <c r="AB35" s="1806">
        <f t="shared" si="4"/>
        <v>1</v>
      </c>
      <c r="AC35" s="1806">
        <f t="shared" si="5"/>
        <v>1</v>
      </c>
    </row>
    <row r="36" spans="1:29" ht="1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56"/>
      <c r="Q36" s="1805" t="str">
        <f t="shared" si="11"/>
        <v>内部装修</v>
      </c>
      <c r="R36" s="773" t="s">
        <v>17</v>
      </c>
      <c r="S36" s="774">
        <f t="shared" si="12"/>
        <v>100</v>
      </c>
      <c r="T36" s="773" t="s">
        <v>17</v>
      </c>
      <c r="U36" s="774">
        <f t="shared" si="13"/>
        <v>100</v>
      </c>
      <c r="V36" s="773" t="s">
        <v>17</v>
      </c>
      <c r="W36" s="774">
        <f t="shared" si="14"/>
        <v>100</v>
      </c>
      <c r="X36" s="1808"/>
      <c r="Y36" s="3256"/>
      <c r="Z36" s="1809" t="str">
        <f t="shared" si="15"/>
        <v>内部装修</v>
      </c>
      <c r="AA36" s="1806">
        <f t="shared" si="3"/>
        <v>1</v>
      </c>
      <c r="AB36" s="1806">
        <f t="shared" si="4"/>
        <v>1</v>
      </c>
      <c r="AC36" s="1806">
        <f t="shared" si="5"/>
        <v>1</v>
      </c>
    </row>
    <row r="37" spans="1:29" ht="1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56"/>
      <c r="Q37" s="1805" t="str">
        <f t="shared" si="11"/>
        <v>内部装修状况</v>
      </c>
      <c r="R37" s="773" t="s">
        <v>17</v>
      </c>
      <c r="S37" s="774">
        <f t="shared" si="12"/>
        <v>100</v>
      </c>
      <c r="T37" s="773" t="s">
        <v>17</v>
      </c>
      <c r="U37" s="774">
        <f t="shared" si="13"/>
        <v>100</v>
      </c>
      <c r="V37" s="773" t="s">
        <v>17</v>
      </c>
      <c r="W37" s="774">
        <f t="shared" si="14"/>
        <v>100</v>
      </c>
      <c r="X37" s="1808"/>
      <c r="Y37" s="3256"/>
      <c r="Z37" s="1809" t="str">
        <f t="shared" si="15"/>
        <v>内部装修状况</v>
      </c>
      <c r="AA37" s="1806">
        <f t="shared" si="3"/>
        <v>1</v>
      </c>
      <c r="AB37" s="1806">
        <f t="shared" si="4"/>
        <v>1</v>
      </c>
      <c r="AC37" s="1806">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56"/>
      <c r="Q38" s="775">
        <f t="shared" si="11"/>
        <v>111</v>
      </c>
      <c r="R38" s="776" t="s">
        <v>17</v>
      </c>
      <c r="S38" s="777">
        <f t="shared" si="12"/>
        <v>100</v>
      </c>
      <c r="T38" s="776" t="s">
        <v>17</v>
      </c>
      <c r="U38" s="777">
        <f t="shared" si="13"/>
        <v>100</v>
      </c>
      <c r="V38" s="776" t="s">
        <v>17</v>
      </c>
      <c r="W38" s="777">
        <f t="shared" si="14"/>
        <v>100</v>
      </c>
      <c r="X38" s="778"/>
      <c r="Y38" s="3256"/>
      <c r="Z38" s="779">
        <f t="shared" si="15"/>
        <v>111</v>
      </c>
      <c r="AA38" s="1806">
        <f t="shared" si="3"/>
        <v>1</v>
      </c>
      <c r="AB38" s="1806">
        <f t="shared" si="4"/>
        <v>1</v>
      </c>
      <c r="AC38" s="1806">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56"/>
      <c r="Q39" s="1805">
        <f t="shared" si="11"/>
        <v>111</v>
      </c>
      <c r="R39" s="773" t="s">
        <v>17</v>
      </c>
      <c r="S39" s="774">
        <f t="shared" si="12"/>
        <v>100</v>
      </c>
      <c r="T39" s="773" t="s">
        <v>17</v>
      </c>
      <c r="U39" s="774">
        <f t="shared" si="13"/>
        <v>100</v>
      </c>
      <c r="V39" s="773" t="s">
        <v>17</v>
      </c>
      <c r="W39" s="774">
        <f t="shared" si="14"/>
        <v>100</v>
      </c>
      <c r="X39" s="1808"/>
      <c r="Y39" s="3256"/>
      <c r="Z39" s="1809">
        <f t="shared" si="15"/>
        <v>111</v>
      </c>
      <c r="AA39" s="1806">
        <f t="shared" si="3"/>
        <v>1</v>
      </c>
      <c r="AB39" s="1806">
        <f t="shared" si="4"/>
        <v>1</v>
      </c>
      <c r="AC39" s="1806">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01"/>
      <c r="Q40" s="1805">
        <f t="shared" si="11"/>
        <v>111</v>
      </c>
      <c r="R40" s="773" t="s">
        <v>17</v>
      </c>
      <c r="S40" s="774">
        <f t="shared" si="12"/>
        <v>100</v>
      </c>
      <c r="T40" s="773" t="s">
        <v>17</v>
      </c>
      <c r="U40" s="774">
        <f t="shared" si="13"/>
        <v>100</v>
      </c>
      <c r="V40" s="773" t="s">
        <v>17</v>
      </c>
      <c r="W40" s="774">
        <f t="shared" si="14"/>
        <v>100</v>
      </c>
      <c r="X40" s="1808"/>
      <c r="Y40" s="3301"/>
      <c r="Z40" s="1809">
        <f t="shared" si="15"/>
        <v>111</v>
      </c>
      <c r="AA40" s="1806">
        <f t="shared" si="3"/>
        <v>1</v>
      </c>
      <c r="AB40" s="1806">
        <f t="shared" si="4"/>
        <v>1</v>
      </c>
      <c r="AC40" s="1806">
        <f t="shared" si="5"/>
        <v>1</v>
      </c>
    </row>
    <row r="41" spans="1:29" ht="15">
      <c r="A41" s="478" t="s">
        <v>2557</v>
      </c>
      <c r="B41" s="479"/>
      <c r="C41" s="1403" t="s">
        <v>1</v>
      </c>
      <c r="D41" s="1404"/>
      <c r="E41" s="1405"/>
      <c r="F41" s="1406"/>
      <c r="G41" s="1407"/>
      <c r="H41" s="1408"/>
      <c r="I41" s="1405"/>
      <c r="J41" s="1408"/>
      <c r="K41" s="782"/>
      <c r="L41" s="1141"/>
      <c r="M41" s="1142"/>
      <c r="N41" s="1129"/>
      <c r="O41" s="1142"/>
      <c r="P41" s="3238" t="str">
        <f>A41</f>
        <v>成交单价（元/平方米）</v>
      </c>
      <c r="Q41" s="3238"/>
      <c r="R41" s="3297">
        <f>E41</f>
        <v>0</v>
      </c>
      <c r="S41" s="3297"/>
      <c r="T41" s="3297">
        <f>G41</f>
        <v>0</v>
      </c>
      <c r="U41" s="3297"/>
      <c r="V41" s="3297">
        <f>I41</f>
        <v>0</v>
      </c>
      <c r="W41" s="3297"/>
      <c r="X41" s="758"/>
      <c r="Y41" s="780"/>
      <c r="Z41" s="758"/>
      <c r="AA41" s="758"/>
      <c r="AB41" s="758"/>
      <c r="AC41" s="758"/>
    </row>
    <row r="42" spans="1:29" ht="15.75" thickBot="1">
      <c r="A42" s="485" t="s">
        <v>2649</v>
      </c>
      <c r="B42" s="486"/>
      <c r="C42" s="1409" t="e">
        <f>R43</f>
        <v>#DIV/0!</v>
      </c>
      <c r="D42" s="1410"/>
      <c r="E42" s="1411" t="e">
        <f>R42</f>
        <v>#DIV/0!</v>
      </c>
      <c r="F42" s="1411"/>
      <c r="G42" s="1409" t="e">
        <f>T42</f>
        <v>#DIV/0!</v>
      </c>
      <c r="H42" s="1410"/>
      <c r="I42" s="1411" t="e">
        <f>V42</f>
        <v>#DIV/0!</v>
      </c>
      <c r="J42" s="1410"/>
      <c r="K42" s="783"/>
      <c r="L42" s="1141"/>
      <c r="M42" s="1142"/>
      <c r="N42" s="1129"/>
      <c r="O42" s="1142"/>
      <c r="P42" s="3238" t="str">
        <f>A42</f>
        <v>比较价值（元/平方米）</v>
      </c>
      <c r="Q42" s="3238"/>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8"/>
      <c r="Y42" s="758"/>
      <c r="Z42" s="758"/>
      <c r="AA42" s="758"/>
      <c r="AB42" s="758"/>
      <c r="AC42" s="758"/>
    </row>
    <row r="43" spans="1:29" ht="15.75" thickBot="1">
      <c r="A43" s="491" t="s">
        <v>2650</v>
      </c>
      <c r="B43" s="492"/>
      <c r="C43" s="1413" t="e">
        <f>R43</f>
        <v>#DIV/0!</v>
      </c>
      <c r="D43" s="1413"/>
      <c r="E43" s="1413"/>
      <c r="F43" s="1413"/>
      <c r="G43" s="1413"/>
      <c r="H43" s="1413"/>
      <c r="I43" s="1413"/>
      <c r="J43" s="1413"/>
      <c r="K43" s="784"/>
      <c r="L43" s="1141"/>
      <c r="M43" s="1142"/>
      <c r="N43" s="1142"/>
      <c r="O43" s="1142"/>
      <c r="P43" s="3258" t="str">
        <f>A43</f>
        <v>估价对象XX用房的比较价值（楼面单价，元/平方米）</v>
      </c>
      <c r="Q43" s="3259"/>
      <c r="R43" s="3296" t="e">
        <f>IF(F1="售价",ROUND(AVERAGE(R42:V42),0),ROUND(AVERAGE(R42:V42),1))</f>
        <v>#DIV/0!</v>
      </c>
      <c r="S43" s="3296"/>
      <c r="T43" s="3296"/>
      <c r="U43" s="3296"/>
      <c r="V43" s="3296"/>
      <c r="W43" s="329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2654</v>
      </c>
      <c r="B51" s="758"/>
      <c r="C51" s="763"/>
      <c r="D51" s="763"/>
      <c r="E51" s="763"/>
      <c r="F51" s="764"/>
      <c r="G51" s="764"/>
      <c r="H51" s="763"/>
      <c r="I51" s="763"/>
      <c r="J51" s="763"/>
      <c r="K51" s="1158"/>
      <c r="L51" s="1159"/>
      <c r="M51" s="1157"/>
      <c r="N51" s="1157"/>
      <c r="O51" s="1157"/>
      <c r="P51" s="502"/>
      <c r="Q51" s="503"/>
    </row>
    <row r="52" spans="1:17" s="507" customFormat="1" ht="15">
      <c r="A52" s="504" t="s">
        <v>2528</v>
      </c>
      <c r="B52" s="505"/>
      <c r="C52" s="1569" t="str">
        <f>YEAR(C7)&amp;"-"&amp;MONTH(C7)</f>
        <v>2021-4</v>
      </c>
      <c r="D52" s="1570">
        <f>EDATE(C52,-1)</f>
        <v>44256</v>
      </c>
      <c r="E52" s="1570">
        <f t="shared" ref="E52:O52" si="16">EDATE(D52,-1)</f>
        <v>44228</v>
      </c>
      <c r="F52" s="1570">
        <f t="shared" si="16"/>
        <v>44197</v>
      </c>
      <c r="G52" s="1570">
        <f t="shared" si="16"/>
        <v>44166</v>
      </c>
      <c r="H52" s="1570">
        <f t="shared" si="16"/>
        <v>44136</v>
      </c>
      <c r="I52" s="1570">
        <f t="shared" si="16"/>
        <v>44105</v>
      </c>
      <c r="J52" s="1570">
        <f t="shared" si="16"/>
        <v>44075</v>
      </c>
      <c r="K52" s="1570">
        <f t="shared" si="16"/>
        <v>44044</v>
      </c>
      <c r="L52" s="1570">
        <f t="shared" si="16"/>
        <v>44013</v>
      </c>
      <c r="M52" s="1570">
        <f t="shared" si="16"/>
        <v>43983</v>
      </c>
      <c r="N52" s="1570">
        <f t="shared" si="16"/>
        <v>43952</v>
      </c>
      <c r="O52" s="1570">
        <f t="shared" si="16"/>
        <v>43922</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2565</v>
      </c>
      <c r="B54" s="515"/>
      <c r="C54" s="516"/>
      <c r="D54" s="517"/>
      <c r="E54" s="517"/>
      <c r="F54" s="517"/>
      <c r="G54" s="517"/>
      <c r="H54" s="517"/>
      <c r="I54" s="517"/>
      <c r="J54" s="517"/>
      <c r="K54" s="517"/>
      <c r="L54" s="517"/>
      <c r="M54" s="518"/>
      <c r="N54" s="517"/>
      <c r="O54" s="519"/>
      <c r="P54" s="503"/>
      <c r="Q54" s="503"/>
    </row>
    <row r="55" spans="1:17" s="116" customFormat="1" ht="15">
      <c r="A55" s="520" t="s">
        <v>2530</v>
      </c>
      <c r="B55" s="509"/>
      <c r="C55" s="521" t="s">
        <v>2632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2669</v>
      </c>
      <c r="C76" s="659" t="s">
        <v>2655</v>
      </c>
      <c r="D76" s="659" t="s">
        <v>2656</v>
      </c>
      <c r="E76" s="659" t="s">
        <v>2657</v>
      </c>
      <c r="F76" s="659" t="s">
        <v>2658</v>
      </c>
      <c r="G76" s="659" t="s">
        <v>2659</v>
      </c>
      <c r="H76" s="538"/>
      <c r="I76" s="538"/>
      <c r="J76" s="538"/>
      <c r="K76" s="538"/>
      <c r="L76" s="538"/>
      <c r="M76" s="1379"/>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7"/>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2594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2596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2598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2600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7"/>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17"/>
      <c r="F1" s="2575"/>
      <c r="G1" s="1618" t="s">
        <v>2623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2307</v>
      </c>
      <c r="B2" s="1414" t="e">
        <f ca="1">IF(C2="——",IF(B37="元/平方米",ROUND(C39*D3/10000,0),ROUND(F3*C39/10000,0)),IF(B37="元/平方米",ROUND(C39*D3/10000,0),ROUND(F3*C39/10000,0))-D2)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1415"/>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5"/>
      <c r="Q3" s="767"/>
      <c r="R3" s="767"/>
      <c r="S3" s="767"/>
      <c r="T3" s="767"/>
      <c r="U3" s="767"/>
      <c r="V3" s="767"/>
      <c r="W3" s="767"/>
      <c r="X3" s="767"/>
      <c r="Y3" s="767"/>
      <c r="Z3" s="767"/>
      <c r="AA3" s="767"/>
      <c r="AB3" s="785"/>
      <c r="AC3" s="781"/>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22" t="s">
        <v>2628</v>
      </c>
      <c r="AC4" s="3221" t="s">
        <v>2629</v>
      </c>
    </row>
    <row r="5" spans="1:29" ht="15">
      <c r="A5" s="403"/>
      <c r="B5" s="404"/>
      <c r="C5" s="3232" t="s">
        <v>2522</v>
      </c>
      <c r="D5" s="3233"/>
      <c r="E5" s="3230" t="s">
        <v>2523</v>
      </c>
      <c r="F5" s="3231"/>
      <c r="G5" s="3232" t="s">
        <v>2524</v>
      </c>
      <c r="H5" s="3233"/>
      <c r="I5" s="3232" t="s">
        <v>2525</v>
      </c>
      <c r="J5" s="3233"/>
      <c r="K5" s="609"/>
      <c r="L5" s="1128"/>
      <c r="M5" s="1129"/>
      <c r="N5" s="1129"/>
      <c r="O5" s="1129"/>
      <c r="P5" s="3245"/>
      <c r="Q5" s="3246"/>
      <c r="R5" s="3228"/>
      <c r="S5" s="3229"/>
      <c r="T5" s="3228"/>
      <c r="U5" s="3229"/>
      <c r="V5" s="3251"/>
      <c r="W5" s="3251"/>
      <c r="X5" s="1808"/>
      <c r="Y5" s="3228"/>
      <c r="Z5" s="3229"/>
      <c r="AA5" s="3222"/>
      <c r="AB5" s="3222"/>
      <c r="AC5" s="3222"/>
    </row>
    <row r="6" spans="1:29" ht="15.75" thickBot="1">
      <c r="A6" s="405"/>
      <c r="B6" s="406"/>
      <c r="C6" s="3234" t="s">
        <v>2526</v>
      </c>
      <c r="D6" s="3235"/>
      <c r="E6" s="3236" t="s">
        <v>2526</v>
      </c>
      <c r="F6" s="3237"/>
      <c r="G6" s="3234" t="s">
        <v>2526</v>
      </c>
      <c r="H6" s="3235"/>
      <c r="I6" s="3234" t="s">
        <v>2526</v>
      </c>
      <c r="J6" s="3235"/>
      <c r="K6" s="609" t="s">
        <v>2527</v>
      </c>
      <c r="L6" s="1128"/>
      <c r="M6" s="1129"/>
      <c r="N6" s="1129"/>
      <c r="O6" s="1129"/>
      <c r="P6" s="3247"/>
      <c r="Q6" s="3248"/>
      <c r="R6" s="3228"/>
      <c r="S6" s="3229"/>
      <c r="T6" s="3249"/>
      <c r="U6" s="3250"/>
      <c r="V6" s="3251"/>
      <c r="W6" s="3251"/>
      <c r="X6" s="1808"/>
      <c r="Y6" s="3249"/>
      <c r="Z6" s="3250"/>
      <c r="AA6" s="3223"/>
      <c r="AB6" s="3223"/>
      <c r="AC6" s="3223"/>
    </row>
    <row r="7" spans="1:29" s="116" customFormat="1" ht="15.75" thickBot="1">
      <c r="A7" s="407" t="s">
        <v>2528</v>
      </c>
      <c r="B7" s="408"/>
      <c r="C7" s="409">
        <f>'数据-取费表'!B2</f>
        <v>44312</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4" t="s">
        <v>2529</v>
      </c>
      <c r="Q7" s="3252"/>
      <c r="R7" s="769" t="s">
        <v>17</v>
      </c>
      <c r="S7" s="770">
        <f t="shared" ref="S7:S14" si="0">F7</f>
        <v>0</v>
      </c>
      <c r="T7" s="769" t="s">
        <v>17</v>
      </c>
      <c r="U7" s="770">
        <f t="shared" ref="U7:U14" si="1">H7</f>
        <v>0</v>
      </c>
      <c r="V7" s="769" t="s">
        <v>17</v>
      </c>
      <c r="W7" s="770">
        <f t="shared" ref="W7:W14" si="2">J7</f>
        <v>0</v>
      </c>
      <c r="X7" s="771"/>
      <c r="Y7" s="3224" t="s">
        <v>2529</v>
      </c>
      <c r="Z7" s="3225"/>
      <c r="AA7" s="772" t="e">
        <f>D7/F7</f>
        <v>#DIV/0!</v>
      </c>
      <c r="AB7" s="772" t="e">
        <f>D7/H7</f>
        <v>#DIV/0!</v>
      </c>
      <c r="AC7" s="772" t="e">
        <f>D7/J7</f>
        <v>#DIV/0!</v>
      </c>
    </row>
    <row r="8" spans="1:29" s="116" customFormat="1" ht="15.7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4" t="s">
        <v>2532</v>
      </c>
      <c r="Q8" s="3225"/>
      <c r="R8" s="769" t="s">
        <v>17</v>
      </c>
      <c r="S8" s="770">
        <f t="shared" si="0"/>
        <v>0</v>
      </c>
      <c r="T8" s="769" t="s">
        <v>17</v>
      </c>
      <c r="U8" s="770">
        <f t="shared" si="1"/>
        <v>0</v>
      </c>
      <c r="V8" s="769" t="s">
        <v>17</v>
      </c>
      <c r="W8" s="770">
        <f t="shared" si="2"/>
        <v>0</v>
      </c>
      <c r="X8" s="771"/>
      <c r="Y8" s="3224" t="s">
        <v>2532</v>
      </c>
      <c r="Z8" s="3225"/>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38" t="s">
        <v>2535</v>
      </c>
      <c r="Q9" s="1790" t="str">
        <f t="shared" ref="Q9:Q14" si="6">B9</f>
        <v>用途</v>
      </c>
      <c r="R9" s="769" t="s">
        <v>17</v>
      </c>
      <c r="S9" s="770">
        <f t="shared" si="0"/>
        <v>100</v>
      </c>
      <c r="T9" s="769" t="s">
        <v>17</v>
      </c>
      <c r="U9" s="770">
        <f t="shared" si="1"/>
        <v>100</v>
      </c>
      <c r="V9" s="769" t="s">
        <v>17</v>
      </c>
      <c r="W9" s="770">
        <f t="shared" si="2"/>
        <v>100</v>
      </c>
      <c r="X9" s="771"/>
      <c r="Y9" s="3081" t="s">
        <v>2536</v>
      </c>
      <c r="Z9" s="55" t="str">
        <f t="shared" ref="Z9:Z14" si="7">Q9</f>
        <v>用途</v>
      </c>
      <c r="AA9" s="772">
        <f t="shared" si="3"/>
        <v>1</v>
      </c>
      <c r="AB9" s="772">
        <f t="shared" si="4"/>
        <v>1</v>
      </c>
      <c r="AC9" s="772">
        <f t="shared" si="5"/>
        <v>1</v>
      </c>
    </row>
    <row r="10" spans="1:29" s="426" customFormat="1" ht="27">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38"/>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8"/>
      <c r="Q11" s="1790">
        <f t="shared" si="6"/>
        <v>111</v>
      </c>
      <c r="R11" s="769" t="s">
        <v>17</v>
      </c>
      <c r="S11" s="770">
        <f t="shared" si="0"/>
        <v>100</v>
      </c>
      <c r="T11" s="769" t="s">
        <v>17</v>
      </c>
      <c r="U11" s="770">
        <f t="shared" si="1"/>
        <v>100</v>
      </c>
      <c r="V11" s="769" t="s">
        <v>17</v>
      </c>
      <c r="W11" s="770">
        <f t="shared" si="2"/>
        <v>100</v>
      </c>
      <c r="X11" s="771"/>
      <c r="Y11" s="308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8"/>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8"/>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
      <c r="A14" s="400" t="s">
        <v>2539</v>
      </c>
      <c r="B14" s="628" t="s">
        <v>2689</v>
      </c>
      <c r="C14" s="2684"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3" t="s">
        <v>2540</v>
      </c>
      <c r="Q14" s="1805" t="str">
        <f t="shared" si="6"/>
        <v>交通便捷度</v>
      </c>
      <c r="R14" s="773" t="s">
        <v>17</v>
      </c>
      <c r="S14" s="774">
        <f t="shared" si="0"/>
        <v>100</v>
      </c>
      <c r="T14" s="773" t="s">
        <v>17</v>
      </c>
      <c r="U14" s="774">
        <f t="shared" si="1"/>
        <v>100</v>
      </c>
      <c r="V14" s="773" t="s">
        <v>17</v>
      </c>
      <c r="W14" s="774">
        <f t="shared" si="2"/>
        <v>100</v>
      </c>
      <c r="X14" s="1808"/>
      <c r="Y14" s="3253" t="s">
        <v>2540</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8"/>
      <c r="M15" s="1129"/>
      <c r="N15" s="1129"/>
      <c r="O15" s="1129"/>
      <c r="P15" s="3254"/>
      <c r="Q15" s="1805"/>
      <c r="R15" s="773"/>
      <c r="S15" s="774"/>
      <c r="T15" s="773"/>
      <c r="U15" s="774"/>
      <c r="V15" s="773"/>
      <c r="W15" s="774"/>
      <c r="X15" s="1808"/>
      <c r="Y15" s="3254"/>
      <c r="Z15" s="1809"/>
      <c r="AA15" s="1806">
        <v>1</v>
      </c>
      <c r="AB15" s="1806">
        <v>1</v>
      </c>
      <c r="AC15" s="1806">
        <v>1</v>
      </c>
    </row>
    <row r="16" spans="1:29" ht="15">
      <c r="A16" s="403"/>
      <c r="B16" s="630" t="s">
        <v>2668</v>
      </c>
      <c r="C16" s="2598"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4"/>
      <c r="Q16" s="1805" t="str">
        <f>B16</f>
        <v>公共配套设施</v>
      </c>
      <c r="R16" s="773" t="s">
        <v>17</v>
      </c>
      <c r="S16" s="774">
        <f>F16</f>
        <v>100</v>
      </c>
      <c r="T16" s="773" t="s">
        <v>17</v>
      </c>
      <c r="U16" s="774">
        <f>H16</f>
        <v>100</v>
      </c>
      <c r="V16" s="773" t="s">
        <v>17</v>
      </c>
      <c r="W16" s="774">
        <f>J16</f>
        <v>100</v>
      </c>
      <c r="X16" s="1808"/>
      <c r="Y16" s="3254"/>
      <c r="Z16" s="1809" t="str">
        <f>Q16</f>
        <v>公共配套设施</v>
      </c>
      <c r="AA16" s="1806">
        <f t="shared" si="3"/>
        <v>1</v>
      </c>
      <c r="AB16" s="1806">
        <f t="shared" si="4"/>
        <v>1</v>
      </c>
      <c r="AC16" s="1806">
        <f t="shared" si="5"/>
        <v>1</v>
      </c>
    </row>
    <row r="17" spans="1:29" ht="15">
      <c r="A17" s="403"/>
      <c r="B17" s="631"/>
      <c r="C17" s="2599"/>
      <c r="D17" s="447"/>
      <c r="E17" s="446"/>
      <c r="F17" s="448"/>
      <c r="G17" s="446"/>
      <c r="H17" s="447"/>
      <c r="I17" s="446"/>
      <c r="J17" s="447"/>
      <c r="K17" s="614"/>
      <c r="L17" s="1138"/>
      <c r="M17" s="1129"/>
      <c r="N17" s="1129"/>
      <c r="O17" s="1129"/>
      <c r="P17" s="3254"/>
      <c r="Q17" s="1805"/>
      <c r="R17" s="773"/>
      <c r="S17" s="774"/>
      <c r="T17" s="773"/>
      <c r="U17" s="774"/>
      <c r="V17" s="773"/>
      <c r="W17" s="774"/>
      <c r="X17" s="1808"/>
      <c r="Y17" s="3254"/>
      <c r="Z17" s="1809"/>
      <c r="AA17" s="1806">
        <v>1</v>
      </c>
      <c r="AB17" s="1806">
        <v>1</v>
      </c>
      <c r="AC17" s="1806">
        <v>1</v>
      </c>
    </row>
    <row r="18" spans="1:29" ht="15">
      <c r="A18" s="403"/>
      <c r="B18" s="632" t="s">
        <v>2669</v>
      </c>
      <c r="C18" s="2598"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4"/>
      <c r="Q18" s="1805" t="str">
        <f>B18</f>
        <v>基础设施水平</v>
      </c>
      <c r="R18" s="773" t="s">
        <v>17</v>
      </c>
      <c r="S18" s="774">
        <f>F18</f>
        <v>100</v>
      </c>
      <c r="T18" s="773" t="s">
        <v>17</v>
      </c>
      <c r="U18" s="774">
        <f>H18</f>
        <v>100</v>
      </c>
      <c r="V18" s="773" t="s">
        <v>17</v>
      </c>
      <c r="W18" s="774">
        <f>J18</f>
        <v>100</v>
      </c>
      <c r="X18" s="1808"/>
      <c r="Y18" s="3254"/>
      <c r="Z18" s="1809" t="str">
        <f>Q18</f>
        <v>基础设施水平</v>
      </c>
      <c r="AA18" s="1806">
        <f t="shared" ref="AA18" si="8">D18/F18</f>
        <v>1</v>
      </c>
      <c r="AB18" s="1806">
        <f t="shared" ref="AB18" si="9">D18/H18</f>
        <v>1</v>
      </c>
      <c r="AC18" s="1806">
        <f t="shared" ref="AC18" si="10">D18/J18</f>
        <v>1</v>
      </c>
    </row>
    <row r="19" spans="1:29" ht="15">
      <c r="A19" s="403"/>
      <c r="B19" s="632"/>
      <c r="C19" s="2599"/>
      <c r="D19" s="449"/>
      <c r="E19" s="2599"/>
      <c r="F19" s="452"/>
      <c r="G19" s="2599"/>
      <c r="H19" s="447"/>
      <c r="I19" s="446"/>
      <c r="J19" s="447"/>
      <c r="K19" s="1380"/>
      <c r="L19" s="1138"/>
      <c r="M19" s="1129"/>
      <c r="N19" s="1129"/>
      <c r="O19" s="1129"/>
      <c r="P19" s="3254"/>
      <c r="Q19" s="1805"/>
      <c r="R19" s="773"/>
      <c r="S19" s="774"/>
      <c r="T19" s="773"/>
      <c r="U19" s="774"/>
      <c r="V19" s="773"/>
      <c r="W19" s="774"/>
      <c r="X19" s="1808"/>
      <c r="Y19" s="3254"/>
      <c r="Z19" s="1809"/>
      <c r="AA19" s="1806">
        <v>1</v>
      </c>
      <c r="AB19" s="1806">
        <v>1</v>
      </c>
      <c r="AC19" s="1806">
        <v>1</v>
      </c>
    </row>
    <row r="20" spans="1:29" ht="15">
      <c r="A20" s="403"/>
      <c r="B20" s="630" t="s">
        <v>2690</v>
      </c>
      <c r="C20" s="2598"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4"/>
      <c r="Q20" s="1805" t="str">
        <f>B20</f>
        <v>自然及人文环境</v>
      </c>
      <c r="R20" s="773" t="s">
        <v>17</v>
      </c>
      <c r="S20" s="774">
        <f>F20</f>
        <v>100</v>
      </c>
      <c r="T20" s="773" t="s">
        <v>17</v>
      </c>
      <c r="U20" s="774">
        <f>H20</f>
        <v>100</v>
      </c>
      <c r="V20" s="773" t="s">
        <v>17</v>
      </c>
      <c r="W20" s="774">
        <f>J20</f>
        <v>100</v>
      </c>
      <c r="X20" s="1808"/>
      <c r="Y20" s="3254"/>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8"/>
      <c r="M21" s="1129"/>
      <c r="N21" s="1129"/>
      <c r="O21" s="1129"/>
      <c r="P21" s="3254"/>
      <c r="Q21" s="1805"/>
      <c r="R21" s="773"/>
      <c r="S21" s="774"/>
      <c r="T21" s="773"/>
      <c r="U21" s="774"/>
      <c r="V21" s="773"/>
      <c r="W21" s="774"/>
      <c r="X21" s="1808"/>
      <c r="Y21" s="3254"/>
      <c r="Z21" s="1809"/>
      <c r="AA21" s="1806">
        <v>1</v>
      </c>
      <c r="AB21" s="1806">
        <v>1</v>
      </c>
      <c r="AC21" s="1806">
        <v>1</v>
      </c>
    </row>
    <row r="22" spans="1:29" ht="1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4"/>
      <c r="Q22" s="1805" t="str">
        <f>B22</f>
        <v>楼层</v>
      </c>
      <c r="R22" s="773" t="s">
        <v>17</v>
      </c>
      <c r="S22" s="774">
        <f>F22</f>
        <v>100</v>
      </c>
      <c r="T22" s="773" t="s">
        <v>17</v>
      </c>
      <c r="U22" s="774">
        <f>H22</f>
        <v>100</v>
      </c>
      <c r="V22" s="773" t="s">
        <v>17</v>
      </c>
      <c r="W22" s="774">
        <f>J22</f>
        <v>100</v>
      </c>
      <c r="X22" s="1808"/>
      <c r="Y22" s="3254"/>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4"/>
      <c r="Q23" s="1805">
        <f>B23</f>
        <v>111</v>
      </c>
      <c r="R23" s="773" t="s">
        <v>17</v>
      </c>
      <c r="S23" s="774">
        <f>F23</f>
        <v>100</v>
      </c>
      <c r="T23" s="773" t="s">
        <v>17</v>
      </c>
      <c r="U23" s="774">
        <f>H23</f>
        <v>100</v>
      </c>
      <c r="V23" s="773" t="s">
        <v>17</v>
      </c>
      <c r="W23" s="774">
        <f>J23</f>
        <v>100</v>
      </c>
      <c r="X23" s="1808"/>
      <c r="Y23" s="3254"/>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4"/>
      <c r="Q24" s="1805">
        <f t="shared" ref="Q24:Q36" si="11">B24</f>
        <v>111</v>
      </c>
      <c r="R24" s="773" t="s">
        <v>17</v>
      </c>
      <c r="S24" s="774">
        <f>F24</f>
        <v>100</v>
      </c>
      <c r="T24" s="773" t="s">
        <v>17</v>
      </c>
      <c r="U24" s="774">
        <f>H24</f>
        <v>100</v>
      </c>
      <c r="V24" s="773" t="s">
        <v>17</v>
      </c>
      <c r="W24" s="774">
        <f>J24</f>
        <v>100</v>
      </c>
      <c r="X24" s="1808"/>
      <c r="Y24" s="3254"/>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4"/>
      <c r="Q25" s="1790">
        <f t="shared" si="11"/>
        <v>111</v>
      </c>
      <c r="R25" s="769" t="s">
        <v>17</v>
      </c>
      <c r="S25" s="770">
        <f>F25</f>
        <v>100</v>
      </c>
      <c r="T25" s="769" t="s">
        <v>17</v>
      </c>
      <c r="U25" s="770">
        <f>H25</f>
        <v>100</v>
      </c>
      <c r="V25" s="769" t="s">
        <v>17</v>
      </c>
      <c r="W25" s="770">
        <f>J25</f>
        <v>100</v>
      </c>
      <c r="X25" s="771"/>
      <c r="Y25" s="3254"/>
      <c r="Z25" s="55">
        <f>Q25</f>
        <v>111</v>
      </c>
      <c r="AA25" s="1806">
        <f>D25/F25</f>
        <v>1</v>
      </c>
      <c r="AB25" s="1806">
        <f>D25/H25</f>
        <v>1</v>
      </c>
      <c r="AC25" s="1806">
        <f>D25/J25</f>
        <v>1</v>
      </c>
    </row>
    <row r="26" spans="1:29" ht="28.5">
      <c r="A26" s="651" t="s">
        <v>2543</v>
      </c>
      <c r="B26" s="70" t="s">
        <v>2692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5" t="s">
        <v>2545</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56" t="s">
        <v>2545</v>
      </c>
      <c r="Z26" s="1809" t="str">
        <f t="shared" ref="Z26:Z36" si="15">Q26</f>
        <v>配套类型</v>
      </c>
      <c r="AA26" s="1806">
        <f t="shared" si="3"/>
        <v>1</v>
      </c>
      <c r="AB26" s="1806">
        <f t="shared" si="4"/>
        <v>1</v>
      </c>
      <c r="AC26" s="1806">
        <f t="shared" si="5"/>
        <v>1</v>
      </c>
    </row>
    <row r="27" spans="1:29" s="470" customFormat="1" ht="1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56"/>
      <c r="Q27" s="775" t="str">
        <f t="shared" si="11"/>
        <v>项目停车位配比</v>
      </c>
      <c r="R27" s="776" t="s">
        <v>17</v>
      </c>
      <c r="S27" s="777">
        <f t="shared" si="12"/>
        <v>100</v>
      </c>
      <c r="T27" s="776" t="s">
        <v>17</v>
      </c>
      <c r="U27" s="777">
        <f t="shared" si="13"/>
        <v>100</v>
      </c>
      <c r="V27" s="776" t="s">
        <v>17</v>
      </c>
      <c r="W27" s="777">
        <f t="shared" si="14"/>
        <v>100</v>
      </c>
      <c r="X27" s="778"/>
      <c r="Y27" s="3256"/>
      <c r="Z27" s="779" t="str">
        <f t="shared" si="15"/>
        <v>项目停车位配比</v>
      </c>
      <c r="AA27" s="1806">
        <f t="shared" si="3"/>
        <v>1</v>
      </c>
      <c r="AB27" s="1806">
        <f t="shared" si="4"/>
        <v>1</v>
      </c>
      <c r="AC27" s="1806">
        <f t="shared" si="5"/>
        <v>1</v>
      </c>
    </row>
    <row r="28" spans="1:29" ht="1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56"/>
      <c r="Q28" s="1805" t="str">
        <f t="shared" si="11"/>
        <v>公共部分装修</v>
      </c>
      <c r="R28" s="773" t="s">
        <v>17</v>
      </c>
      <c r="S28" s="774">
        <f t="shared" si="12"/>
        <v>100</v>
      </c>
      <c r="T28" s="773" t="s">
        <v>17</v>
      </c>
      <c r="U28" s="774">
        <f t="shared" si="13"/>
        <v>100</v>
      </c>
      <c r="V28" s="773" t="s">
        <v>17</v>
      </c>
      <c r="W28" s="774">
        <f t="shared" si="14"/>
        <v>100</v>
      </c>
      <c r="X28" s="1808"/>
      <c r="Y28" s="3256"/>
      <c r="Z28" s="1809" t="str">
        <f t="shared" si="15"/>
        <v>公共部分装修</v>
      </c>
      <c r="AA28" s="1806">
        <f t="shared" si="3"/>
        <v>1</v>
      </c>
      <c r="AB28" s="1806">
        <f t="shared" si="4"/>
        <v>1</v>
      </c>
      <c r="AC28" s="1806">
        <f t="shared" si="5"/>
        <v>1</v>
      </c>
    </row>
    <row r="29" spans="1:29" ht="1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56"/>
      <c r="Q29" s="1805" t="str">
        <f t="shared" si="11"/>
        <v>成新率</v>
      </c>
      <c r="R29" s="773" t="s">
        <v>17</v>
      </c>
      <c r="S29" s="774" t="e">
        <f t="shared" si="12"/>
        <v>#N/A</v>
      </c>
      <c r="T29" s="773" t="s">
        <v>17</v>
      </c>
      <c r="U29" s="774" t="e">
        <f t="shared" si="13"/>
        <v>#N/A</v>
      </c>
      <c r="V29" s="773" t="s">
        <v>17</v>
      </c>
      <c r="W29" s="774" t="e">
        <f t="shared" si="14"/>
        <v>#N/A</v>
      </c>
      <c r="X29" s="1808"/>
      <c r="Y29" s="3256"/>
      <c r="Z29" s="1809" t="str">
        <f t="shared" si="15"/>
        <v>成新率</v>
      </c>
      <c r="AA29" s="1806" t="e">
        <f t="shared" si="3"/>
        <v>#N/A</v>
      </c>
      <c r="AB29" s="1806" t="e">
        <f t="shared" si="4"/>
        <v>#N/A</v>
      </c>
      <c r="AC29" s="1806" t="e">
        <f t="shared" si="5"/>
        <v>#N/A</v>
      </c>
    </row>
    <row r="30" spans="1:29" ht="1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56"/>
      <c r="Q30" s="1805" t="str">
        <f t="shared" si="11"/>
        <v>物业等级</v>
      </c>
      <c r="R30" s="773" t="s">
        <v>17</v>
      </c>
      <c r="S30" s="774">
        <f t="shared" si="12"/>
        <v>100</v>
      </c>
      <c r="T30" s="773" t="s">
        <v>17</v>
      </c>
      <c r="U30" s="774">
        <f t="shared" si="13"/>
        <v>100</v>
      </c>
      <c r="V30" s="773" t="s">
        <v>17</v>
      </c>
      <c r="W30" s="774">
        <f t="shared" si="14"/>
        <v>100</v>
      </c>
      <c r="X30" s="1808"/>
      <c r="Y30" s="3256"/>
      <c r="Z30" s="1809" t="str">
        <f t="shared" si="15"/>
        <v>物业等级</v>
      </c>
      <c r="AA30" s="1806">
        <f t="shared" si="3"/>
        <v>1</v>
      </c>
      <c r="AB30" s="1806">
        <f t="shared" si="4"/>
        <v>1</v>
      </c>
      <c r="AC30" s="1806">
        <f t="shared" si="5"/>
        <v>1</v>
      </c>
    </row>
    <row r="31" spans="1:29" s="116" customFormat="1" ht="1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56"/>
      <c r="Q31" s="1790" t="str">
        <f t="shared" si="11"/>
        <v>停车位面积</v>
      </c>
      <c r="R31" s="769" t="s">
        <v>17</v>
      </c>
      <c r="S31" s="770" t="e">
        <f t="shared" si="12"/>
        <v>#N/A</v>
      </c>
      <c r="T31" s="769" t="s">
        <v>17</v>
      </c>
      <c r="U31" s="770" t="e">
        <f t="shared" si="13"/>
        <v>#N/A</v>
      </c>
      <c r="V31" s="769" t="s">
        <v>17</v>
      </c>
      <c r="W31" s="770" t="e">
        <f t="shared" si="14"/>
        <v>#N/A</v>
      </c>
      <c r="X31" s="771"/>
      <c r="Y31" s="3256"/>
      <c r="Z31" s="55" t="str">
        <f t="shared" si="15"/>
        <v>停车位面积</v>
      </c>
      <c r="AA31" s="772" t="e">
        <f t="shared" si="3"/>
        <v>#N/A</v>
      </c>
      <c r="AB31" s="772" t="e">
        <f t="shared" si="4"/>
        <v>#N/A</v>
      </c>
      <c r="AC31" s="772" t="e">
        <f t="shared" si="5"/>
        <v>#N/A</v>
      </c>
    </row>
    <row r="32" spans="1:29" ht="1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56" t="s">
        <v>2545</v>
      </c>
      <c r="Q32" s="1805" t="str">
        <f t="shared" si="11"/>
        <v>车位类型</v>
      </c>
      <c r="R32" s="773" t="s">
        <v>17</v>
      </c>
      <c r="S32" s="774">
        <f t="shared" si="12"/>
        <v>100</v>
      </c>
      <c r="T32" s="773" t="s">
        <v>17</v>
      </c>
      <c r="U32" s="774">
        <f t="shared" si="13"/>
        <v>100</v>
      </c>
      <c r="V32" s="773" t="s">
        <v>17</v>
      </c>
      <c r="W32" s="774">
        <f t="shared" si="14"/>
        <v>100</v>
      </c>
      <c r="X32" s="1808"/>
      <c r="Y32" s="3256" t="s">
        <v>2545</v>
      </c>
      <c r="Z32" s="1809" t="str">
        <f t="shared" si="15"/>
        <v>车位类型</v>
      </c>
      <c r="AA32" s="1806">
        <f t="shared" si="3"/>
        <v>1</v>
      </c>
      <c r="AB32" s="1806">
        <f t="shared" si="4"/>
        <v>1</v>
      </c>
      <c r="AC32" s="1806">
        <f t="shared" si="5"/>
        <v>1</v>
      </c>
    </row>
    <row r="33" spans="1:29" ht="1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56"/>
      <c r="Q33" s="1805" t="str">
        <f t="shared" si="11"/>
        <v>是否直接入户</v>
      </c>
      <c r="R33" s="773" t="s">
        <v>17</v>
      </c>
      <c r="S33" s="774">
        <f t="shared" si="12"/>
        <v>100</v>
      </c>
      <c r="T33" s="773" t="s">
        <v>17</v>
      </c>
      <c r="U33" s="774">
        <f t="shared" si="13"/>
        <v>100</v>
      </c>
      <c r="V33" s="773" t="s">
        <v>17</v>
      </c>
      <c r="W33" s="774">
        <f t="shared" si="14"/>
        <v>100</v>
      </c>
      <c r="X33" s="1808"/>
      <c r="Y33" s="3256"/>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56"/>
      <c r="Q34" s="1805">
        <f t="shared" si="11"/>
        <v>111</v>
      </c>
      <c r="R34" s="773" t="s">
        <v>17</v>
      </c>
      <c r="S34" s="774">
        <f t="shared" si="12"/>
        <v>100</v>
      </c>
      <c r="T34" s="773" t="s">
        <v>17</v>
      </c>
      <c r="U34" s="774">
        <f t="shared" si="13"/>
        <v>100</v>
      </c>
      <c r="V34" s="773" t="s">
        <v>17</v>
      </c>
      <c r="W34" s="774">
        <f t="shared" si="14"/>
        <v>100</v>
      </c>
      <c r="X34" s="1808"/>
      <c r="Y34" s="3256"/>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56"/>
      <c r="Q35" s="775">
        <f t="shared" si="11"/>
        <v>111</v>
      </c>
      <c r="R35" s="776" t="s">
        <v>17</v>
      </c>
      <c r="S35" s="777">
        <f t="shared" si="12"/>
        <v>100</v>
      </c>
      <c r="T35" s="776" t="s">
        <v>17</v>
      </c>
      <c r="U35" s="777">
        <f t="shared" si="13"/>
        <v>100</v>
      </c>
      <c r="V35" s="776" t="s">
        <v>17</v>
      </c>
      <c r="W35" s="777">
        <f t="shared" si="14"/>
        <v>100</v>
      </c>
      <c r="X35" s="778"/>
      <c r="Y35" s="3256"/>
      <c r="Z35" s="779">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56"/>
      <c r="Q36" s="1805">
        <f t="shared" si="11"/>
        <v>111</v>
      </c>
      <c r="R36" s="773" t="s">
        <v>17</v>
      </c>
      <c r="S36" s="774">
        <f t="shared" si="12"/>
        <v>100</v>
      </c>
      <c r="T36" s="773" t="s">
        <v>17</v>
      </c>
      <c r="U36" s="774">
        <f t="shared" si="13"/>
        <v>100</v>
      </c>
      <c r="V36" s="773" t="s">
        <v>17</v>
      </c>
      <c r="W36" s="774">
        <f t="shared" si="14"/>
        <v>100</v>
      </c>
      <c r="X36" s="1808"/>
      <c r="Y36" s="3256"/>
      <c r="Z36" s="1809">
        <f t="shared" si="15"/>
        <v>111</v>
      </c>
      <c r="AA36" s="1806">
        <f t="shared" si="3"/>
        <v>1</v>
      </c>
      <c r="AB36" s="1806">
        <f t="shared" si="4"/>
        <v>1</v>
      </c>
      <c r="AC36" s="1806">
        <f t="shared" si="5"/>
        <v>1</v>
      </c>
    </row>
    <row r="37" spans="1:29" ht="15">
      <c r="A37" s="478" t="s">
        <v>2700</v>
      </c>
      <c r="B37" s="2686" t="s">
        <v>2701</v>
      </c>
      <c r="C37" s="1403" t="s">
        <v>1</v>
      </c>
      <c r="D37" s="1404"/>
      <c r="E37" s="1405"/>
      <c r="F37" s="1406"/>
      <c r="G37" s="1407"/>
      <c r="H37" s="1408"/>
      <c r="I37" s="1405"/>
      <c r="J37" s="1408"/>
      <c r="K37" s="618"/>
      <c r="L37" s="1141"/>
      <c r="M37" s="1142"/>
      <c r="N37" s="1129"/>
      <c r="O37" s="1142"/>
      <c r="P37" s="3238" t="str">
        <f>A37</f>
        <v>成交单价</v>
      </c>
      <c r="Q37" s="3238"/>
      <c r="R37" s="3297">
        <f>E37</f>
        <v>0</v>
      </c>
      <c r="S37" s="3297"/>
      <c r="T37" s="3297">
        <f>G37</f>
        <v>0</v>
      </c>
      <c r="U37" s="3297"/>
      <c r="V37" s="3297">
        <f>I37</f>
        <v>0</v>
      </c>
      <c r="W37" s="3297"/>
      <c r="X37" s="758"/>
      <c r="Y37" s="780"/>
      <c r="Z37" s="758"/>
      <c r="AA37" s="758"/>
      <c r="AB37" s="758"/>
      <c r="AC37" s="758"/>
    </row>
    <row r="38" spans="1:29" ht="15.75" thickBot="1">
      <c r="A38" s="485" t="s">
        <v>2702</v>
      </c>
      <c r="B38" s="486" t="str">
        <f>B37</f>
        <v>元/车位</v>
      </c>
      <c r="C38" s="1409" t="e">
        <f>R39</f>
        <v>#DIV/0!</v>
      </c>
      <c r="D38" s="1410"/>
      <c r="E38" s="1411" t="e">
        <f>R38</f>
        <v>#DIV/0!</v>
      </c>
      <c r="F38" s="1411"/>
      <c r="G38" s="1409" t="e">
        <f>T38</f>
        <v>#DIV/0!</v>
      </c>
      <c r="H38" s="1410"/>
      <c r="I38" s="1411" t="e">
        <f>V38</f>
        <v>#DIV/0!</v>
      </c>
      <c r="J38" s="1410"/>
      <c r="K38" s="619"/>
      <c r="L38" s="1141"/>
      <c r="M38" s="1142"/>
      <c r="N38" s="1142"/>
      <c r="O38" s="1142"/>
      <c r="P38" s="3238" t="str">
        <f>A38</f>
        <v>比较价值（元/平方米）</v>
      </c>
      <c r="Q38" s="3238"/>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8"/>
      <c r="Y38" s="758"/>
      <c r="Z38" s="758"/>
      <c r="AA38" s="758"/>
      <c r="AB38" s="758"/>
      <c r="AC38" s="758"/>
    </row>
    <row r="39" spans="1:29" ht="15.75" thickBot="1">
      <c r="A39" s="491" t="s">
        <v>2703</v>
      </c>
      <c r="B39" s="492"/>
      <c r="C39" s="1413" t="e">
        <f>R39</f>
        <v>#DIV/0!</v>
      </c>
      <c r="D39" s="1413"/>
      <c r="E39" s="1413"/>
      <c r="F39" s="1413"/>
      <c r="G39" s="1413"/>
      <c r="H39" s="1413"/>
      <c r="I39" s="1413"/>
      <c r="J39" s="1413"/>
      <c r="K39" s="620"/>
      <c r="L39" s="1141"/>
      <c r="M39" s="1142"/>
      <c r="N39" s="1142"/>
      <c r="O39" s="1142"/>
      <c r="P39" s="3258" t="str">
        <f>A39</f>
        <v>估价对象XX用房的比较价值（楼面单价，元/平方米）</v>
      </c>
      <c r="Q39" s="3259"/>
      <c r="R39" s="3296" t="e">
        <f>IF(F1="售价",ROUND(AVERAGE(R38:V38),0),ROUND(AVERAGE(R38:V38),1))</f>
        <v>#DIV/0!</v>
      </c>
      <c r="S39" s="3296"/>
      <c r="T39" s="3296"/>
      <c r="U39" s="3296"/>
      <c r="V39" s="3296"/>
      <c r="W39" s="329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6"/>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6"/>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6"/>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6"/>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7"/>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7"/>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6"/>
      <c r="Q46" s="1142"/>
      <c r="R46" s="1142"/>
      <c r="S46" s="1142"/>
      <c r="T46" s="1142"/>
      <c r="U46" s="1142"/>
      <c r="V46" s="1142"/>
      <c r="W46" s="1142"/>
      <c r="X46" s="1142"/>
      <c r="Y46" s="1142"/>
      <c r="Z46" s="1142"/>
      <c r="AA46" s="1142"/>
      <c r="AB46" s="1142"/>
      <c r="AC46" s="1142"/>
    </row>
    <row r="47" spans="1:29" ht="21.75" thickBot="1">
      <c r="A47" s="1420" t="s">
        <v>2707</v>
      </c>
      <c r="B47" s="1142"/>
      <c r="C47" s="1157"/>
      <c r="D47" s="1157"/>
      <c r="E47" s="1157"/>
      <c r="F47" s="1421"/>
      <c r="G47" s="1421"/>
      <c r="H47" s="1157"/>
      <c r="I47" s="1157"/>
      <c r="J47" s="1157"/>
      <c r="K47" s="1158"/>
      <c r="L47" s="1159"/>
      <c r="M47" s="1157"/>
      <c r="N47" s="1157"/>
      <c r="O47" s="1157"/>
      <c r="P47" s="1418"/>
      <c r="Q47" s="1419"/>
      <c r="R47" s="1142"/>
      <c r="S47" s="1142"/>
      <c r="T47" s="1142"/>
      <c r="U47" s="1142"/>
      <c r="V47" s="1142"/>
      <c r="W47" s="1142"/>
      <c r="X47" s="1142"/>
      <c r="Y47" s="1142"/>
      <c r="Z47" s="1142"/>
      <c r="AA47" s="1142"/>
      <c r="AB47" s="1142"/>
      <c r="AC47" s="1142"/>
    </row>
    <row r="48" spans="1:29" s="507" customFormat="1" ht="15">
      <c r="A48" s="504" t="s">
        <v>2708</v>
      </c>
      <c r="B48" s="505"/>
      <c r="C48" s="1569" t="str">
        <f>YEAR(C7)&amp;"-"&amp;MONTH(C7)</f>
        <v>2021-4</v>
      </c>
      <c r="D48" s="1570">
        <f>EDATE(C48,-1)</f>
        <v>44256</v>
      </c>
      <c r="E48" s="1570">
        <f t="shared" ref="E48:O48" si="16">EDATE(D48,-1)</f>
        <v>44228</v>
      </c>
      <c r="F48" s="1570">
        <f t="shared" si="16"/>
        <v>44197</v>
      </c>
      <c r="G48" s="1570">
        <f t="shared" si="16"/>
        <v>44166</v>
      </c>
      <c r="H48" s="1570">
        <f t="shared" si="16"/>
        <v>44136</v>
      </c>
      <c r="I48" s="1570">
        <f t="shared" si="16"/>
        <v>44105</v>
      </c>
      <c r="J48" s="1570">
        <f t="shared" si="16"/>
        <v>44075</v>
      </c>
      <c r="K48" s="1570">
        <f t="shared" si="16"/>
        <v>44044</v>
      </c>
      <c r="L48" s="1570">
        <f t="shared" si="16"/>
        <v>44013</v>
      </c>
      <c r="M48" s="1570">
        <f t="shared" si="16"/>
        <v>43983</v>
      </c>
      <c r="N48" s="1570">
        <f t="shared" si="16"/>
        <v>43952</v>
      </c>
      <c r="O48" s="1570">
        <f t="shared" si="16"/>
        <v>43922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2565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2530</v>
      </c>
      <c r="B51" s="509"/>
      <c r="C51" s="521" t="s">
        <v>2632</v>
      </c>
      <c r="D51" s="522"/>
      <c r="E51" s="522"/>
      <c r="F51" s="522"/>
      <c r="G51" s="522"/>
      <c r="H51" s="522"/>
      <c r="I51" s="522"/>
      <c r="J51" s="522"/>
      <c r="K51" s="522"/>
      <c r="L51" s="523"/>
      <c r="M51" s="524"/>
      <c r="N51" s="1149"/>
      <c r="O51" s="1149"/>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9"/>
      <c r="O52" s="1149"/>
      <c r="P52" s="1424"/>
      <c r="Q52" s="1419"/>
      <c r="R52" s="1423"/>
      <c r="S52" s="1423"/>
      <c r="T52" s="1423"/>
      <c r="U52" s="1423"/>
      <c r="V52" s="1423"/>
      <c r="W52" s="1423"/>
      <c r="X52" s="1423"/>
      <c r="Y52" s="1423"/>
      <c r="Z52" s="1423"/>
      <c r="AA52" s="1423"/>
      <c r="AB52" s="1423"/>
      <c r="AC52" s="1423"/>
    </row>
    <row r="53" spans="1:29">
      <c r="A53" s="526" t="s">
        <v>2568</v>
      </c>
      <c r="B53" s="527" t="s">
        <v>2534</v>
      </c>
      <c r="C53" s="528">
        <f>C9</f>
        <v>0</v>
      </c>
      <c r="D53" s="529"/>
      <c r="E53" s="529"/>
      <c r="F53" s="529"/>
      <c r="G53" s="529"/>
      <c r="H53" s="529"/>
      <c r="I53" s="529"/>
      <c r="J53" s="529"/>
      <c r="K53" s="530"/>
      <c r="L53" s="531"/>
      <c r="M53" s="532"/>
      <c r="N53" s="1150"/>
      <c r="O53" s="1150"/>
      <c r="P53" s="1425"/>
      <c r="Q53" s="1419"/>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5"/>
      <c r="Q54" s="1419"/>
      <c r="R54" s="1142"/>
      <c r="S54" s="1142"/>
      <c r="T54" s="1142"/>
      <c r="U54" s="1142"/>
      <c r="V54" s="1142"/>
      <c r="W54" s="1142"/>
      <c r="X54" s="1142"/>
      <c r="Y54" s="1142"/>
      <c r="Z54" s="1142"/>
      <c r="AA54" s="1142"/>
      <c r="AB54" s="1142"/>
      <c r="AC54" s="1142"/>
    </row>
    <row r="55" spans="1:29" ht="27.7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5"/>
      <c r="Q55" s="1419"/>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5"/>
      <c r="Q56" s="1419"/>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5"/>
      <c r="Q57" s="1419"/>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5"/>
      <c r="Q58" s="1419"/>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1"/>
      <c r="O60" s="1151"/>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2"/>
      <c r="O61" s="1152"/>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2"/>
      <c r="O62" s="1152"/>
      <c r="P62" s="1426"/>
      <c r="Q62" s="1427"/>
      <c r="R62" s="1428"/>
      <c r="S62" s="1428"/>
      <c r="T62" s="1428"/>
      <c r="U62" s="1428"/>
      <c r="V62" s="1428"/>
      <c r="W62" s="1428"/>
      <c r="X62" s="1428"/>
      <c r="Y62" s="1428"/>
      <c r="Z62" s="1428"/>
      <c r="AA62" s="1428"/>
      <c r="AB62" s="1428"/>
      <c r="AC62" s="1428"/>
    </row>
    <row r="63" spans="1:29" ht="1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1"/>
      <c r="Q63" s="1419"/>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5"/>
      <c r="Q64" s="1419"/>
      <c r="R64" s="1142"/>
      <c r="S64" s="1142"/>
      <c r="T64" s="1142"/>
      <c r="U64" s="1142"/>
      <c r="V64" s="1142"/>
      <c r="W64" s="1142"/>
      <c r="X64" s="1142"/>
      <c r="Y64" s="1142"/>
      <c r="Z64" s="1142"/>
      <c r="AA64" s="1142"/>
      <c r="AB64" s="1142"/>
      <c r="AC64" s="1142"/>
    </row>
    <row r="65" spans="1:29" ht="15.75" thickTop="1">
      <c r="A65" s="533"/>
      <c r="B65" s="537" t="s">
        <v>2583</v>
      </c>
      <c r="C65" s="577" t="s">
        <v>2577</v>
      </c>
      <c r="D65" s="577" t="s">
        <v>2578</v>
      </c>
      <c r="E65" s="577" t="s">
        <v>2579</v>
      </c>
      <c r="F65" s="577" t="s">
        <v>2580</v>
      </c>
      <c r="G65" s="577" t="s">
        <v>2581</v>
      </c>
      <c r="H65" s="538"/>
      <c r="I65" s="538"/>
      <c r="J65" s="538"/>
      <c r="K65" s="539"/>
      <c r="L65" s="540"/>
      <c r="M65" s="541"/>
      <c r="N65" s="1150"/>
      <c r="O65" s="1150"/>
      <c r="P65" s="1425"/>
      <c r="Q65" s="1419"/>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5"/>
      <c r="Q66" s="1419"/>
      <c r="R66" s="1142"/>
      <c r="S66" s="1142"/>
      <c r="T66" s="1142"/>
      <c r="U66" s="1142"/>
      <c r="V66" s="1142"/>
      <c r="W66" s="1142"/>
      <c r="X66" s="1142"/>
      <c r="Y66" s="1142"/>
      <c r="Z66" s="1142"/>
      <c r="AA66" s="1142"/>
      <c r="AB66" s="1142"/>
      <c r="AC66" s="1142"/>
    </row>
    <row r="67" spans="1:29" ht="15.75" thickTop="1">
      <c r="A67" s="533"/>
      <c r="B67" s="545" t="s">
        <v>2669</v>
      </c>
      <c r="C67" s="659" t="s">
        <v>2655</v>
      </c>
      <c r="D67" s="659" t="s">
        <v>2656</v>
      </c>
      <c r="E67" s="659" t="s">
        <v>2657</v>
      </c>
      <c r="F67" s="659" t="s">
        <v>2658</v>
      </c>
      <c r="G67" s="659" t="s">
        <v>2659</v>
      </c>
      <c r="H67" s="538"/>
      <c r="I67" s="538"/>
      <c r="J67" s="538"/>
      <c r="K67" s="538"/>
      <c r="L67" s="538"/>
      <c r="M67" s="1379"/>
      <c r="N67" s="1151"/>
      <c r="O67" s="1151"/>
      <c r="P67" s="1425"/>
      <c r="Q67" s="1419"/>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5"/>
      <c r="Q68" s="1419"/>
      <c r="R68" s="1142"/>
      <c r="S68" s="1142"/>
      <c r="T68" s="1142"/>
      <c r="U68" s="1142"/>
      <c r="V68" s="1142"/>
      <c r="W68" s="1142"/>
      <c r="X68" s="1142"/>
      <c r="Y68" s="1142"/>
      <c r="Z68" s="1142"/>
      <c r="AA68" s="1142"/>
      <c r="AB68" s="1142"/>
      <c r="AC68" s="1142"/>
    </row>
    <row r="69" spans="1:29" ht="15.75" thickTop="1">
      <c r="A69" s="533"/>
      <c r="B69" s="537" t="s">
        <v>2589</v>
      </c>
      <c r="C69" s="577" t="s">
        <v>2577</v>
      </c>
      <c r="D69" s="577" t="s">
        <v>2578</v>
      </c>
      <c r="E69" s="577" t="s">
        <v>2579</v>
      </c>
      <c r="F69" s="577" t="s">
        <v>2580</v>
      </c>
      <c r="G69" s="577" t="s">
        <v>2581</v>
      </c>
      <c r="H69" s="538"/>
      <c r="I69" s="538"/>
      <c r="J69" s="538"/>
      <c r="K69" s="539"/>
      <c r="L69" s="540"/>
      <c r="M69" s="541"/>
      <c r="N69" s="1150"/>
      <c r="O69" s="1150"/>
      <c r="P69" s="1425"/>
      <c r="Q69" s="1419"/>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5"/>
      <c r="Q70" s="1419"/>
      <c r="R70" s="1142"/>
      <c r="S70" s="1142"/>
      <c r="T70" s="1142"/>
      <c r="U70" s="1142"/>
      <c r="V70" s="1142"/>
      <c r="W70" s="1142"/>
      <c r="X70" s="1142"/>
      <c r="Y70" s="1142"/>
      <c r="Z70" s="1142"/>
      <c r="AA70" s="1142"/>
      <c r="AB70" s="1142"/>
      <c r="AC70" s="1142"/>
    </row>
    <row r="71" spans="1:29" ht="15.75" thickTop="1">
      <c r="A71" s="533"/>
      <c r="B71" s="537" t="s">
        <v>2709</v>
      </c>
      <c r="C71" s="553"/>
      <c r="D71" s="553"/>
      <c r="E71" s="553"/>
      <c r="F71" s="553"/>
      <c r="G71" s="553"/>
      <c r="H71" s="582"/>
      <c r="I71" s="582"/>
      <c r="J71" s="582"/>
      <c r="K71" s="583"/>
      <c r="L71" s="584"/>
      <c r="M71" s="585"/>
      <c r="N71" s="1150"/>
      <c r="O71" s="1150"/>
      <c r="P71" s="1425"/>
      <c r="Q71" s="1419"/>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5"/>
      <c r="Q72" s="1419"/>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51"/>
      <c r="O74" s="1151"/>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9"/>
      <c r="O75" s="1149"/>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51"/>
      <c r="O76" s="1151"/>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2"/>
      <c r="O77" s="1152"/>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2"/>
      <c r="O78" s="1152"/>
      <c r="P78" s="1426"/>
      <c r="Q78" s="1427"/>
      <c r="R78" s="1428"/>
      <c r="S78" s="1428"/>
      <c r="T78" s="1428"/>
      <c r="U78" s="1428"/>
      <c r="V78" s="1428"/>
      <c r="W78" s="1428"/>
      <c r="X78" s="1428"/>
      <c r="Y78" s="1428"/>
      <c r="Z78" s="1428"/>
      <c r="AA78" s="1428"/>
      <c r="AB78" s="1428"/>
      <c r="AC78" s="1428"/>
    </row>
    <row r="79" spans="1:29" ht="27.75" thickTop="1">
      <c r="A79" s="526" t="s">
        <v>2543</v>
      </c>
      <c r="B79" s="527" t="s">
        <v>2710</v>
      </c>
      <c r="C79" s="528">
        <f>C26</f>
        <v>0</v>
      </c>
      <c r="D79" s="529"/>
      <c r="E79" s="529"/>
      <c r="F79" s="529"/>
      <c r="G79" s="529"/>
      <c r="H79" s="529"/>
      <c r="I79" s="529"/>
      <c r="J79" s="529"/>
      <c r="K79" s="530"/>
      <c r="L79" s="531"/>
      <c r="M79" s="532"/>
      <c r="N79" s="1150"/>
      <c r="O79" s="1150"/>
      <c r="P79" s="1425"/>
      <c r="Q79" s="1419"/>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5"/>
      <c r="Q80" s="1419"/>
      <c r="R80" s="1142"/>
      <c r="S80" s="1142"/>
      <c r="T80" s="1142"/>
      <c r="U80" s="1142"/>
      <c r="V80" s="1142"/>
      <c r="W80" s="1142"/>
      <c r="X80" s="1142"/>
      <c r="Y80" s="1142"/>
      <c r="Z80" s="1142"/>
      <c r="AA80" s="1142"/>
      <c r="AB80" s="1142"/>
      <c r="AC80" s="1142"/>
    </row>
    <row r="81" spans="1:29" ht="15.75" thickTop="1">
      <c r="A81" s="533"/>
      <c r="B81" s="537" t="s">
        <v>2711</v>
      </c>
      <c r="C81" s="660"/>
      <c r="D81" s="660"/>
      <c r="E81" s="660"/>
      <c r="F81" s="660"/>
      <c r="G81" s="660"/>
      <c r="H81" s="660"/>
      <c r="I81" s="660"/>
      <c r="J81" s="660"/>
      <c r="K81" s="661"/>
      <c r="L81" s="662"/>
      <c r="M81" s="663"/>
      <c r="N81" s="1149"/>
      <c r="O81" s="1149"/>
      <c r="P81" s="1425"/>
      <c r="Q81" s="1419"/>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6"/>
      <c r="Q82" s="1427"/>
      <c r="R82" s="1428"/>
      <c r="S82" s="1428"/>
      <c r="T82" s="1428"/>
      <c r="U82" s="1428"/>
      <c r="V82" s="1428"/>
      <c r="W82" s="1428"/>
      <c r="X82" s="1428"/>
      <c r="Y82" s="1428"/>
      <c r="Z82" s="1428"/>
      <c r="AA82" s="1428"/>
      <c r="AB82" s="1428"/>
      <c r="AC82" s="1428"/>
    </row>
    <row r="83" spans="1:29" ht="15" thickTop="1">
      <c r="A83" s="598"/>
      <c r="B83" s="537" t="s">
        <v>2596</v>
      </c>
      <c r="C83" s="553"/>
      <c r="D83" s="553"/>
      <c r="E83" s="582"/>
      <c r="F83" s="582"/>
      <c r="G83" s="582"/>
      <c r="H83" s="582"/>
      <c r="I83" s="582"/>
      <c r="J83" s="582"/>
      <c r="K83" s="583"/>
      <c r="L83" s="584"/>
      <c r="M83" s="585"/>
      <c r="N83" s="1150"/>
      <c r="O83" s="1150"/>
      <c r="P83" s="1425"/>
      <c r="Q83" s="1419"/>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5"/>
      <c r="Q84" s="1419"/>
      <c r="R84" s="1142"/>
      <c r="S84" s="1142"/>
      <c r="T84" s="1142"/>
      <c r="U84" s="1142"/>
      <c r="V84" s="1142"/>
      <c r="W84" s="1142"/>
      <c r="X84" s="1142"/>
      <c r="Y84" s="1142"/>
      <c r="Z84" s="1142"/>
      <c r="AA84" s="1142"/>
      <c r="AB84" s="1142"/>
      <c r="AC84" s="1142"/>
    </row>
    <row r="85" spans="1:29" ht="1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5"/>
      <c r="Q85" s="1419"/>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5"/>
      <c r="Q86" s="1419"/>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5"/>
      <c r="Q87" s="1419"/>
      <c r="R87" s="1142"/>
      <c r="S87" s="1142"/>
      <c r="T87" s="1142"/>
      <c r="U87" s="1142"/>
      <c r="V87" s="1142"/>
      <c r="W87" s="1142"/>
      <c r="X87" s="1142"/>
      <c r="Y87" s="1142"/>
      <c r="Z87" s="1142"/>
      <c r="AA87" s="1142"/>
      <c r="AB87" s="1142"/>
      <c r="AC87" s="1142"/>
    </row>
    <row r="88" spans="1:29" ht="15" thickTop="1">
      <c r="A88" s="598"/>
      <c r="B88" s="545" t="s">
        <v>2713</v>
      </c>
      <c r="C88" s="529"/>
      <c r="D88" s="529"/>
      <c r="E88" s="529"/>
      <c r="F88" s="529"/>
      <c r="G88" s="529"/>
      <c r="H88" s="529"/>
      <c r="I88" s="529"/>
      <c r="J88" s="529"/>
      <c r="K88" s="530"/>
      <c r="L88" s="531"/>
      <c r="M88" s="532"/>
      <c r="N88" s="1150"/>
      <c r="O88" s="1150"/>
      <c r="P88" s="1425"/>
      <c r="Q88" s="1419"/>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5"/>
      <c r="Q89" s="1419"/>
      <c r="R89" s="1142"/>
      <c r="S89" s="1142"/>
      <c r="T89" s="1142"/>
      <c r="U89" s="1142"/>
      <c r="V89" s="1142"/>
      <c r="W89" s="1142"/>
      <c r="X89" s="1142"/>
      <c r="Y89" s="1142"/>
      <c r="Z89" s="1142"/>
      <c r="AA89" s="1142"/>
      <c r="AB89" s="1142"/>
      <c r="AC89" s="1142"/>
    </row>
    <row r="90" spans="1:29" s="470" customFormat="1" ht="1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2"/>
      <c r="O91" s="1152"/>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2"/>
      <c r="O92" s="1152"/>
      <c r="P92" s="1426"/>
      <c r="Q92" s="1427"/>
      <c r="R92" s="1428"/>
      <c r="S92" s="1428"/>
      <c r="T92" s="1428"/>
      <c r="U92" s="1428"/>
      <c r="V92" s="1428"/>
      <c r="W92" s="1428"/>
      <c r="X92" s="1428"/>
      <c r="Y92" s="1428"/>
      <c r="Z92" s="1428"/>
      <c r="AA92" s="1428"/>
      <c r="AB92" s="1428"/>
      <c r="AC92" s="1428"/>
    </row>
    <row r="93" spans="1:29" ht="15" thickTop="1">
      <c r="A93" s="598"/>
      <c r="B93" s="537" t="s">
        <v>2715</v>
      </c>
      <c r="C93" s="553"/>
      <c r="D93" s="553"/>
      <c r="E93" s="582"/>
      <c r="F93" s="582"/>
      <c r="G93" s="582"/>
      <c r="H93" s="582"/>
      <c r="I93" s="582"/>
      <c r="J93" s="582"/>
      <c r="K93" s="583"/>
      <c r="L93" s="584"/>
      <c r="M93" s="585"/>
      <c r="N93" s="1150"/>
      <c r="O93" s="1150"/>
      <c r="P93" s="1425"/>
      <c r="Q93" s="1419"/>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5"/>
      <c r="Q94" s="1419"/>
      <c r="R94" s="1142"/>
      <c r="S94" s="1142"/>
      <c r="T94" s="1142"/>
      <c r="U94" s="1142"/>
      <c r="V94" s="1142"/>
      <c r="W94" s="1142"/>
      <c r="X94" s="1142"/>
      <c r="Y94" s="1142"/>
      <c r="Z94" s="1142"/>
      <c r="AA94" s="1142"/>
      <c r="AB94" s="1142"/>
      <c r="AC94" s="1142"/>
    </row>
    <row r="95" spans="1:29" ht="15" thickTop="1">
      <c r="A95" s="598"/>
      <c r="B95" s="537" t="s">
        <v>2716</v>
      </c>
      <c r="C95" s="529"/>
      <c r="D95" s="529"/>
      <c r="E95" s="529"/>
      <c r="F95" s="529"/>
      <c r="G95" s="529"/>
      <c r="H95" s="529"/>
      <c r="I95" s="529"/>
      <c r="J95" s="529"/>
      <c r="K95" s="530"/>
      <c r="L95" s="531"/>
      <c r="M95" s="532"/>
      <c r="N95" s="1150"/>
      <c r="O95" s="1150"/>
      <c r="P95" s="1425"/>
      <c r="Q95" s="1419"/>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5"/>
      <c r="Q96" s="1419"/>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2"/>
      <c r="Q97" s="1433"/>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5"/>
      <c r="Q98" s="1419"/>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2"/>
      <c r="O100" s="1152"/>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0"/>
      <c r="O101" s="1150"/>
      <c r="P101" s="1425"/>
      <c r="Q101" s="1419"/>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5"/>
      <c r="Q102" s="1419"/>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IF(C2="——",ROUND(C37*D3/10000,0),ROUND(C37*D3/10000,0)-D2)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22" t="s">
        <v>2628</v>
      </c>
      <c r="AC4" s="3221" t="s">
        <v>2629</v>
      </c>
    </row>
    <row r="5" spans="1:29" ht="15">
      <c r="A5" s="403"/>
      <c r="B5" s="404"/>
      <c r="C5" s="3232" t="s">
        <v>2522</v>
      </c>
      <c r="D5" s="3233"/>
      <c r="E5" s="3230" t="s">
        <v>2523</v>
      </c>
      <c r="F5" s="3231"/>
      <c r="G5" s="3232" t="s">
        <v>2524</v>
      </c>
      <c r="H5" s="3233"/>
      <c r="I5" s="3232" t="s">
        <v>2525</v>
      </c>
      <c r="J5" s="3233"/>
      <c r="K5" s="609"/>
      <c r="L5" s="1128"/>
      <c r="M5" s="1129"/>
      <c r="N5" s="1129"/>
      <c r="O5" s="1129"/>
      <c r="P5" s="3245"/>
      <c r="Q5" s="3246"/>
      <c r="R5" s="3228"/>
      <c r="S5" s="3229"/>
      <c r="T5" s="3228"/>
      <c r="U5" s="3229"/>
      <c r="V5" s="3251"/>
      <c r="W5" s="3251"/>
      <c r="X5" s="1808"/>
      <c r="Y5" s="3228"/>
      <c r="Z5" s="3229"/>
      <c r="AA5" s="3222"/>
      <c r="AB5" s="3222"/>
      <c r="AC5" s="3222"/>
    </row>
    <row r="6" spans="1:29" ht="15.75" thickBot="1">
      <c r="A6" s="405"/>
      <c r="B6" s="406"/>
      <c r="C6" s="3234" t="s">
        <v>2526</v>
      </c>
      <c r="D6" s="3235"/>
      <c r="E6" s="3236" t="s">
        <v>2526</v>
      </c>
      <c r="F6" s="3237"/>
      <c r="G6" s="3234" t="s">
        <v>2526</v>
      </c>
      <c r="H6" s="3235"/>
      <c r="I6" s="3234" t="s">
        <v>2526</v>
      </c>
      <c r="J6" s="3235"/>
      <c r="K6" s="609" t="s">
        <v>2527</v>
      </c>
      <c r="L6" s="1128"/>
      <c r="M6" s="1129"/>
      <c r="N6" s="1129"/>
      <c r="O6" s="1129"/>
      <c r="P6" s="3247"/>
      <c r="Q6" s="3248"/>
      <c r="R6" s="3228"/>
      <c r="S6" s="3229"/>
      <c r="T6" s="3249"/>
      <c r="U6" s="3250"/>
      <c r="V6" s="3251"/>
      <c r="W6" s="3251"/>
      <c r="X6" s="1808"/>
      <c r="Y6" s="3249"/>
      <c r="Z6" s="3250"/>
      <c r="AA6" s="3223"/>
      <c r="AB6" s="3223"/>
      <c r="AC6" s="3223"/>
    </row>
    <row r="7" spans="1:29" s="116" customFormat="1" ht="15.75" thickBot="1">
      <c r="A7" s="407" t="s">
        <v>2528</v>
      </c>
      <c r="B7" s="408"/>
      <c r="C7" s="409">
        <f>'数据-取费表'!B2</f>
        <v>44312</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224" t="s">
        <v>2529</v>
      </c>
      <c r="Q7" s="3252"/>
      <c r="R7" s="769" t="s">
        <v>17</v>
      </c>
      <c r="S7" s="770">
        <f t="shared" ref="S7:S14" si="0">F7</f>
        <v>0</v>
      </c>
      <c r="T7" s="769" t="s">
        <v>17</v>
      </c>
      <c r="U7" s="770">
        <f t="shared" ref="U7:U14" si="1">H7</f>
        <v>0</v>
      </c>
      <c r="V7" s="769" t="s">
        <v>17</v>
      </c>
      <c r="W7" s="770">
        <f t="shared" ref="W7:W14" si="2">J7</f>
        <v>0</v>
      </c>
      <c r="X7" s="771"/>
      <c r="Y7" s="3224" t="s">
        <v>2529</v>
      </c>
      <c r="Z7" s="3225"/>
      <c r="AA7" s="772" t="e">
        <f>D7/F7</f>
        <v>#DIV/0!</v>
      </c>
      <c r="AB7" s="772" t="e">
        <f>D7/H7</f>
        <v>#DIV/0!</v>
      </c>
      <c r="AC7" s="772" t="e">
        <f>D7/J7</f>
        <v>#DIV/0!</v>
      </c>
    </row>
    <row r="8" spans="1:29" s="116" customFormat="1" ht="15.7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4" t="s">
        <v>2532</v>
      </c>
      <c r="Q8" s="3225"/>
      <c r="R8" s="769" t="s">
        <v>17</v>
      </c>
      <c r="S8" s="770">
        <f t="shared" si="0"/>
        <v>0</v>
      </c>
      <c r="T8" s="769" t="s">
        <v>17</v>
      </c>
      <c r="U8" s="770">
        <f t="shared" si="1"/>
        <v>0</v>
      </c>
      <c r="V8" s="769" t="s">
        <v>17</v>
      </c>
      <c r="W8" s="770">
        <f t="shared" si="2"/>
        <v>0</v>
      </c>
      <c r="X8" s="771"/>
      <c r="Y8" s="3224" t="s">
        <v>2532</v>
      </c>
      <c r="Z8" s="3225"/>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8" t="s">
        <v>2535</v>
      </c>
      <c r="Q9" s="1790" t="str">
        <f t="shared" ref="Q9:Q14" si="6">B9</f>
        <v>用途</v>
      </c>
      <c r="R9" s="769" t="s">
        <v>17</v>
      </c>
      <c r="S9" s="770">
        <f t="shared" si="0"/>
        <v>100</v>
      </c>
      <c r="T9" s="769" t="s">
        <v>17</v>
      </c>
      <c r="U9" s="770">
        <f t="shared" si="1"/>
        <v>100</v>
      </c>
      <c r="V9" s="769" t="s">
        <v>17</v>
      </c>
      <c r="W9" s="770">
        <f t="shared" si="2"/>
        <v>100</v>
      </c>
      <c r="X9" s="771"/>
      <c r="Y9" s="3081" t="s">
        <v>2536</v>
      </c>
      <c r="Z9" s="55" t="str">
        <f t="shared" ref="Z9:Z14" si="7">Q9</f>
        <v>用途</v>
      </c>
      <c r="AA9" s="772">
        <f t="shared" si="3"/>
        <v>1</v>
      </c>
      <c r="AB9" s="772">
        <f t="shared" si="4"/>
        <v>1</v>
      </c>
      <c r="AC9" s="772">
        <f t="shared" si="5"/>
        <v>1</v>
      </c>
    </row>
    <row r="10" spans="1:29" s="426" customFormat="1" ht="27">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8"/>
      <c r="Q10" s="1790"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8"/>
      <c r="Q11" s="1790">
        <f t="shared" si="6"/>
        <v>111</v>
      </c>
      <c r="R11" s="769" t="s">
        <v>17</v>
      </c>
      <c r="S11" s="770">
        <f t="shared" si="0"/>
        <v>100</v>
      </c>
      <c r="T11" s="769" t="s">
        <v>17</v>
      </c>
      <c r="U11" s="770">
        <f t="shared" si="1"/>
        <v>100</v>
      </c>
      <c r="V11" s="769" t="s">
        <v>17</v>
      </c>
      <c r="W11" s="770">
        <f t="shared" si="2"/>
        <v>100</v>
      </c>
      <c r="X11" s="771"/>
      <c r="Y11" s="3081"/>
      <c r="Z11" s="55">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8"/>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38"/>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
      <c r="A14" s="439" t="s">
        <v>2539</v>
      </c>
      <c r="B14" s="69" t="s">
        <v>2689</v>
      </c>
      <c r="C14" s="2684"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3" t="s">
        <v>2540</v>
      </c>
      <c r="Q14" s="1805" t="str">
        <f t="shared" si="6"/>
        <v>交通便捷度</v>
      </c>
      <c r="R14" s="773" t="s">
        <v>17</v>
      </c>
      <c r="S14" s="774">
        <f t="shared" si="0"/>
        <v>100</v>
      </c>
      <c r="T14" s="773" t="s">
        <v>17</v>
      </c>
      <c r="U14" s="774">
        <f t="shared" si="1"/>
        <v>100</v>
      </c>
      <c r="V14" s="773" t="s">
        <v>17</v>
      </c>
      <c r="W14" s="774">
        <f t="shared" si="2"/>
        <v>100</v>
      </c>
      <c r="X14" s="1808"/>
      <c r="Y14" s="3253" t="s">
        <v>2540</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8"/>
      <c r="M15" s="1129"/>
      <c r="N15" s="1129"/>
      <c r="O15" s="1137"/>
      <c r="P15" s="3254"/>
      <c r="Q15" s="1805"/>
      <c r="R15" s="773"/>
      <c r="S15" s="774"/>
      <c r="T15" s="773"/>
      <c r="U15" s="774"/>
      <c r="V15" s="773"/>
      <c r="W15" s="774"/>
      <c r="X15" s="1808"/>
      <c r="Y15" s="3254"/>
      <c r="Z15" s="1809"/>
      <c r="AA15" s="1806">
        <v>1</v>
      </c>
      <c r="AB15" s="1806">
        <v>1</v>
      </c>
      <c r="AC15" s="1806">
        <v>1</v>
      </c>
    </row>
    <row r="16" spans="1:29" ht="15">
      <c r="A16" s="427"/>
      <c r="B16" s="450" t="s">
        <v>2668</v>
      </c>
      <c r="C16" s="2598"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4"/>
      <c r="Q16" s="1805" t="str">
        <f>B16</f>
        <v>公共配套设施</v>
      </c>
      <c r="R16" s="773" t="s">
        <v>17</v>
      </c>
      <c r="S16" s="774">
        <f>F16</f>
        <v>100</v>
      </c>
      <c r="T16" s="773" t="s">
        <v>17</v>
      </c>
      <c r="U16" s="774">
        <f>H16</f>
        <v>100</v>
      </c>
      <c r="V16" s="773" t="s">
        <v>17</v>
      </c>
      <c r="W16" s="774">
        <f>J16</f>
        <v>100</v>
      </c>
      <c r="X16" s="1808"/>
      <c r="Y16" s="3254"/>
      <c r="Z16" s="1809" t="str">
        <f>Q16</f>
        <v>公共配套设施</v>
      </c>
      <c r="AA16" s="1806">
        <f t="shared" si="3"/>
        <v>1</v>
      </c>
      <c r="AB16" s="1806">
        <f t="shared" si="4"/>
        <v>1</v>
      </c>
      <c r="AC16" s="1806">
        <f t="shared" si="5"/>
        <v>1</v>
      </c>
    </row>
    <row r="17" spans="1:29" ht="15">
      <c r="A17" s="427"/>
      <c r="B17" s="455"/>
      <c r="C17" s="2599"/>
      <c r="D17" s="447"/>
      <c r="E17" s="446"/>
      <c r="F17" s="448"/>
      <c r="G17" s="446"/>
      <c r="H17" s="447"/>
      <c r="I17" s="446"/>
      <c r="J17" s="447"/>
      <c r="K17" s="614"/>
      <c r="L17" s="1138"/>
      <c r="M17" s="1129"/>
      <c r="N17" s="1129"/>
      <c r="O17" s="1137"/>
      <c r="P17" s="3254"/>
      <c r="Q17" s="1805"/>
      <c r="R17" s="773"/>
      <c r="S17" s="774"/>
      <c r="T17" s="773"/>
      <c r="U17" s="774"/>
      <c r="V17" s="773"/>
      <c r="W17" s="774"/>
      <c r="X17" s="1808"/>
      <c r="Y17" s="3254"/>
      <c r="Z17" s="1809"/>
      <c r="AA17" s="1806">
        <v>1</v>
      </c>
      <c r="AB17" s="1806">
        <v>1</v>
      </c>
      <c r="AC17" s="1806">
        <v>1</v>
      </c>
    </row>
    <row r="18" spans="1:29" ht="15">
      <c r="A18" s="427"/>
      <c r="B18" s="1381" t="s">
        <v>2669</v>
      </c>
      <c r="C18" s="2598"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4"/>
      <c r="Q18" s="1805" t="str">
        <f>B18</f>
        <v>基础设施水平</v>
      </c>
      <c r="R18" s="773" t="s">
        <v>17</v>
      </c>
      <c r="S18" s="774">
        <f>F18</f>
        <v>100</v>
      </c>
      <c r="T18" s="773" t="s">
        <v>17</v>
      </c>
      <c r="U18" s="774">
        <f>H18</f>
        <v>100</v>
      </c>
      <c r="V18" s="773" t="s">
        <v>17</v>
      </c>
      <c r="W18" s="774">
        <f>J18</f>
        <v>100</v>
      </c>
      <c r="X18" s="1808"/>
      <c r="Y18" s="3254"/>
      <c r="Z18" s="1809" t="str">
        <f>Q18</f>
        <v>基础设施水平</v>
      </c>
      <c r="AA18" s="1806">
        <f t="shared" ref="AA18" si="8">D18/F18</f>
        <v>1</v>
      </c>
      <c r="AB18" s="1806">
        <f t="shared" ref="AB18" si="9">D18/H18</f>
        <v>1</v>
      </c>
      <c r="AC18" s="1806">
        <f t="shared" ref="AC18" si="10">D18/J18</f>
        <v>1</v>
      </c>
    </row>
    <row r="19" spans="1:29" ht="15">
      <c r="A19" s="427"/>
      <c r="B19" s="1381"/>
      <c r="C19" s="2599"/>
      <c r="D19" s="449"/>
      <c r="E19" s="2599"/>
      <c r="F19" s="452"/>
      <c r="G19" s="2599"/>
      <c r="H19" s="447"/>
      <c r="I19" s="446"/>
      <c r="J19" s="447"/>
      <c r="K19" s="1380"/>
      <c r="L19" s="1138"/>
      <c r="M19" s="1129"/>
      <c r="N19" s="1129"/>
      <c r="O19" s="1137"/>
      <c r="P19" s="3254"/>
      <c r="Q19" s="1805"/>
      <c r="R19" s="773"/>
      <c r="S19" s="774"/>
      <c r="T19" s="773"/>
      <c r="U19" s="774"/>
      <c r="V19" s="773"/>
      <c r="W19" s="774"/>
      <c r="X19" s="1808"/>
      <c r="Y19" s="3254"/>
      <c r="Z19" s="1809"/>
      <c r="AA19" s="1806">
        <v>1</v>
      </c>
      <c r="AB19" s="1806">
        <v>1</v>
      </c>
      <c r="AC19" s="1806">
        <v>1</v>
      </c>
    </row>
    <row r="20" spans="1:29" ht="15">
      <c r="A20" s="427"/>
      <c r="B20" s="450" t="s">
        <v>2690</v>
      </c>
      <c r="C20" s="2598"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4"/>
      <c r="Q20" s="1805" t="str">
        <f>B20</f>
        <v>自然及人文环境</v>
      </c>
      <c r="R20" s="773" t="s">
        <v>17</v>
      </c>
      <c r="S20" s="774">
        <f>F20</f>
        <v>100</v>
      </c>
      <c r="T20" s="773" t="s">
        <v>17</v>
      </c>
      <c r="U20" s="774">
        <f>H20</f>
        <v>100</v>
      </c>
      <c r="V20" s="773" t="s">
        <v>17</v>
      </c>
      <c r="W20" s="774">
        <f>J20</f>
        <v>100</v>
      </c>
      <c r="X20" s="1808"/>
      <c r="Y20" s="3254"/>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8"/>
      <c r="M21" s="1129"/>
      <c r="N21" s="1129"/>
      <c r="O21" s="1137"/>
      <c r="P21" s="3254"/>
      <c r="Q21" s="1805"/>
      <c r="R21" s="773"/>
      <c r="S21" s="774"/>
      <c r="T21" s="773"/>
      <c r="U21" s="774"/>
      <c r="V21" s="773"/>
      <c r="W21" s="774"/>
      <c r="X21" s="1808"/>
      <c r="Y21" s="3254"/>
      <c r="Z21" s="1809"/>
      <c r="AA21" s="1806">
        <v>1</v>
      </c>
      <c r="AB21" s="1806">
        <v>1</v>
      </c>
      <c r="AC21" s="1806">
        <v>1</v>
      </c>
    </row>
    <row r="22" spans="1:29" ht="1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4"/>
      <c r="Q22" s="1805" t="str">
        <f>B22</f>
        <v>楼层</v>
      </c>
      <c r="R22" s="773" t="s">
        <v>17</v>
      </c>
      <c r="S22" s="774">
        <f>F22</f>
        <v>100</v>
      </c>
      <c r="T22" s="773" t="s">
        <v>17</v>
      </c>
      <c r="U22" s="774">
        <f>H22</f>
        <v>100</v>
      </c>
      <c r="V22" s="773" t="s">
        <v>17</v>
      </c>
      <c r="W22" s="774">
        <f>J22</f>
        <v>100</v>
      </c>
      <c r="X22" s="1808"/>
      <c r="Y22" s="3254"/>
      <c r="Z22" s="1809" t="str">
        <f>Q22</f>
        <v>楼层</v>
      </c>
      <c r="AA22" s="1806">
        <f t="shared" si="3"/>
        <v>1</v>
      </c>
      <c r="AB22" s="1806">
        <f t="shared" si="4"/>
        <v>1</v>
      </c>
      <c r="AC22" s="1806">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4"/>
      <c r="Q23" s="1805">
        <f>B23</f>
        <v>111</v>
      </c>
      <c r="R23" s="773" t="s">
        <v>17</v>
      </c>
      <c r="S23" s="774">
        <f>F23</f>
        <v>100</v>
      </c>
      <c r="T23" s="773" t="s">
        <v>17</v>
      </c>
      <c r="U23" s="774">
        <f>H23</f>
        <v>100</v>
      </c>
      <c r="V23" s="773" t="s">
        <v>17</v>
      </c>
      <c r="W23" s="774">
        <f>J23</f>
        <v>100</v>
      </c>
      <c r="X23" s="1808"/>
      <c r="Y23" s="3254"/>
      <c r="Z23" s="1809">
        <f>Q23</f>
        <v>111</v>
      </c>
      <c r="AA23" s="1806">
        <f t="shared" si="3"/>
        <v>1</v>
      </c>
      <c r="AB23" s="1806">
        <f t="shared" si="4"/>
        <v>1</v>
      </c>
      <c r="AC23" s="1806">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4"/>
      <c r="Q24" s="1805">
        <f t="shared" ref="Q24:Q34" si="11">B24</f>
        <v>111</v>
      </c>
      <c r="R24" s="773" t="s">
        <v>17</v>
      </c>
      <c r="S24" s="774">
        <f>F24</f>
        <v>100</v>
      </c>
      <c r="T24" s="773" t="s">
        <v>17</v>
      </c>
      <c r="U24" s="774">
        <f>H24</f>
        <v>100</v>
      </c>
      <c r="V24" s="773" t="s">
        <v>17</v>
      </c>
      <c r="W24" s="774">
        <f>J24</f>
        <v>100</v>
      </c>
      <c r="X24" s="1808"/>
      <c r="Y24" s="3254"/>
      <c r="Z24" s="1809">
        <f>Q24</f>
        <v>111</v>
      </c>
      <c r="AA24" s="1806">
        <f t="shared" si="3"/>
        <v>1</v>
      </c>
      <c r="AB24" s="1806">
        <f t="shared" si="4"/>
        <v>1</v>
      </c>
      <c r="AC24" s="1806">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54"/>
      <c r="Q25" s="1790">
        <f t="shared" si="11"/>
        <v>111</v>
      </c>
      <c r="R25" s="769" t="s">
        <v>17</v>
      </c>
      <c r="S25" s="770">
        <f>F25</f>
        <v>100</v>
      </c>
      <c r="T25" s="769" t="s">
        <v>17</v>
      </c>
      <c r="U25" s="770">
        <f>H25</f>
        <v>100</v>
      </c>
      <c r="V25" s="769" t="s">
        <v>17</v>
      </c>
      <c r="W25" s="770">
        <f>J25</f>
        <v>100</v>
      </c>
      <c r="X25" s="771"/>
      <c r="Y25" s="3254"/>
      <c r="Z25" s="55">
        <f>Q25</f>
        <v>111</v>
      </c>
      <c r="AA25" s="1806">
        <f>D25/F25</f>
        <v>1</v>
      </c>
      <c r="AB25" s="1806">
        <f>D25/H25</f>
        <v>1</v>
      </c>
      <c r="AC25" s="1806">
        <f>D25/J25</f>
        <v>1</v>
      </c>
    </row>
    <row r="26" spans="1:29" ht="28.5">
      <c r="A26" s="465" t="s">
        <v>2543</v>
      </c>
      <c r="B26" s="71" t="s">
        <v>2694</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55" t="s">
        <v>2545</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56" t="s">
        <v>2545</v>
      </c>
      <c r="Z26" s="1809" t="str">
        <f t="shared" ref="Z26:Z34" si="15">Q26</f>
        <v>公共部分装修</v>
      </c>
      <c r="AA26" s="1806">
        <f t="shared" si="3"/>
        <v>1</v>
      </c>
      <c r="AB26" s="1806">
        <f t="shared" si="4"/>
        <v>1</v>
      </c>
      <c r="AC26" s="1806">
        <f t="shared" si="5"/>
        <v>1</v>
      </c>
    </row>
    <row r="27" spans="1:29" s="470" customFormat="1" ht="1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56"/>
      <c r="Q27" s="775" t="str">
        <f t="shared" si="11"/>
        <v>成新率</v>
      </c>
      <c r="R27" s="776" t="s">
        <v>17</v>
      </c>
      <c r="S27" s="777" t="e">
        <f t="shared" si="12"/>
        <v>#N/A</v>
      </c>
      <c r="T27" s="776" t="s">
        <v>17</v>
      </c>
      <c r="U27" s="777" t="e">
        <f t="shared" si="13"/>
        <v>#N/A</v>
      </c>
      <c r="V27" s="776" t="s">
        <v>17</v>
      </c>
      <c r="W27" s="777" t="e">
        <f t="shared" si="14"/>
        <v>#N/A</v>
      </c>
      <c r="X27" s="778"/>
      <c r="Y27" s="3256"/>
      <c r="Z27" s="779" t="str">
        <f t="shared" si="15"/>
        <v>成新率</v>
      </c>
      <c r="AA27" s="1806" t="e">
        <f t="shared" si="3"/>
        <v>#N/A</v>
      </c>
      <c r="AB27" s="1806" t="e">
        <f t="shared" si="4"/>
        <v>#N/A</v>
      </c>
      <c r="AC27" s="1806" t="e">
        <f t="shared" si="5"/>
        <v>#N/A</v>
      </c>
    </row>
    <row r="28" spans="1:29" ht="1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56"/>
      <c r="Q28" s="1805" t="str">
        <f t="shared" si="11"/>
        <v>物业等级</v>
      </c>
      <c r="R28" s="773" t="s">
        <v>17</v>
      </c>
      <c r="S28" s="774">
        <f t="shared" si="12"/>
        <v>100</v>
      </c>
      <c r="T28" s="773" t="s">
        <v>17</v>
      </c>
      <c r="U28" s="774">
        <f t="shared" si="13"/>
        <v>100</v>
      </c>
      <c r="V28" s="773" t="s">
        <v>17</v>
      </c>
      <c r="W28" s="774">
        <f t="shared" si="14"/>
        <v>100</v>
      </c>
      <c r="X28" s="1808"/>
      <c r="Y28" s="3256"/>
      <c r="Z28" s="1809" t="str">
        <f t="shared" si="15"/>
        <v>物业等级</v>
      </c>
      <c r="AA28" s="1806">
        <f t="shared" si="3"/>
        <v>1</v>
      </c>
      <c r="AB28" s="1806">
        <f t="shared" si="4"/>
        <v>1</v>
      </c>
      <c r="AC28" s="1806">
        <f t="shared" si="5"/>
        <v>1</v>
      </c>
    </row>
    <row r="29" spans="1:29" ht="1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56"/>
      <c r="Q29" s="1805" t="str">
        <f t="shared" si="11"/>
        <v>有无电梯</v>
      </c>
      <c r="R29" s="773" t="s">
        <v>17</v>
      </c>
      <c r="S29" s="774">
        <f t="shared" si="12"/>
        <v>100</v>
      </c>
      <c r="T29" s="773" t="s">
        <v>17</v>
      </c>
      <c r="U29" s="774">
        <f t="shared" si="13"/>
        <v>100</v>
      </c>
      <c r="V29" s="773" t="s">
        <v>17</v>
      </c>
      <c r="W29" s="774">
        <f t="shared" si="14"/>
        <v>100</v>
      </c>
      <c r="X29" s="1808"/>
      <c r="Y29" s="3256"/>
      <c r="Z29" s="1809" t="str">
        <f t="shared" si="15"/>
        <v>有无电梯</v>
      </c>
      <c r="AA29" s="1806">
        <f t="shared" si="3"/>
        <v>1</v>
      </c>
      <c r="AB29" s="1806">
        <f t="shared" si="4"/>
        <v>1</v>
      </c>
      <c r="AC29" s="1806">
        <f t="shared" si="5"/>
        <v>1</v>
      </c>
    </row>
    <row r="30" spans="1:29" ht="1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56"/>
      <c r="Q30" s="1805" t="str">
        <f t="shared" si="11"/>
        <v>建筑面积</v>
      </c>
      <c r="R30" s="773" t="s">
        <v>17</v>
      </c>
      <c r="S30" s="774" t="e">
        <f t="shared" si="12"/>
        <v>#N/A</v>
      </c>
      <c r="T30" s="773" t="s">
        <v>17</v>
      </c>
      <c r="U30" s="774" t="e">
        <f t="shared" si="13"/>
        <v>#N/A</v>
      </c>
      <c r="V30" s="773" t="s">
        <v>17</v>
      </c>
      <c r="W30" s="774" t="e">
        <f t="shared" si="14"/>
        <v>#N/A</v>
      </c>
      <c r="X30" s="1808"/>
      <c r="Y30" s="3256"/>
      <c r="Z30" s="1809" t="str">
        <f t="shared" si="15"/>
        <v>建筑面积</v>
      </c>
      <c r="AA30" s="1806" t="e">
        <f t="shared" si="3"/>
        <v>#N/A</v>
      </c>
      <c r="AB30" s="1806" t="e">
        <f t="shared" si="4"/>
        <v>#N/A</v>
      </c>
      <c r="AC30" s="1806" t="e">
        <f t="shared" si="5"/>
        <v>#N/A</v>
      </c>
    </row>
    <row r="31" spans="1:29" s="116" customFormat="1" ht="1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56"/>
      <c r="Q31" s="1790" t="str">
        <f t="shared" si="11"/>
        <v>是否封闭</v>
      </c>
      <c r="R31" s="769" t="s">
        <v>17</v>
      </c>
      <c r="S31" s="770">
        <f t="shared" si="12"/>
        <v>100</v>
      </c>
      <c r="T31" s="769" t="s">
        <v>17</v>
      </c>
      <c r="U31" s="770">
        <f t="shared" si="13"/>
        <v>100</v>
      </c>
      <c r="V31" s="769" t="s">
        <v>17</v>
      </c>
      <c r="W31" s="770">
        <f t="shared" si="14"/>
        <v>100</v>
      </c>
      <c r="X31" s="771"/>
      <c r="Y31" s="3256"/>
      <c r="Z31" s="55"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56" t="s">
        <v>2545</v>
      </c>
      <c r="Q32" s="1805">
        <f t="shared" si="11"/>
        <v>111</v>
      </c>
      <c r="R32" s="773" t="s">
        <v>17</v>
      </c>
      <c r="S32" s="774">
        <f t="shared" si="12"/>
        <v>100</v>
      </c>
      <c r="T32" s="773" t="s">
        <v>17</v>
      </c>
      <c r="U32" s="774">
        <f t="shared" si="13"/>
        <v>100</v>
      </c>
      <c r="V32" s="773" t="s">
        <v>17</v>
      </c>
      <c r="W32" s="774">
        <f t="shared" si="14"/>
        <v>100</v>
      </c>
      <c r="X32" s="1808"/>
      <c r="Y32" s="3256" t="s">
        <v>2545</v>
      </c>
      <c r="Z32" s="1809">
        <f t="shared" si="15"/>
        <v>111</v>
      </c>
      <c r="AA32" s="1806">
        <f t="shared" si="3"/>
        <v>1</v>
      </c>
      <c r="AB32" s="1806">
        <f t="shared" si="4"/>
        <v>1</v>
      </c>
      <c r="AC32" s="1806">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56"/>
      <c r="Q33" s="1805">
        <f t="shared" si="11"/>
        <v>111</v>
      </c>
      <c r="R33" s="773" t="s">
        <v>17</v>
      </c>
      <c r="S33" s="774">
        <f t="shared" si="12"/>
        <v>100</v>
      </c>
      <c r="T33" s="773" t="s">
        <v>17</v>
      </c>
      <c r="U33" s="774">
        <f t="shared" si="13"/>
        <v>100</v>
      </c>
      <c r="V33" s="773" t="s">
        <v>17</v>
      </c>
      <c r="W33" s="774">
        <f t="shared" si="14"/>
        <v>100</v>
      </c>
      <c r="X33" s="1808"/>
      <c r="Y33" s="3256"/>
      <c r="Z33" s="1809">
        <f t="shared" si="15"/>
        <v>111</v>
      </c>
      <c r="AA33" s="1806">
        <f t="shared" si="3"/>
        <v>1</v>
      </c>
      <c r="AB33" s="1806">
        <f t="shared" si="4"/>
        <v>1</v>
      </c>
      <c r="AC33" s="1806">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56"/>
      <c r="Q34" s="1805">
        <f t="shared" si="11"/>
        <v>111</v>
      </c>
      <c r="R34" s="773" t="s">
        <v>17</v>
      </c>
      <c r="S34" s="774">
        <f t="shared" si="12"/>
        <v>100</v>
      </c>
      <c r="T34" s="773" t="s">
        <v>17</v>
      </c>
      <c r="U34" s="774">
        <f t="shared" si="13"/>
        <v>100</v>
      </c>
      <c r="V34" s="773" t="s">
        <v>17</v>
      </c>
      <c r="W34" s="774">
        <f t="shared" si="14"/>
        <v>100</v>
      </c>
      <c r="X34" s="1808"/>
      <c r="Y34" s="3256"/>
      <c r="Z34" s="1809">
        <f t="shared" si="15"/>
        <v>111</v>
      </c>
      <c r="AA34" s="1806">
        <f t="shared" si="3"/>
        <v>1</v>
      </c>
      <c r="AB34" s="1806">
        <f t="shared" si="4"/>
        <v>1</v>
      </c>
      <c r="AC34" s="1806">
        <f t="shared" si="5"/>
        <v>1</v>
      </c>
    </row>
    <row r="35" spans="1:29" ht="15">
      <c r="A35" s="478" t="s">
        <v>2557</v>
      </c>
      <c r="B35" s="479"/>
      <c r="C35" s="1403" t="s">
        <v>1</v>
      </c>
      <c r="D35" s="1404"/>
      <c r="E35" s="1405"/>
      <c r="F35" s="1406"/>
      <c r="G35" s="1407"/>
      <c r="H35" s="1408"/>
      <c r="I35" s="1405"/>
      <c r="J35" s="1408"/>
      <c r="K35" s="782"/>
      <c r="L35" s="1141"/>
      <c r="M35" s="1142"/>
      <c r="N35" s="1129"/>
      <c r="O35" s="1142"/>
      <c r="P35" s="3238" t="str">
        <f>A35</f>
        <v>成交单价（元/平方米）</v>
      </c>
      <c r="Q35" s="3238"/>
      <c r="R35" s="3297">
        <f>E35</f>
        <v>0</v>
      </c>
      <c r="S35" s="3297"/>
      <c r="T35" s="3297">
        <f>G35</f>
        <v>0</v>
      </c>
      <c r="U35" s="3297"/>
      <c r="V35" s="3297">
        <f>I35</f>
        <v>0</v>
      </c>
      <c r="W35" s="3297"/>
      <c r="X35" s="758"/>
      <c r="Y35" s="780"/>
      <c r="Z35" s="758"/>
      <c r="AA35" s="758"/>
      <c r="AB35" s="758"/>
      <c r="AC35" s="758"/>
    </row>
    <row r="36" spans="1:29" ht="15.75" thickBot="1">
      <c r="A36" s="485" t="s">
        <v>2649</v>
      </c>
      <c r="B36" s="486"/>
      <c r="C36" s="1409" t="e">
        <f>R37</f>
        <v>#DIV/0!</v>
      </c>
      <c r="D36" s="1410"/>
      <c r="E36" s="1411" t="e">
        <f>R36</f>
        <v>#DIV/0!</v>
      </c>
      <c r="F36" s="1411"/>
      <c r="G36" s="1409" t="e">
        <f>T36</f>
        <v>#DIV/0!</v>
      </c>
      <c r="H36" s="1410"/>
      <c r="I36" s="1411" t="e">
        <f>V36</f>
        <v>#DIV/0!</v>
      </c>
      <c r="J36" s="1410"/>
      <c r="K36" s="783"/>
      <c r="L36" s="1141"/>
      <c r="M36" s="1142"/>
      <c r="N36" s="1129"/>
      <c r="O36" s="1142"/>
      <c r="P36" s="3238" t="str">
        <f>A36</f>
        <v>比较价值（元/平方米）</v>
      </c>
      <c r="Q36" s="3238"/>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8"/>
      <c r="Y36" s="758"/>
      <c r="Z36" s="758"/>
      <c r="AA36" s="758"/>
      <c r="AB36" s="758"/>
      <c r="AC36" s="758"/>
    </row>
    <row r="37" spans="1:29" ht="15.75" thickBot="1">
      <c r="A37" s="491" t="s">
        <v>2650</v>
      </c>
      <c r="B37" s="492"/>
      <c r="C37" s="1413" t="e">
        <f>R37</f>
        <v>#DIV/0!</v>
      </c>
      <c r="D37" s="1413"/>
      <c r="E37" s="1413"/>
      <c r="F37" s="1413"/>
      <c r="G37" s="1413"/>
      <c r="H37" s="1413"/>
      <c r="I37" s="1413"/>
      <c r="J37" s="1413"/>
      <c r="K37" s="784"/>
      <c r="L37" s="1141"/>
      <c r="M37" s="1142"/>
      <c r="N37" s="1142"/>
      <c r="O37" s="1142"/>
      <c r="P37" s="3258" t="str">
        <f>A37</f>
        <v>估价对象XX用房的比较价值（楼面单价，元/平方米）</v>
      </c>
      <c r="Q37" s="3259"/>
      <c r="R37" s="3296" t="e">
        <f>IF(F1="售价",ROUND(AVERAGE(R36:V36),0),ROUND(AVERAGE(R36:V36),1))</f>
        <v>#DIV/0!</v>
      </c>
      <c r="S37" s="3296"/>
      <c r="T37" s="3296"/>
      <c r="U37" s="3296"/>
      <c r="V37" s="3296"/>
      <c r="W37" s="329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2654</v>
      </c>
      <c r="B45" s="758"/>
      <c r="C45" s="763"/>
      <c r="D45" s="763"/>
      <c r="E45" s="763"/>
      <c r="F45" s="764"/>
      <c r="G45" s="764"/>
      <c r="H45" s="763"/>
      <c r="I45" s="763"/>
      <c r="J45" s="763"/>
      <c r="K45" s="765"/>
      <c r="L45" s="766"/>
      <c r="M45" s="763"/>
      <c r="N45" s="763"/>
      <c r="O45" s="763"/>
      <c r="P45" s="502"/>
      <c r="Q45" s="503"/>
    </row>
    <row r="46" spans="1:29" s="507" customFormat="1" ht="15">
      <c r="A46" s="504" t="s">
        <v>2528</v>
      </c>
      <c r="B46" s="505"/>
      <c r="C46" s="1569" t="str">
        <f>YEAR(C7)&amp;"-"&amp;MONTH(C7)</f>
        <v>2021-4</v>
      </c>
      <c r="D46" s="1570">
        <f>EDATE(C46,-1)</f>
        <v>44256</v>
      </c>
      <c r="E46" s="1570">
        <f t="shared" ref="E46:O46" si="16">EDATE(D46,-1)</f>
        <v>44228</v>
      </c>
      <c r="F46" s="1570">
        <f t="shared" si="16"/>
        <v>44197</v>
      </c>
      <c r="G46" s="1570">
        <f t="shared" si="16"/>
        <v>44166</v>
      </c>
      <c r="H46" s="1570">
        <f t="shared" si="16"/>
        <v>44136</v>
      </c>
      <c r="I46" s="1570">
        <f t="shared" si="16"/>
        <v>44105</v>
      </c>
      <c r="J46" s="1570">
        <f t="shared" si="16"/>
        <v>44075</v>
      </c>
      <c r="K46" s="1570">
        <f t="shared" si="16"/>
        <v>44044</v>
      </c>
      <c r="L46" s="1570">
        <f t="shared" si="16"/>
        <v>44013</v>
      </c>
      <c r="M46" s="1570">
        <f t="shared" si="16"/>
        <v>43983</v>
      </c>
      <c r="N46" s="1570">
        <f t="shared" si="16"/>
        <v>43952</v>
      </c>
      <c r="O46" s="1570">
        <f t="shared" si="16"/>
        <v>43922</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2565</v>
      </c>
      <c r="B48" s="515"/>
      <c r="C48" s="516"/>
      <c r="D48" s="517"/>
      <c r="E48" s="517"/>
      <c r="F48" s="517"/>
      <c r="G48" s="517"/>
      <c r="H48" s="517"/>
      <c r="I48" s="517"/>
      <c r="J48" s="517"/>
      <c r="K48" s="517"/>
      <c r="L48" s="517"/>
      <c r="M48" s="518"/>
      <c r="N48" s="517"/>
      <c r="O48" s="519"/>
      <c r="P48" s="503"/>
      <c r="Q48" s="503"/>
    </row>
    <row r="49" spans="1:17" s="116" customFormat="1" ht="15">
      <c r="A49" s="520" t="s">
        <v>2530</v>
      </c>
      <c r="B49" s="509"/>
      <c r="C49" s="521" t="s">
        <v>2632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2669</v>
      </c>
      <c r="C65" s="659" t="s">
        <v>2655</v>
      </c>
      <c r="D65" s="659" t="s">
        <v>2656</v>
      </c>
      <c r="E65" s="659" t="s">
        <v>2657</v>
      </c>
      <c r="F65" s="659" t="s">
        <v>2658</v>
      </c>
      <c r="G65" s="659" t="s">
        <v>2659</v>
      </c>
      <c r="H65" s="538"/>
      <c r="I65" s="538"/>
      <c r="J65" s="538"/>
      <c r="K65" s="538"/>
      <c r="L65" s="538"/>
      <c r="M65" s="1379"/>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2709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2543</v>
      </c>
      <c r="B77" s="527" t="s">
        <v>2596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2713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2721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2723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8"/>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9" t="s">
        <v>2626</v>
      </c>
      <c r="D4" s="3240"/>
      <c r="E4" s="3241" t="s">
        <v>2627</v>
      </c>
      <c r="F4" s="3242"/>
      <c r="G4" s="3239" t="s">
        <v>2628</v>
      </c>
      <c r="H4" s="3240"/>
      <c r="I4" s="3239" t="s">
        <v>2629</v>
      </c>
      <c r="J4" s="3240"/>
      <c r="K4" s="609" t="s">
        <v>2630</v>
      </c>
      <c r="L4" s="1128"/>
      <c r="M4" s="1129"/>
      <c r="N4" s="1129"/>
      <c r="O4" s="1129"/>
      <c r="P4" s="3243" t="s">
        <v>2631</v>
      </c>
      <c r="Q4" s="3244"/>
      <c r="R4" s="3226" t="s">
        <v>2627</v>
      </c>
      <c r="S4" s="3227"/>
      <c r="T4" s="3226" t="s">
        <v>2628</v>
      </c>
      <c r="U4" s="3227"/>
      <c r="V4" s="3251" t="s">
        <v>2629</v>
      </c>
      <c r="W4" s="3251"/>
      <c r="X4" s="1808"/>
      <c r="Y4" s="3226" t="s">
        <v>2631</v>
      </c>
      <c r="Z4" s="3227"/>
      <c r="AA4" s="3221" t="s">
        <v>2627</v>
      </c>
      <c r="AB4" s="3222" t="s">
        <v>2628</v>
      </c>
      <c r="AC4" s="3221" t="s">
        <v>2629</v>
      </c>
    </row>
    <row r="5" spans="1:29" ht="15">
      <c r="A5" s="403"/>
      <c r="B5" s="404"/>
      <c r="C5" s="3232" t="s">
        <v>2522</v>
      </c>
      <c r="D5" s="3233"/>
      <c r="E5" s="3230" t="s">
        <v>2523</v>
      </c>
      <c r="F5" s="3231"/>
      <c r="G5" s="3232" t="s">
        <v>2524</v>
      </c>
      <c r="H5" s="3233"/>
      <c r="I5" s="3232" t="s">
        <v>2525</v>
      </c>
      <c r="J5" s="3233"/>
      <c r="K5" s="609"/>
      <c r="L5" s="1128"/>
      <c r="M5" s="1129"/>
      <c r="N5" s="1129"/>
      <c r="O5" s="1129"/>
      <c r="P5" s="3245"/>
      <c r="Q5" s="3246"/>
      <c r="R5" s="3228"/>
      <c r="S5" s="3229"/>
      <c r="T5" s="3228"/>
      <c r="U5" s="3229"/>
      <c r="V5" s="3251"/>
      <c r="W5" s="3251"/>
      <c r="X5" s="1808"/>
      <c r="Y5" s="3228"/>
      <c r="Z5" s="3229"/>
      <c r="AA5" s="3222"/>
      <c r="AB5" s="3222"/>
      <c r="AC5" s="3222"/>
    </row>
    <row r="6" spans="1:29" ht="15.75" thickBot="1">
      <c r="A6" s="405"/>
      <c r="B6" s="406"/>
      <c r="C6" s="3319" t="s">
        <v>2777</v>
      </c>
      <c r="D6" s="3320"/>
      <c r="E6" s="3321" t="s">
        <v>2777</v>
      </c>
      <c r="F6" s="3322"/>
      <c r="G6" s="3319" t="s">
        <v>2777</v>
      </c>
      <c r="H6" s="3320"/>
      <c r="I6" s="3319" t="s">
        <v>2777</v>
      </c>
      <c r="J6" s="3320"/>
      <c r="K6" s="609" t="s">
        <v>2527</v>
      </c>
      <c r="L6" s="1128"/>
      <c r="M6" s="1129"/>
      <c r="N6" s="1129"/>
      <c r="O6" s="1129"/>
      <c r="P6" s="3247"/>
      <c r="Q6" s="3248"/>
      <c r="R6" s="3228"/>
      <c r="S6" s="3229"/>
      <c r="T6" s="3249"/>
      <c r="U6" s="3250"/>
      <c r="V6" s="3251"/>
      <c r="W6" s="3251"/>
      <c r="X6" s="1808"/>
      <c r="Y6" s="3249"/>
      <c r="Z6" s="3250"/>
      <c r="AA6" s="3223"/>
      <c r="AB6" s="3223"/>
      <c r="AC6" s="3223"/>
    </row>
    <row r="7" spans="1:29" s="116" customFormat="1" ht="15.75" thickBot="1">
      <c r="A7" s="407" t="s">
        <v>2528</v>
      </c>
      <c r="B7" s="408"/>
      <c r="C7" s="409">
        <f>'数据-取费表'!B2</f>
        <v>44312</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224" t="s">
        <v>2529</v>
      </c>
      <c r="Q7" s="3252"/>
      <c r="R7" s="769" t="s">
        <v>17</v>
      </c>
      <c r="S7" s="770">
        <f t="shared" ref="S7:S15" si="0">F7</f>
        <v>0</v>
      </c>
      <c r="T7" s="769" t="s">
        <v>17</v>
      </c>
      <c r="U7" s="770">
        <f t="shared" ref="U7:U15" si="1">H7</f>
        <v>0</v>
      </c>
      <c r="V7" s="769" t="s">
        <v>17</v>
      </c>
      <c r="W7" s="770">
        <f t="shared" ref="W7:W15" si="2">J7</f>
        <v>0</v>
      </c>
      <c r="X7" s="771"/>
      <c r="Y7" s="3224" t="s">
        <v>2529</v>
      </c>
      <c r="Z7" s="3225"/>
      <c r="AA7" s="772" t="e">
        <f>D7/F7</f>
        <v>#DIV/0!</v>
      </c>
      <c r="AB7" s="772" t="e">
        <f>D7/H7</f>
        <v>#DIV/0!</v>
      </c>
      <c r="AC7" s="772" t="e">
        <f>D7/J7</f>
        <v>#DIV/0!</v>
      </c>
    </row>
    <row r="8" spans="1:29" s="116" customFormat="1" ht="15.7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4" t="s">
        <v>2532</v>
      </c>
      <c r="Q8" s="3225"/>
      <c r="R8" s="769" t="s">
        <v>17</v>
      </c>
      <c r="S8" s="770">
        <f t="shared" si="0"/>
        <v>0</v>
      </c>
      <c r="T8" s="769" t="s">
        <v>17</v>
      </c>
      <c r="U8" s="770">
        <f t="shared" si="1"/>
        <v>0</v>
      </c>
      <c r="V8" s="769" t="s">
        <v>17</v>
      </c>
      <c r="W8" s="770">
        <f t="shared" si="2"/>
        <v>0</v>
      </c>
      <c r="X8" s="771"/>
      <c r="Y8" s="3224" t="s">
        <v>2532</v>
      </c>
      <c r="Z8" s="3225"/>
      <c r="AA8" s="772" t="e">
        <f t="shared" ref="AA8:AA40" si="3">D8/F8</f>
        <v>#DIV/0!</v>
      </c>
      <c r="AB8" s="772" t="e">
        <f t="shared" ref="AB8:AB40" si="4">D8/H8</f>
        <v>#DIV/0!</v>
      </c>
      <c r="AC8" s="772" t="e">
        <f t="shared" ref="AC8:AC40" si="5">D8/J8</f>
        <v>#DIV/0!</v>
      </c>
    </row>
    <row r="9" spans="1:29" s="116" customFormat="1">
      <c r="A9" s="414" t="s">
        <v>2533</v>
      </c>
      <c r="B9" s="71" t="s">
        <v>2534</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38" t="s">
        <v>2535</v>
      </c>
      <c r="Q9" s="1790" t="str">
        <f t="shared" ref="Q9:Q15" si="6">B9</f>
        <v>用途</v>
      </c>
      <c r="R9" s="769" t="s">
        <v>17</v>
      </c>
      <c r="S9" s="770">
        <f t="shared" si="0"/>
        <v>100</v>
      </c>
      <c r="T9" s="769" t="s">
        <v>17</v>
      </c>
      <c r="U9" s="770">
        <f t="shared" si="1"/>
        <v>100</v>
      </c>
      <c r="V9" s="769" t="s">
        <v>17</v>
      </c>
      <c r="W9" s="770">
        <f t="shared" si="2"/>
        <v>100</v>
      </c>
      <c r="X9" s="771"/>
      <c r="Y9" s="3081" t="s">
        <v>2536</v>
      </c>
      <c r="Z9" s="55" t="str">
        <f t="shared" ref="Z9:Z15" si="7">Q9</f>
        <v>用途</v>
      </c>
      <c r="AA9" s="772">
        <f t="shared" si="3"/>
        <v>1</v>
      </c>
      <c r="AB9" s="772">
        <f t="shared" si="4"/>
        <v>1</v>
      </c>
      <c r="AC9" s="772">
        <f t="shared" si="5"/>
        <v>1</v>
      </c>
    </row>
    <row r="10" spans="1:29" s="426" customFormat="1" ht="27">
      <c r="A10" s="420"/>
      <c r="B10" s="421" t="s">
        <v>2537</v>
      </c>
      <c r="C10" s="431"/>
      <c r="D10" s="135">
        <v>100</v>
      </c>
      <c r="E10" s="431"/>
      <c r="F10" s="135">
        <f>ROUND(100/'数据-取费表'!G16,0)</f>
        <v>132</v>
      </c>
      <c r="G10" s="431"/>
      <c r="H10" s="135">
        <f>ROUND(100/'数据-取费表'!G16,0)</f>
        <v>132</v>
      </c>
      <c r="I10" s="431"/>
      <c r="J10" s="135">
        <f>ROUND(100/'数据-取费表'!G16,0)</f>
        <v>132</v>
      </c>
      <c r="K10" s="671"/>
      <c r="L10" s="1133"/>
      <c r="M10" s="1134"/>
      <c r="N10" s="1134"/>
      <c r="O10" s="1135"/>
      <c r="P10" s="3238"/>
      <c r="Q10" s="1790" t="str">
        <f t="shared" si="6"/>
        <v>土地使用年限（年）</v>
      </c>
      <c r="R10" s="769" t="s">
        <v>17</v>
      </c>
      <c r="S10" s="770">
        <f t="shared" si="0"/>
        <v>132</v>
      </c>
      <c r="T10" s="769" t="s">
        <v>17</v>
      </c>
      <c r="U10" s="770">
        <f t="shared" si="1"/>
        <v>132</v>
      </c>
      <c r="V10" s="769" t="s">
        <v>17</v>
      </c>
      <c r="W10" s="770">
        <f t="shared" si="2"/>
        <v>132</v>
      </c>
      <c r="X10" s="771"/>
      <c r="Y10" s="3081"/>
      <c r="Z10" s="55" t="str">
        <f t="shared" si="7"/>
        <v>土地使用年限（年）</v>
      </c>
      <c r="AA10" s="772">
        <f t="shared" si="3"/>
        <v>0.75757575757575757</v>
      </c>
      <c r="AB10" s="772">
        <f t="shared" si="4"/>
        <v>0.75757575757575757</v>
      </c>
      <c r="AC10" s="772">
        <f t="shared" si="5"/>
        <v>0.75757575757575757</v>
      </c>
    </row>
    <row r="11" spans="1:29" ht="1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8"/>
      <c r="Q11" s="1790"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8"/>
      <c r="Q12" s="1790">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8"/>
      <c r="Q13" s="1790">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8"/>
      <c r="Q14" s="1790">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57">
      <c r="A15" s="439" t="s">
        <v>2539</v>
      </c>
      <c r="B15" s="628" t="s">
        <v>2778</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3" t="s">
        <v>2540</v>
      </c>
      <c r="Q15" s="1805" t="str">
        <f t="shared" si="6"/>
        <v>产业集聚程度</v>
      </c>
      <c r="R15" s="773" t="s">
        <v>17</v>
      </c>
      <c r="S15" s="774">
        <f t="shared" si="0"/>
        <v>100</v>
      </c>
      <c r="T15" s="773" t="s">
        <v>17</v>
      </c>
      <c r="U15" s="774">
        <f t="shared" si="1"/>
        <v>100</v>
      </c>
      <c r="V15" s="773" t="s">
        <v>17</v>
      </c>
      <c r="W15" s="774">
        <f t="shared" si="2"/>
        <v>100</v>
      </c>
      <c r="X15" s="1808"/>
      <c r="Y15" s="3253" t="s">
        <v>2540</v>
      </c>
      <c r="Z15" s="1809" t="str">
        <f t="shared" si="7"/>
        <v>产业集聚程度</v>
      </c>
      <c r="AA15" s="1806">
        <f t="shared" si="3"/>
        <v>1</v>
      </c>
      <c r="AB15" s="1806">
        <f t="shared" si="4"/>
        <v>1</v>
      </c>
      <c r="AC15" s="1806">
        <f t="shared" si="5"/>
        <v>1</v>
      </c>
    </row>
    <row r="16" spans="1:29" ht="15">
      <c r="A16" s="427"/>
      <c r="B16" s="629"/>
      <c r="C16" s="446"/>
      <c r="D16" s="447"/>
      <c r="E16" s="2602"/>
      <c r="F16" s="447"/>
      <c r="G16" s="2602"/>
      <c r="H16" s="449"/>
      <c r="I16" s="2602"/>
      <c r="J16" s="447"/>
      <c r="K16" s="671"/>
      <c r="L16" s="1138"/>
      <c r="M16" s="1129"/>
      <c r="N16" s="1129"/>
      <c r="O16" s="1137"/>
      <c r="P16" s="3254"/>
      <c r="Q16" s="1805"/>
      <c r="R16" s="773"/>
      <c r="S16" s="774"/>
      <c r="T16" s="773"/>
      <c r="U16" s="774"/>
      <c r="V16" s="773"/>
      <c r="W16" s="774"/>
      <c r="X16" s="1808"/>
      <c r="Y16" s="3254"/>
      <c r="Z16" s="1809"/>
      <c r="AA16" s="1806">
        <v>1</v>
      </c>
      <c r="AB16" s="1806">
        <v>1</v>
      </c>
      <c r="AC16" s="1806">
        <v>1</v>
      </c>
    </row>
    <row r="17" spans="1:29" ht="85.5">
      <c r="A17" s="427"/>
      <c r="B17" s="630" t="s">
        <v>2689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4"/>
      <c r="Q17" s="1805" t="str">
        <f>B17</f>
        <v>交通便捷度</v>
      </c>
      <c r="R17" s="773" t="s">
        <v>17</v>
      </c>
      <c r="S17" s="774">
        <f>F17</f>
        <v>100</v>
      </c>
      <c r="T17" s="773" t="s">
        <v>17</v>
      </c>
      <c r="U17" s="774">
        <f>H17</f>
        <v>100</v>
      </c>
      <c r="V17" s="773" t="s">
        <v>17</v>
      </c>
      <c r="W17" s="774">
        <f>J17</f>
        <v>100</v>
      </c>
      <c r="X17" s="1808"/>
      <c r="Y17" s="3254"/>
      <c r="Z17" s="1809" t="str">
        <f>Q17</f>
        <v>交通便捷度</v>
      </c>
      <c r="AA17" s="1806">
        <f t="shared" si="3"/>
        <v>1</v>
      </c>
      <c r="AB17" s="1806">
        <f t="shared" si="4"/>
        <v>1</v>
      </c>
      <c r="AC17" s="1806">
        <f t="shared" si="5"/>
        <v>1</v>
      </c>
    </row>
    <row r="18" spans="1:29" ht="15">
      <c r="A18" s="427"/>
      <c r="B18" s="631"/>
      <c r="C18" s="446"/>
      <c r="D18" s="447"/>
      <c r="E18" s="2596"/>
      <c r="F18" s="447"/>
      <c r="G18" s="2596"/>
      <c r="H18" s="447"/>
      <c r="I18" s="2595"/>
      <c r="J18" s="447"/>
      <c r="K18" s="671"/>
      <c r="L18" s="1138"/>
      <c r="M18" s="1129"/>
      <c r="N18" s="1129"/>
      <c r="O18" s="1137"/>
      <c r="P18" s="3254"/>
      <c r="Q18" s="1805"/>
      <c r="R18" s="773"/>
      <c r="S18" s="774"/>
      <c r="T18" s="773"/>
      <c r="U18" s="774"/>
      <c r="V18" s="773"/>
      <c r="W18" s="774"/>
      <c r="X18" s="1808"/>
      <c r="Y18" s="3254"/>
      <c r="Z18" s="1809"/>
      <c r="AA18" s="1806">
        <v>1</v>
      </c>
      <c r="AB18" s="1806">
        <v>1</v>
      </c>
      <c r="AC18" s="1806">
        <v>1</v>
      </c>
    </row>
    <row r="19" spans="1:29" ht="15">
      <c r="A19" s="427"/>
      <c r="B19" s="630" t="s">
        <v>2728</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4"/>
      <c r="Q19" s="1805" t="str">
        <f t="shared" ref="Q19:Q33" si="8">B19</f>
        <v>区域土地利用方向</v>
      </c>
      <c r="R19" s="773" t="s">
        <v>17</v>
      </c>
      <c r="S19" s="774">
        <f>F19</f>
        <v>100</v>
      </c>
      <c r="T19" s="773" t="s">
        <v>17</v>
      </c>
      <c r="U19" s="774">
        <f>H19</f>
        <v>100</v>
      </c>
      <c r="V19" s="773" t="s">
        <v>17</v>
      </c>
      <c r="W19" s="774">
        <f>J19</f>
        <v>100</v>
      </c>
      <c r="X19" s="1808"/>
      <c r="Y19" s="3254"/>
      <c r="Z19" s="1809" t="str">
        <f>Q19</f>
        <v>区域土地利用方向</v>
      </c>
      <c r="AA19" s="1806">
        <f t="shared" si="3"/>
        <v>1</v>
      </c>
      <c r="AB19" s="1806">
        <f t="shared" si="4"/>
        <v>1</v>
      </c>
      <c r="AC19" s="1806">
        <f t="shared" si="5"/>
        <v>1</v>
      </c>
    </row>
    <row r="20" spans="1:29" ht="15">
      <c r="A20" s="403"/>
      <c r="B20" s="631"/>
      <c r="C20" s="446"/>
      <c r="D20" s="447"/>
      <c r="E20" s="2596"/>
      <c r="F20" s="447"/>
      <c r="G20" s="2596"/>
      <c r="H20" s="447"/>
      <c r="I20" s="2596"/>
      <c r="J20" s="447"/>
      <c r="K20" s="808"/>
      <c r="L20" s="1138"/>
      <c r="M20" s="1129"/>
      <c r="N20" s="1129"/>
      <c r="O20" s="1137"/>
      <c r="P20" s="3254"/>
      <c r="Q20" s="1805"/>
      <c r="R20" s="773"/>
      <c r="S20" s="774"/>
      <c r="T20" s="773"/>
      <c r="U20" s="774"/>
      <c r="V20" s="773"/>
      <c r="W20" s="774"/>
      <c r="X20" s="1808"/>
      <c r="Y20" s="3254"/>
      <c r="Z20" s="1809"/>
      <c r="AA20" s="1806"/>
      <c r="AB20" s="1806"/>
      <c r="AC20" s="1806"/>
    </row>
    <row r="21" spans="1:29" ht="71.25">
      <c r="A21" s="403"/>
      <c r="B21" s="630" t="s">
        <v>2779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4"/>
      <c r="Q21" s="1805" t="str">
        <f t="shared" si="8"/>
        <v>环境状况</v>
      </c>
      <c r="R21" s="773" t="s">
        <v>17</v>
      </c>
      <c r="S21" s="774">
        <f>F21</f>
        <v>100</v>
      </c>
      <c r="T21" s="773" t="s">
        <v>17</v>
      </c>
      <c r="U21" s="774">
        <f>H21</f>
        <v>100</v>
      </c>
      <c r="V21" s="773" t="s">
        <v>17</v>
      </c>
      <c r="W21" s="774">
        <f>J21</f>
        <v>100</v>
      </c>
      <c r="X21" s="1808"/>
      <c r="Y21" s="3254"/>
      <c r="Z21" s="1809" t="str">
        <f>Q21</f>
        <v>环境状况</v>
      </c>
      <c r="AA21" s="1806">
        <f t="shared" si="3"/>
        <v>1</v>
      </c>
      <c r="AB21" s="1806">
        <f t="shared" si="4"/>
        <v>1</v>
      </c>
      <c r="AC21" s="1806">
        <f t="shared" si="5"/>
        <v>1</v>
      </c>
    </row>
    <row r="22" spans="1:29" ht="15">
      <c r="A22" s="403"/>
      <c r="B22" s="631"/>
      <c r="C22" s="446"/>
      <c r="D22" s="447"/>
      <c r="E22" s="2602"/>
      <c r="F22" s="447"/>
      <c r="G22" s="2602"/>
      <c r="H22" s="447"/>
      <c r="I22" s="446"/>
      <c r="J22" s="447"/>
      <c r="K22" s="671"/>
      <c r="L22" s="1138"/>
      <c r="M22" s="1129"/>
      <c r="N22" s="1129"/>
      <c r="O22" s="1137"/>
      <c r="P22" s="3254"/>
      <c r="Q22" s="1805"/>
      <c r="R22" s="773"/>
      <c r="S22" s="774"/>
      <c r="T22" s="773"/>
      <c r="U22" s="774"/>
      <c r="V22" s="773"/>
      <c r="W22" s="774"/>
      <c r="X22" s="1808"/>
      <c r="Y22" s="3254"/>
      <c r="Z22" s="1809"/>
      <c r="AA22" s="1806">
        <v>1</v>
      </c>
      <c r="AB22" s="1806">
        <v>1</v>
      </c>
      <c r="AC22" s="1806">
        <v>1</v>
      </c>
    </row>
    <row r="23" spans="1:29" s="116" customFormat="1" ht="42.75">
      <c r="A23" s="648"/>
      <c r="B23" s="632" t="s">
        <v>2634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4"/>
      <c r="Q23" s="1790" t="str">
        <f t="shared" si="8"/>
        <v>公共配套设施</v>
      </c>
      <c r="R23" s="769" t="s">
        <v>17</v>
      </c>
      <c r="S23" s="770">
        <f>F23</f>
        <v>100</v>
      </c>
      <c r="T23" s="769" t="s">
        <v>17</v>
      </c>
      <c r="U23" s="770">
        <f>H23</f>
        <v>100</v>
      </c>
      <c r="V23" s="769" t="s">
        <v>17</v>
      </c>
      <c r="W23" s="770">
        <f>J23</f>
        <v>100</v>
      </c>
      <c r="X23" s="771"/>
      <c r="Y23" s="3254"/>
      <c r="Z23" s="55" t="str">
        <f>Q23</f>
        <v>公共配套设施</v>
      </c>
      <c r="AA23" s="1806">
        <f>D23/F23</f>
        <v>1</v>
      </c>
      <c r="AB23" s="1806">
        <f>D23/H23</f>
        <v>1</v>
      </c>
      <c r="AC23" s="1806">
        <f>D23/J23</f>
        <v>1</v>
      </c>
    </row>
    <row r="24" spans="1:29" s="116" customFormat="1" ht="15">
      <c r="A24" s="648"/>
      <c r="B24" s="631"/>
      <c r="C24" s="2691"/>
      <c r="D24" s="447"/>
      <c r="E24" s="2602"/>
      <c r="F24" s="447"/>
      <c r="G24" s="2602"/>
      <c r="H24" s="447"/>
      <c r="I24" s="446"/>
      <c r="J24" s="447"/>
      <c r="K24" s="671"/>
      <c r="L24" s="1130"/>
      <c r="M24" s="1131"/>
      <c r="N24" s="1131"/>
      <c r="O24" s="1132"/>
      <c r="P24" s="3254"/>
      <c r="Q24" s="1790"/>
      <c r="R24" s="769"/>
      <c r="S24" s="770"/>
      <c r="T24" s="769"/>
      <c r="U24" s="770"/>
      <c r="V24" s="769"/>
      <c r="W24" s="770"/>
      <c r="X24" s="771"/>
      <c r="Y24" s="3254"/>
      <c r="Z24" s="55"/>
      <c r="AA24" s="772">
        <v>1</v>
      </c>
      <c r="AB24" s="772">
        <v>1</v>
      </c>
      <c r="AC24" s="772">
        <v>1</v>
      </c>
    </row>
    <row r="25" spans="1:29" s="116" customFormat="1" ht="28.5">
      <c r="A25" s="648"/>
      <c r="B25" s="632" t="s">
        <v>2635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4"/>
      <c r="Q25" s="1790"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6">
        <f>D25/F25</f>
        <v>1</v>
      </c>
      <c r="AB25" s="1806">
        <f>D25/H25</f>
        <v>1</v>
      </c>
      <c r="AC25" s="1806">
        <f>D25/J25</f>
        <v>1</v>
      </c>
    </row>
    <row r="26" spans="1:29" s="116" customFormat="1" ht="15">
      <c r="A26" s="648"/>
      <c r="B26" s="631"/>
      <c r="C26" s="2691"/>
      <c r="D26" s="447"/>
      <c r="E26" s="2692"/>
      <c r="F26" s="447"/>
      <c r="G26" s="2692"/>
      <c r="H26" s="447"/>
      <c r="I26" s="2692"/>
      <c r="J26" s="447"/>
      <c r="K26" s="671"/>
      <c r="L26" s="1130"/>
      <c r="M26" s="1131"/>
      <c r="N26" s="1131"/>
      <c r="O26" s="1132"/>
      <c r="P26" s="3254"/>
      <c r="Q26" s="1790"/>
      <c r="R26" s="769"/>
      <c r="S26" s="770"/>
      <c r="T26" s="769"/>
      <c r="U26" s="770"/>
      <c r="V26" s="769"/>
      <c r="W26" s="770"/>
      <c r="X26" s="771"/>
      <c r="Y26" s="3254"/>
      <c r="Z26" s="55"/>
      <c r="AA26" s="772">
        <v>1</v>
      </c>
      <c r="AB26" s="772">
        <v>1</v>
      </c>
      <c r="AC26" s="772">
        <v>1</v>
      </c>
    </row>
    <row r="27" spans="1:29" ht="1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4"/>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54"/>
      <c r="Z27" s="1809" t="str">
        <f t="shared" ref="Z27:Z40" si="13">Q27</f>
        <v>临街状况</v>
      </c>
      <c r="AA27" s="1806">
        <f t="shared" si="3"/>
        <v>1</v>
      </c>
      <c r="AB27" s="1806">
        <f t="shared" si="4"/>
        <v>1</v>
      </c>
      <c r="AC27" s="1806">
        <f t="shared" si="5"/>
        <v>1</v>
      </c>
    </row>
    <row r="28" spans="1:29" ht="27">
      <c r="A28" s="427"/>
      <c r="B28" s="632" t="s">
        <v>2671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4"/>
      <c r="Q28" s="1805" t="str">
        <f t="shared" si="8"/>
        <v>毗邻道路的类型与等级</v>
      </c>
      <c r="R28" s="773" t="s">
        <v>17</v>
      </c>
      <c r="S28" s="774">
        <f t="shared" si="10"/>
        <v>100</v>
      </c>
      <c r="T28" s="773" t="s">
        <v>17</v>
      </c>
      <c r="U28" s="774">
        <f t="shared" si="11"/>
        <v>100</v>
      </c>
      <c r="V28" s="773" t="s">
        <v>17</v>
      </c>
      <c r="W28" s="774">
        <f t="shared" si="12"/>
        <v>100</v>
      </c>
      <c r="X28" s="1808"/>
      <c r="Y28" s="3254"/>
      <c r="Z28" s="1809" t="str">
        <f t="shared" si="13"/>
        <v>毗邻道路的类型与等级</v>
      </c>
      <c r="AA28" s="1806">
        <f t="shared" si="3"/>
        <v>1</v>
      </c>
      <c r="AB28" s="1806">
        <f t="shared" si="4"/>
        <v>1</v>
      </c>
      <c r="AC28" s="1806">
        <f t="shared" si="5"/>
        <v>1</v>
      </c>
    </row>
    <row r="29" spans="1:29" ht="15">
      <c r="A29" s="427"/>
      <c r="B29" s="631"/>
      <c r="C29" s="446"/>
      <c r="D29" s="447"/>
      <c r="E29" s="2602"/>
      <c r="F29" s="447"/>
      <c r="G29" s="2602"/>
      <c r="H29" s="447"/>
      <c r="I29" s="2602"/>
      <c r="J29" s="447"/>
      <c r="K29" s="612"/>
      <c r="L29" s="1138"/>
      <c r="M29" s="1129"/>
      <c r="N29" s="1129"/>
      <c r="O29" s="1137"/>
      <c r="P29" s="3254"/>
      <c r="Q29" s="1805"/>
      <c r="R29" s="773"/>
      <c r="S29" s="774"/>
      <c r="T29" s="773"/>
      <c r="U29" s="774"/>
      <c r="V29" s="773"/>
      <c r="W29" s="774"/>
      <c r="X29" s="1808"/>
      <c r="Y29" s="3254"/>
      <c r="Z29" s="1809"/>
      <c r="AA29" s="1806">
        <v>1</v>
      </c>
      <c r="AB29" s="1806">
        <v>1</v>
      </c>
      <c r="AC29" s="1806">
        <v>1</v>
      </c>
    </row>
    <row r="30" spans="1:29" ht="15">
      <c r="A30" s="427"/>
      <c r="B30" s="653" t="s">
        <v>2730</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4"/>
      <c r="Q30" s="1805" t="str">
        <f t="shared" si="8"/>
        <v>土地级别</v>
      </c>
      <c r="R30" s="773" t="s">
        <v>17</v>
      </c>
      <c r="S30" s="774">
        <f t="shared" si="10"/>
        <v>100</v>
      </c>
      <c r="T30" s="773" t="s">
        <v>17</v>
      </c>
      <c r="U30" s="774">
        <f t="shared" si="11"/>
        <v>100</v>
      </c>
      <c r="V30" s="773" t="s">
        <v>17</v>
      </c>
      <c r="W30" s="774">
        <f t="shared" si="12"/>
        <v>100</v>
      </c>
      <c r="X30" s="1808"/>
      <c r="Y30" s="3254"/>
      <c r="Z30" s="1809" t="str">
        <f t="shared" si="13"/>
        <v>土地级别</v>
      </c>
      <c r="AA30" s="1806">
        <f t="shared" si="3"/>
        <v>1</v>
      </c>
      <c r="AB30" s="1806">
        <f t="shared" si="4"/>
        <v>1</v>
      </c>
      <c r="AC30" s="1806">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4"/>
      <c r="Q31" s="1805">
        <f t="shared" si="8"/>
        <v>111</v>
      </c>
      <c r="R31" s="773" t="s">
        <v>17</v>
      </c>
      <c r="S31" s="774">
        <f t="shared" si="10"/>
        <v>100</v>
      </c>
      <c r="T31" s="773" t="s">
        <v>17</v>
      </c>
      <c r="U31" s="774">
        <f t="shared" si="11"/>
        <v>100</v>
      </c>
      <c r="V31" s="773" t="s">
        <v>17</v>
      </c>
      <c r="W31" s="774">
        <f t="shared" si="12"/>
        <v>100</v>
      </c>
      <c r="X31" s="1808"/>
      <c r="Y31" s="3254"/>
      <c r="Z31" s="1809">
        <f t="shared" si="13"/>
        <v>111</v>
      </c>
      <c r="AA31" s="1806">
        <f t="shared" si="3"/>
        <v>1</v>
      </c>
      <c r="AB31" s="1806">
        <f t="shared" si="4"/>
        <v>1</v>
      </c>
      <c r="AC31" s="1806">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55" t="s">
        <v>2545</v>
      </c>
      <c r="Q32" s="1805">
        <f t="shared" si="8"/>
        <v>111</v>
      </c>
      <c r="R32" s="773" t="s">
        <v>17</v>
      </c>
      <c r="S32" s="774">
        <f t="shared" si="10"/>
        <v>100</v>
      </c>
      <c r="T32" s="773" t="s">
        <v>17</v>
      </c>
      <c r="U32" s="774">
        <f t="shared" si="11"/>
        <v>100</v>
      </c>
      <c r="V32" s="773" t="s">
        <v>17</v>
      </c>
      <c r="W32" s="774">
        <f t="shared" si="12"/>
        <v>100</v>
      </c>
      <c r="X32" s="1808"/>
      <c r="Y32" s="3256" t="s">
        <v>2545</v>
      </c>
      <c r="Z32" s="1809">
        <f t="shared" si="13"/>
        <v>111</v>
      </c>
      <c r="AA32" s="1806">
        <f t="shared" si="3"/>
        <v>1</v>
      </c>
      <c r="AB32" s="1806">
        <f t="shared" si="4"/>
        <v>1</v>
      </c>
      <c r="AC32" s="1806">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56"/>
      <c r="Q33" s="1805">
        <f t="shared" si="8"/>
        <v>111</v>
      </c>
      <c r="R33" s="776" t="s">
        <v>17</v>
      </c>
      <c r="S33" s="777">
        <f t="shared" si="10"/>
        <v>100</v>
      </c>
      <c r="T33" s="776" t="s">
        <v>17</v>
      </c>
      <c r="U33" s="777">
        <f t="shared" si="11"/>
        <v>100</v>
      </c>
      <c r="V33" s="776" t="s">
        <v>17</v>
      </c>
      <c r="W33" s="777">
        <f t="shared" si="12"/>
        <v>100</v>
      </c>
      <c r="X33" s="778"/>
      <c r="Y33" s="3256"/>
      <c r="Z33" s="779">
        <f t="shared" si="13"/>
        <v>111</v>
      </c>
      <c r="AA33" s="1806">
        <f t="shared" si="3"/>
        <v>1</v>
      </c>
      <c r="AB33" s="1806">
        <f t="shared" si="4"/>
        <v>1</v>
      </c>
      <c r="AC33" s="1806">
        <f t="shared" si="5"/>
        <v>1</v>
      </c>
    </row>
    <row r="34" spans="1:29" ht="1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56"/>
      <c r="Q34" s="1805" t="str">
        <f>B34</f>
        <v>宗地面积</v>
      </c>
      <c r="R34" s="773" t="s">
        <v>17</v>
      </c>
      <c r="S34" s="774" t="e">
        <f t="shared" si="10"/>
        <v>#N/A</v>
      </c>
      <c r="T34" s="773" t="s">
        <v>17</v>
      </c>
      <c r="U34" s="774" t="e">
        <f t="shared" si="11"/>
        <v>#N/A</v>
      </c>
      <c r="V34" s="773" t="s">
        <v>17</v>
      </c>
      <c r="W34" s="774" t="e">
        <f t="shared" si="12"/>
        <v>#N/A</v>
      </c>
      <c r="X34" s="1808"/>
      <c r="Y34" s="3256"/>
      <c r="Z34" s="1809" t="str">
        <f t="shared" si="13"/>
        <v>宗地面积</v>
      </c>
      <c r="AA34" s="1806" t="e">
        <f t="shared" si="3"/>
        <v>#N/A</v>
      </c>
      <c r="AB34" s="1806" t="e">
        <f t="shared" si="4"/>
        <v>#N/A</v>
      </c>
      <c r="AC34" s="1806" t="e">
        <f t="shared" si="5"/>
        <v>#N/A</v>
      </c>
    </row>
    <row r="35" spans="1:29" ht="15">
      <c r="A35" s="471"/>
      <c r="B35" s="421" t="s">
        <v>2732</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8"/>
      <c r="M35" s="1129"/>
      <c r="N35" s="1129"/>
      <c r="O35" s="1137"/>
      <c r="P35" s="3256"/>
      <c r="Q35" s="1805" t="str">
        <f t="shared" ref="Q35:Q40" si="14">B35</f>
        <v>宗地形状</v>
      </c>
      <c r="R35" s="773" t="s">
        <v>17</v>
      </c>
      <c r="S35" s="774">
        <f t="shared" si="10"/>
        <v>100</v>
      </c>
      <c r="T35" s="773" t="s">
        <v>17</v>
      </c>
      <c r="U35" s="774">
        <f t="shared" si="11"/>
        <v>100</v>
      </c>
      <c r="V35" s="773" t="s">
        <v>17</v>
      </c>
      <c r="W35" s="774">
        <f t="shared" si="12"/>
        <v>100</v>
      </c>
      <c r="X35" s="1808"/>
      <c r="Y35" s="3256"/>
      <c r="Z35" s="1809" t="str">
        <f t="shared" si="13"/>
        <v>宗地形状</v>
      </c>
      <c r="AA35" s="1806">
        <f t="shared" si="3"/>
        <v>1</v>
      </c>
      <c r="AB35" s="1806">
        <f t="shared" si="4"/>
        <v>1</v>
      </c>
      <c r="AC35" s="1806">
        <f t="shared" si="5"/>
        <v>1</v>
      </c>
    </row>
    <row r="36" spans="1:29" s="116" customFormat="1" ht="15">
      <c r="A36" s="472"/>
      <c r="B36" s="421" t="s">
        <v>2734</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56"/>
      <c r="Q36" s="1805" t="str">
        <f t="shared" si="14"/>
        <v>宗地开发程度</v>
      </c>
      <c r="R36" s="769" t="s">
        <v>17</v>
      </c>
      <c r="S36" s="770">
        <f t="shared" si="10"/>
        <v>100</v>
      </c>
      <c r="T36" s="769" t="s">
        <v>17</v>
      </c>
      <c r="U36" s="770">
        <f t="shared" si="11"/>
        <v>100</v>
      </c>
      <c r="V36" s="769" t="s">
        <v>17</v>
      </c>
      <c r="W36" s="770">
        <f t="shared" si="12"/>
        <v>100</v>
      </c>
      <c r="X36" s="771"/>
      <c r="Y36" s="3256"/>
      <c r="Z36" s="55" t="str">
        <f t="shared" si="13"/>
        <v>宗地开发程度</v>
      </c>
      <c r="AA36" s="772">
        <f t="shared" si="3"/>
        <v>1</v>
      </c>
      <c r="AB36" s="772">
        <f t="shared" si="4"/>
        <v>1</v>
      </c>
      <c r="AC36" s="772">
        <f t="shared" si="5"/>
        <v>1</v>
      </c>
    </row>
    <row r="37" spans="1:29" ht="15">
      <c r="A37" s="471"/>
      <c r="B37" s="421" t="s">
        <v>2735</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8"/>
      <c r="M37" s="1129"/>
      <c r="N37" s="1129"/>
      <c r="O37" s="1137"/>
      <c r="P37" s="3256" t="s">
        <v>2545</v>
      </c>
      <c r="Q37" s="1805" t="str">
        <f t="shared" si="14"/>
        <v>工程地质条件</v>
      </c>
      <c r="R37" s="773" t="s">
        <v>17</v>
      </c>
      <c r="S37" s="774">
        <f t="shared" si="10"/>
        <v>100</v>
      </c>
      <c r="T37" s="773" t="s">
        <v>17</v>
      </c>
      <c r="U37" s="774">
        <f t="shared" si="11"/>
        <v>100</v>
      </c>
      <c r="V37" s="773" t="s">
        <v>17</v>
      </c>
      <c r="W37" s="774">
        <f t="shared" si="12"/>
        <v>100</v>
      </c>
      <c r="X37" s="1808"/>
      <c r="Y37" s="3256" t="s">
        <v>2545</v>
      </c>
      <c r="Z37" s="1809" t="str">
        <f t="shared" si="13"/>
        <v>工程地质条件</v>
      </c>
      <c r="AA37" s="1806">
        <f t="shared" si="3"/>
        <v>1</v>
      </c>
      <c r="AB37" s="1806">
        <f t="shared" si="4"/>
        <v>1</v>
      </c>
      <c r="AC37" s="1806">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56"/>
      <c r="Q38" s="1805">
        <f t="shared" si="14"/>
        <v>111</v>
      </c>
      <c r="R38" s="773" t="s">
        <v>17</v>
      </c>
      <c r="S38" s="774">
        <f t="shared" si="10"/>
        <v>100</v>
      </c>
      <c r="T38" s="773" t="s">
        <v>17</v>
      </c>
      <c r="U38" s="774">
        <f t="shared" si="11"/>
        <v>100</v>
      </c>
      <c r="V38" s="773" t="s">
        <v>17</v>
      </c>
      <c r="W38" s="774">
        <f t="shared" si="12"/>
        <v>100</v>
      </c>
      <c r="X38" s="1808"/>
      <c r="Y38" s="3256"/>
      <c r="Z38" s="1809">
        <f t="shared" si="13"/>
        <v>111</v>
      </c>
      <c r="AA38" s="1806">
        <f t="shared" si="3"/>
        <v>1</v>
      </c>
      <c r="AB38" s="1806">
        <f t="shared" si="4"/>
        <v>1</v>
      </c>
      <c r="AC38" s="1806">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56"/>
      <c r="Q39" s="1805">
        <f t="shared" si="14"/>
        <v>111</v>
      </c>
      <c r="R39" s="773" t="s">
        <v>17</v>
      </c>
      <c r="S39" s="774">
        <f t="shared" si="10"/>
        <v>100</v>
      </c>
      <c r="T39" s="773" t="s">
        <v>17</v>
      </c>
      <c r="U39" s="774">
        <f t="shared" si="11"/>
        <v>100</v>
      </c>
      <c r="V39" s="773" t="s">
        <v>17</v>
      </c>
      <c r="W39" s="774">
        <f t="shared" si="12"/>
        <v>100</v>
      </c>
      <c r="X39" s="1808"/>
      <c r="Y39" s="3256"/>
      <c r="Z39" s="1809">
        <f t="shared" si="13"/>
        <v>111</v>
      </c>
      <c r="AA39" s="1806">
        <f t="shared" si="3"/>
        <v>1</v>
      </c>
      <c r="AB39" s="1806">
        <f t="shared" si="4"/>
        <v>1</v>
      </c>
      <c r="AC39" s="1806">
        <f t="shared" si="5"/>
        <v>1</v>
      </c>
    </row>
    <row r="40" spans="1:29" s="470" customFormat="1" ht="15.75" thickBot="1">
      <c r="A40" s="467"/>
      <c r="B40" s="1384">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56"/>
      <c r="Q40" s="1805">
        <f t="shared" si="14"/>
        <v>111</v>
      </c>
      <c r="R40" s="776" t="s">
        <v>17</v>
      </c>
      <c r="S40" s="777">
        <f t="shared" si="10"/>
        <v>100</v>
      </c>
      <c r="T40" s="776" t="s">
        <v>17</v>
      </c>
      <c r="U40" s="777">
        <f t="shared" si="11"/>
        <v>100</v>
      </c>
      <c r="V40" s="776" t="s">
        <v>17</v>
      </c>
      <c r="W40" s="777">
        <f t="shared" si="12"/>
        <v>100</v>
      </c>
      <c r="X40" s="778"/>
      <c r="Y40" s="3256"/>
      <c r="Z40" s="779">
        <f t="shared" si="13"/>
        <v>111</v>
      </c>
      <c r="AA40" s="1806">
        <f t="shared" si="3"/>
        <v>1</v>
      </c>
      <c r="AB40" s="1806">
        <f t="shared" si="4"/>
        <v>1</v>
      </c>
      <c r="AC40" s="1806">
        <f t="shared" si="5"/>
        <v>1</v>
      </c>
    </row>
    <row r="41" spans="1:29" ht="15">
      <c r="A41" s="478" t="s">
        <v>2700</v>
      </c>
      <c r="B41" s="2695" t="s">
        <v>2780</v>
      </c>
      <c r="C41" s="681" t="s">
        <v>1</v>
      </c>
      <c r="D41" s="480"/>
      <c r="E41" s="481"/>
      <c r="F41" s="482"/>
      <c r="G41" s="483"/>
      <c r="H41" s="484"/>
      <c r="I41" s="481"/>
      <c r="J41" s="484"/>
      <c r="K41" s="782"/>
      <c r="L41" s="1141"/>
      <c r="M41" s="1129"/>
      <c r="N41" s="1129"/>
      <c r="O41" s="1142"/>
      <c r="P41" s="3238" t="str">
        <f>A41</f>
        <v>成交单价</v>
      </c>
      <c r="Q41" s="3238"/>
      <c r="R41" s="3251">
        <f>E41</f>
        <v>0</v>
      </c>
      <c r="S41" s="3251"/>
      <c r="T41" s="3251">
        <f>G41</f>
        <v>0</v>
      </c>
      <c r="U41" s="3251"/>
      <c r="V41" s="3251">
        <f>I41</f>
        <v>0</v>
      </c>
      <c r="W41" s="3251"/>
      <c r="X41" s="758"/>
      <c r="Y41" s="780"/>
      <c r="Z41" s="758"/>
      <c r="AA41" s="758"/>
      <c r="AB41" s="758"/>
      <c r="AC41" s="758"/>
    </row>
    <row r="42" spans="1:29" ht="15.7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238" t="str">
        <f>A42</f>
        <v>比较价值（元/平方米）</v>
      </c>
      <c r="Q42" s="3238"/>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1" t="s">
        <v>2650</v>
      </c>
      <c r="B43" s="492"/>
      <c r="C43" s="493" t="e">
        <f>R43</f>
        <v>#DIV/0!</v>
      </c>
      <c r="D43" s="493"/>
      <c r="E43" s="493"/>
      <c r="F43" s="493"/>
      <c r="G43" s="493"/>
      <c r="H43" s="493"/>
      <c r="I43" s="493"/>
      <c r="J43" s="493"/>
      <c r="K43" s="784"/>
      <c r="L43" s="1141"/>
      <c r="M43" s="1129"/>
      <c r="N43" s="1129"/>
      <c r="O43" s="1142"/>
      <c r="P43" s="3258" t="str">
        <f>A43</f>
        <v>估价对象XX用房的比较价值（楼面单价，元/平方米）</v>
      </c>
      <c r="Q43" s="3259"/>
      <c r="R43" s="3260" t="e">
        <f>ROUND(AVERAGE(R42:V42),0)</f>
        <v>#DIV/0!</v>
      </c>
      <c r="S43" s="3260"/>
      <c r="T43" s="3260"/>
      <c r="U43" s="3260"/>
      <c r="V43" s="3260"/>
      <c r="W43" s="326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2738</v>
      </c>
      <c r="B50" s="684" t="s">
        <v>2739</v>
      </c>
      <c r="C50" s="2696" t="s">
        <v>2740</v>
      </c>
      <c r="D50" s="2697" t="s">
        <v>2741</v>
      </c>
      <c r="E50" s="685" t="s">
        <v>2742</v>
      </c>
      <c r="F50" s="686" t="s">
        <v>2743</v>
      </c>
      <c r="G50" s="3239" t="s">
        <v>2744</v>
      </c>
      <c r="H50" s="3261"/>
      <c r="I50" s="1809" t="s">
        <v>2781</v>
      </c>
      <c r="J50" s="1809" t="str">
        <f>项目基本情况!F35</f>
        <v>重庆市</v>
      </c>
      <c r="K50" s="2699"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262"/>
      <c r="H51" s="3238"/>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263"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263"/>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263"/>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263"/>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0"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0" t="s">
        <v>2749</v>
      </c>
      <c r="H59" s="1102">
        <f>项目基本情况!B37</f>
        <v>0</v>
      </c>
      <c r="I59" s="941">
        <f>SUMIF(修正!A45:A56,H59,修正!H45:H56)</f>
        <v>0</v>
      </c>
      <c r="J59" s="942"/>
      <c r="K59" s="1143"/>
      <c r="L59" s="940"/>
      <c r="M59" s="940"/>
      <c r="N59" s="940"/>
      <c r="O59" s="940"/>
    </row>
    <row r="60" spans="1:17" s="691" customFormat="1" ht="15" thickBot="1">
      <c r="A60" s="692" t="s">
        <v>2760</v>
      </c>
      <c r="B60" s="261" t="e">
        <f t="shared" si="17"/>
        <v>#DIV/0!</v>
      </c>
      <c r="C60" s="199">
        <f t="shared" si="16"/>
        <v>0</v>
      </c>
      <c r="D60" s="1162">
        <v>0.25</v>
      </c>
      <c r="E60" s="260">
        <f>'数据-汇总表'!E15</f>
        <v>0</v>
      </c>
      <c r="F60" s="690" t="e">
        <f t="shared" si="15"/>
        <v>#DIV/0!</v>
      </c>
      <c r="G60" s="2701" t="s">
        <v>2754</v>
      </c>
      <c r="H60" s="1112">
        <f>项目基本情况!C37</f>
        <v>0</v>
      </c>
      <c r="I60" s="941">
        <f>SUMIF(修正!A45:A56,H60,修正!H45:H56)</f>
        <v>0</v>
      </c>
      <c r="J60" s="942"/>
      <c r="K60" s="1142"/>
      <c r="L60" s="940"/>
      <c r="M60" s="940"/>
      <c r="N60" s="940"/>
      <c r="O60" s="940"/>
    </row>
    <row r="61" spans="1:17" s="691" customFormat="1" ht="1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2021-4-1</v>
      </c>
      <c r="D63" s="760">
        <f>EDATE(C63,-3)</f>
        <v>44197</v>
      </c>
      <c r="E63" s="760">
        <f>EDATE(D63,-3)</f>
        <v>44105</v>
      </c>
      <c r="F63" s="760">
        <f t="shared" ref="F63:O63" si="18">EDATE(E63,-3)</f>
        <v>44013</v>
      </c>
      <c r="G63" s="760">
        <f t="shared" si="18"/>
        <v>43922</v>
      </c>
      <c r="H63" s="760">
        <f t="shared" si="18"/>
        <v>43831</v>
      </c>
      <c r="I63" s="760">
        <f t="shared" si="18"/>
        <v>43739</v>
      </c>
      <c r="J63" s="760">
        <f t="shared" si="18"/>
        <v>43647</v>
      </c>
      <c r="K63" s="760">
        <f t="shared" si="18"/>
        <v>43556</v>
      </c>
      <c r="L63" s="760">
        <f t="shared" si="18"/>
        <v>43466</v>
      </c>
      <c r="M63" s="760">
        <f t="shared" si="18"/>
        <v>43374</v>
      </c>
      <c r="N63" s="760">
        <f t="shared" si="18"/>
        <v>43282</v>
      </c>
      <c r="O63" s="760">
        <f t="shared" si="18"/>
        <v>43191</v>
      </c>
    </row>
    <row r="64" spans="1:17" ht="21.75" thickBot="1">
      <c r="A64" s="762" t="s">
        <v>2654</v>
      </c>
      <c r="B64" s="758"/>
      <c r="C64" s="763"/>
      <c r="D64" s="763"/>
      <c r="E64" s="763"/>
      <c r="F64" s="764"/>
      <c r="G64" s="764"/>
      <c r="H64" s="763"/>
      <c r="I64" s="763"/>
      <c r="J64" s="763"/>
      <c r="K64" s="765"/>
      <c r="L64" s="766"/>
      <c r="M64" s="763"/>
      <c r="N64" s="763"/>
      <c r="O64" s="1157"/>
      <c r="P64" s="502"/>
      <c r="Q64" s="503"/>
    </row>
    <row r="65" spans="1:17" s="507" customFormat="1" ht="15">
      <c r="A65" s="2702" t="s">
        <v>2762</v>
      </c>
      <c r="B65" s="1356"/>
      <c r="C65" s="1567" t="str">
        <f>YEAR(C63)&amp;"-"&amp;ROUNDUP(MONTH(C63)/3,0)</f>
        <v>2021-2</v>
      </c>
      <c r="D65" s="1567" t="str">
        <f t="shared" ref="D65:O65" si="19">YEAR(D63)&amp;"-"&amp;ROUNDUP(MONTH(D63)/3,0)</f>
        <v>2021-1</v>
      </c>
      <c r="E65" s="1567" t="str">
        <f t="shared" si="19"/>
        <v>2020-4</v>
      </c>
      <c r="F65" s="1567" t="str">
        <f t="shared" si="19"/>
        <v>2020-3</v>
      </c>
      <c r="G65" s="1567" t="str">
        <f t="shared" si="19"/>
        <v>2020-2</v>
      </c>
      <c r="H65" s="1567" t="str">
        <f t="shared" si="19"/>
        <v>2020-1</v>
      </c>
      <c r="I65" s="1567" t="str">
        <f t="shared" si="19"/>
        <v>2019-4</v>
      </c>
      <c r="J65" s="1567" t="str">
        <f t="shared" si="19"/>
        <v>2019-3</v>
      </c>
      <c r="K65" s="1567" t="str">
        <f t="shared" si="19"/>
        <v>2019-2</v>
      </c>
      <c r="L65" s="1567" t="str">
        <f t="shared" si="19"/>
        <v>2019-1</v>
      </c>
      <c r="M65" s="1567" t="str">
        <f t="shared" si="19"/>
        <v>2018-4</v>
      </c>
      <c r="N65" s="1567" t="str">
        <f t="shared" si="19"/>
        <v>2018-3</v>
      </c>
      <c r="O65" s="1567" t="str">
        <f t="shared" si="19"/>
        <v>2018-2</v>
      </c>
      <c r="P65" s="506"/>
    </row>
    <row r="66" spans="1:17" s="116" customFormat="1" ht="30.75" customHeight="1">
      <c r="A66" s="2707" t="s">
        <v>2782</v>
      </c>
      <c r="B66" s="331" t="str">
        <f>"北京市平均增长率"&amp;TEXT(基准地价修正!P24,"0.00%")</f>
        <v>北京市平均增长率0.00%</v>
      </c>
      <c r="C66" s="602">
        <v>100</v>
      </c>
      <c r="D66" s="594"/>
      <c r="E66" s="594"/>
      <c r="F66" s="594"/>
      <c r="G66" s="594"/>
      <c r="H66" s="594"/>
      <c r="I66" s="594"/>
      <c r="J66" s="594"/>
      <c r="K66" s="594"/>
      <c r="L66" s="594"/>
      <c r="M66" s="1563"/>
      <c r="N66" s="1563"/>
      <c r="O66" s="1564"/>
      <c r="P66" s="503"/>
    </row>
    <row r="67" spans="1:17" s="116" customFormat="1" ht="15.75" thickBot="1">
      <c r="A67" s="514" t="s">
        <v>2565</v>
      </c>
      <c r="B67" s="515"/>
      <c r="C67" s="516"/>
      <c r="D67" s="517"/>
      <c r="E67" s="517"/>
      <c r="F67" s="517"/>
      <c r="G67" s="517"/>
      <c r="H67" s="517"/>
      <c r="I67" s="517"/>
      <c r="J67" s="517"/>
      <c r="K67" s="517"/>
      <c r="L67" s="517"/>
      <c r="M67" s="518"/>
      <c r="N67" s="518"/>
      <c r="O67" s="519"/>
      <c r="P67" s="503"/>
      <c r="Q67" s="503"/>
    </row>
    <row r="68" spans="1:17" s="116" customFormat="1" ht="15">
      <c r="A68" s="520" t="s">
        <v>2530</v>
      </c>
      <c r="B68" s="509"/>
      <c r="C68" s="521" t="s">
        <v>2632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2537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7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2671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2730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2772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2775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6"/>
      <c r="B4" s="3019" t="s">
        <v>1629</v>
      </c>
      <c r="C4" s="3019"/>
      <c r="D4" s="3019"/>
      <c r="E4" s="1956"/>
    </row>
    <row r="5" spans="1:5" ht="16.5" thickTop="1">
      <c r="A5" s="1954"/>
      <c r="B5" s="3017" t="s">
        <v>1621</v>
      </c>
      <c r="C5" s="1957" t="s">
        <v>1622</v>
      </c>
      <c r="D5" s="1038">
        <f ca="1">结果表!H101</f>
        <v>32076</v>
      </c>
      <c r="E5" s="1954"/>
    </row>
    <row r="6" spans="1:5" ht="15.75">
      <c r="A6" s="1954"/>
      <c r="B6" s="3017"/>
      <c r="C6" s="1957" t="s">
        <v>1623</v>
      </c>
      <c r="D6" s="1038" t="str">
        <f ca="1">NUMBERSTRING(INT(D5*10000),2)&amp;"元整"</f>
        <v>叁亿贰仟零柒拾陆万元整</v>
      </c>
      <c r="E6" s="1954"/>
    </row>
    <row r="7" spans="1:5" ht="15.75">
      <c r="A7" s="1954"/>
      <c r="B7" s="3022"/>
      <c r="C7" s="1958" t="s">
        <v>1624</v>
      </c>
      <c r="D7" s="1039">
        <f ca="1">结果表!H102</f>
        <v>11762</v>
      </c>
      <c r="E7" s="1954"/>
    </row>
    <row r="8" spans="1:5" ht="15.75">
      <c r="A8" s="1954"/>
      <c r="B8" s="3023" t="str">
        <f>结果表!E103</f>
        <v>2.估价师知悉的法定优先受偿款</v>
      </c>
      <c r="C8" s="1959" t="s">
        <v>1625</v>
      </c>
      <c r="D8" s="1039">
        <f>结果表!H103</f>
        <v>0</v>
      </c>
      <c r="E8" s="1954"/>
    </row>
    <row r="9" spans="1:5" ht="15.75">
      <c r="A9" s="1954"/>
      <c r="B9" s="3025"/>
      <c r="C9" s="1957" t="s">
        <v>1623</v>
      </c>
      <c r="D9" s="1038" t="str">
        <f>NUMBERSTRING(INT(D8*10000),2)&amp;"元整"</f>
        <v>零元整</v>
      </c>
      <c r="E9" s="1954"/>
    </row>
    <row r="10" spans="1:5" ht="15">
      <c r="A10" s="1954"/>
      <c r="B10" s="1960" t="s">
        <v>1628</v>
      </c>
      <c r="C10" s="1961" t="s">
        <v>1626</v>
      </c>
      <c r="D10" s="1040" t="str">
        <f>结果表!H104</f>
        <v>（未扣减，详见特别提示）</v>
      </c>
      <c r="E10" s="1954"/>
    </row>
    <row r="11" spans="1:5" ht="15">
      <c r="A11" s="1954"/>
      <c r="B11" s="1960" t="s">
        <v>1630</v>
      </c>
      <c r="C11" s="1961" t="s">
        <v>1631</v>
      </c>
      <c r="D11" s="1040">
        <f>结果表!H105</f>
        <v>0</v>
      </c>
      <c r="E11" s="1954"/>
    </row>
    <row r="12" spans="1:5" ht="15">
      <c r="A12" s="1954"/>
      <c r="B12" s="1960" t="s">
        <v>1632</v>
      </c>
      <c r="C12" s="1961" t="s">
        <v>1631</v>
      </c>
      <c r="D12" s="1040">
        <f>结果表!H106</f>
        <v>0</v>
      </c>
      <c r="E12" s="1954"/>
    </row>
    <row r="13" spans="1:5" ht="15.75">
      <c r="A13" s="1954"/>
      <c r="B13" s="3016" t="str">
        <f>结果表!E107</f>
        <v>——</v>
      </c>
      <c r="C13" s="1962" t="s">
        <v>1622</v>
      </c>
      <c r="D13" s="1041" t="str">
        <f>结果表!H107</f>
        <v>——</v>
      </c>
      <c r="E13" s="1954"/>
    </row>
    <row r="14" spans="1:5" ht="15.75">
      <c r="A14" s="1954"/>
      <c r="B14" s="3017"/>
      <c r="C14" s="1957" t="s">
        <v>1623</v>
      </c>
      <c r="D14" s="1038" t="e">
        <f>NUMBERSTRING(INT(D13*10000),2)&amp;"元整"</f>
        <v>#VALUE!</v>
      </c>
      <c r="E14" s="1954"/>
    </row>
    <row r="15" spans="1:5" ht="15">
      <c r="A15" s="1954"/>
      <c r="B15" s="3022"/>
      <c r="C15" s="1958" t="s">
        <v>1633</v>
      </c>
      <c r="D15" s="1050" t="e">
        <f>结果表!H108</f>
        <v>#VALUE!</v>
      </c>
      <c r="E15" s="1954"/>
    </row>
    <row r="16" spans="1:5" ht="15">
      <c r="A16" s="1954"/>
      <c r="B16" s="3023" t="str">
        <f>结果表!E109</f>
        <v>3.抵押担保权已注销时的房地产抵押价值</v>
      </c>
      <c r="C16" s="1962" t="s">
        <v>1634</v>
      </c>
      <c r="D16" s="1963">
        <f ca="1">结果表!H109</f>
        <v>32076</v>
      </c>
      <c r="E16" s="1954"/>
    </row>
    <row r="17" spans="1:5" ht="15.75">
      <c r="A17" s="1954"/>
      <c r="B17" s="3024"/>
      <c r="C17" s="1957" t="s">
        <v>1635</v>
      </c>
      <c r="D17" s="1038" t="str">
        <f ca="1">NUMBERSTRING(INT(D16*10000),2)&amp;"元整"</f>
        <v>叁亿贰仟零柒拾陆万元整</v>
      </c>
      <c r="E17" s="1954"/>
    </row>
    <row r="18" spans="1:5" ht="15">
      <c r="A18" s="1954"/>
      <c r="B18" s="3025"/>
      <c r="C18" s="1958" t="s">
        <v>1624</v>
      </c>
      <c r="D18" s="1050">
        <f ca="1">结果表!H110</f>
        <v>11762</v>
      </c>
      <c r="E18" s="1954"/>
    </row>
    <row r="19" spans="1:5" ht="15.75">
      <c r="A19" s="1954"/>
      <c r="B19" s="3016" t="str">
        <f>结果表!E111</f>
        <v>4.抵押净值</v>
      </c>
      <c r="C19" s="1962" t="s">
        <v>1622</v>
      </c>
      <c r="D19" s="1039">
        <f ca="1">结果表!H111</f>
        <v>25589</v>
      </c>
      <c r="E19" s="1954"/>
    </row>
    <row r="20" spans="1:5" ht="15.75">
      <c r="A20" s="1954"/>
      <c r="B20" s="3017"/>
      <c r="C20" s="1957" t="s">
        <v>1635</v>
      </c>
      <c r="D20" s="1038" t="str">
        <f ca="1">NUMBERSTRING(INT(D19*10000),2)&amp;"元整"</f>
        <v>贰亿伍仟伍佰捌拾玖万元整</v>
      </c>
      <c r="E20" s="1954"/>
    </row>
    <row r="21" spans="1:5" ht="15.75" thickBot="1">
      <c r="A21" s="1954"/>
      <c r="B21" s="3018"/>
      <c r="C21" s="1964" t="s">
        <v>1633</v>
      </c>
      <c r="D21" s="1051">
        <f ca="1">结果表!H112</f>
        <v>10947</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9" customWidth="1"/>
    <col min="33" max="36" width="9.375" style="2787" customWidth="1"/>
    <col min="37" max="38" width="9.375" style="2711" customWidth="1"/>
    <col min="39" max="16384" width="12" style="2711"/>
  </cols>
  <sheetData>
    <row r="1" spans="1:36" ht="28.5">
      <c r="A1" s="239" t="s">
        <v>2784</v>
      </c>
      <c r="B1" s="240"/>
      <c r="C1" s="244" t="s">
        <v>2785</v>
      </c>
      <c r="D1" s="387">
        <f>SUM(D29:D30,D33:D39)</f>
        <v>0</v>
      </c>
      <c r="E1" s="2708"/>
      <c r="F1" s="2708"/>
      <c r="G1" s="2708"/>
      <c r="H1" s="2708"/>
      <c r="I1" s="2708"/>
      <c r="J1" s="2708"/>
      <c r="K1" s="1367"/>
      <c r="L1" s="2709" t="s">
        <v>2786</v>
      </c>
      <c r="M1" s="1078">
        <f>SUMPRODUCT((区片价!B5:B9=I2)*(区片价!C3:F3=E2)*(区片价!C5:F9))</f>
        <v>0</v>
      </c>
      <c r="N1" s="1081">
        <f>SUMPRODUCT((因素修正幅度!B5:B9=I2)*(因素修正幅度!C3:F3=E2)*(因素修正幅度!C5:F9))</f>
        <v>0</v>
      </c>
      <c r="O1" s="2710"/>
      <c r="P1" s="2710"/>
      <c r="Q1" s="1367"/>
      <c r="R1" s="1597" t="s">
        <v>2787</v>
      </c>
      <c r="S1" s="1597" t="s">
        <v>2788</v>
      </c>
      <c r="T1" s="1597" t="s">
        <v>2789</v>
      </c>
      <c r="U1" s="1597" t="s">
        <v>2790</v>
      </c>
      <c r="V1" s="1597" t="s">
        <v>2791</v>
      </c>
      <c r="W1" s="1601"/>
      <c r="X1" s="1601"/>
      <c r="Y1" s="1601"/>
      <c r="Z1" s="1601"/>
      <c r="AA1" s="1601"/>
      <c r="AB1" s="1601"/>
      <c r="AC1" s="1602"/>
      <c r="AD1" s="1603"/>
      <c r="AE1" s="1603"/>
      <c r="AF1" s="1603"/>
      <c r="AG1" s="1603"/>
      <c r="AH1" s="1603"/>
      <c r="AI1" s="1603"/>
      <c r="AJ1" s="1604"/>
    </row>
    <row r="2" spans="1:36" ht="15.75">
      <c r="A2" s="244" t="s">
        <v>2792</v>
      </c>
      <c r="B2" s="247" t="e">
        <f>C26</f>
        <v>#DIV/0!</v>
      </c>
      <c r="C2" s="2712" t="s">
        <v>2793</v>
      </c>
      <c r="D2" s="2713" t="s">
        <v>2794</v>
      </c>
      <c r="E2" s="2714"/>
      <c r="F2" s="2713" t="s">
        <v>2795</v>
      </c>
      <c r="G2" s="2715">
        <f>IF(E2="商业",项目基本情况!B37,IF(E2="办公",项目基本情况!C37,IF(E2="住宅",项目基本情况!D37,项目基本情况!E37)))</f>
        <v>0</v>
      </c>
      <c r="H2" s="2713" t="s">
        <v>2796</v>
      </c>
      <c r="I2" s="2715">
        <f>IF(E2="商业",项目基本情况!B38,IF(E2="办公",项目基本情况!C38,IF(E2="住宅",项目基本情况!D38,项目基本情况!E38)))</f>
        <v>0</v>
      </c>
      <c r="J2" s="2716"/>
      <c r="K2" s="1367"/>
      <c r="L2" s="2717" t="s">
        <v>2797</v>
      </c>
      <c r="M2" s="1079">
        <f>SUMPRODUCT((区片价!B10:B28=I2)*(区片价!C3:F3=E2)*(区片价!C10:F28))</f>
        <v>0</v>
      </c>
      <c r="N2" s="1081">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2798</v>
      </c>
      <c r="B3" s="247" t="e">
        <f>ROUND(B2*10000/D1,0)</f>
        <v>#DIV/0!</v>
      </c>
      <c r="C3" s="2712" t="s">
        <v>2799</v>
      </c>
      <c r="D3" s="2713" t="s">
        <v>2800</v>
      </c>
      <c r="E3" s="2718"/>
      <c r="F3" s="2719" t="s">
        <v>2801</v>
      </c>
      <c r="G3" s="912">
        <f>IF(F3="宗地容积率",'数据-汇总表'!I4,IF(F3="估价对象容积率",'数据-汇总表'!I6,'数据-汇总表'!I7))</f>
        <v>4.2699999999999996</v>
      </c>
      <c r="H3" s="197" t="s">
        <v>2802</v>
      </c>
      <c r="I3" s="943"/>
      <c r="J3" s="2716" t="s">
        <v>2803</v>
      </c>
      <c r="K3" s="1367"/>
      <c r="L3" s="2717" t="s">
        <v>2804</v>
      </c>
      <c r="M3" s="1079">
        <f>SUMPRODUCT((区片价!B29:B48=I2)*(区片价!C3:F3=E2)*(区片价!C29:F48))</f>
        <v>0</v>
      </c>
      <c r="N3" s="1081">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37"/>
      <c r="B4" s="3338"/>
      <c r="C4" s="3338"/>
      <c r="D4" s="3339"/>
      <c r="E4" s="3339"/>
      <c r="F4" s="3339"/>
      <c r="G4" s="3339"/>
      <c r="H4" s="3339"/>
      <c r="I4" s="3339"/>
      <c r="J4" s="3340"/>
      <c r="K4" s="1367"/>
      <c r="L4" s="2717" t="s">
        <v>2805</v>
      </c>
      <c r="M4" s="1079">
        <f>SUMPRODUCT((区片价!B49:B75=I2)*(区片价!C3:F3=E2)*(区片价!C49:F75))</f>
        <v>0</v>
      </c>
      <c r="N4" s="1081">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2806</v>
      </c>
      <c r="C5" s="913" t="e">
        <f>ROUND(IF(E2="商业",IF(F16="增加",C6*C7+C16,C6*C7-C16),IF(E2="住宅",IF(F16="增加",C6*C12+C16,C6*C12-C16),IF(F16="增加",C6+C16,C6-C16))),0)</f>
        <v>#DIV/0!</v>
      </c>
      <c r="D5" s="1782">
        <f>ROUND(IF(E2="商业",IF(F16="增加",C6+C16,C6-C16)),0)</f>
        <v>0</v>
      </c>
      <c r="E5" s="2722"/>
      <c r="F5" s="2722"/>
      <c r="G5" s="2723"/>
      <c r="H5" s="2723"/>
      <c r="I5" s="2723"/>
      <c r="J5" s="2724"/>
      <c r="K5" s="2725"/>
      <c r="L5" s="2717" t="s">
        <v>2807</v>
      </c>
      <c r="M5" s="1079">
        <f>SUMPRODUCT((区片价!B76:B109=I2)*(区片价!C3:F3=E2)*(区片价!C76:F109))</f>
        <v>0</v>
      </c>
      <c r="N5" s="1081">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2808</v>
      </c>
      <c r="B6" s="2731" t="s">
        <v>2809</v>
      </c>
      <c r="C6" s="914">
        <f>SUMIF(L1:L12,G2,M1:M12)</f>
        <v>0</v>
      </c>
      <c r="D6" s="2732" t="s">
        <v>2810</v>
      </c>
      <c r="E6" s="2733"/>
      <c r="F6" s="2733"/>
      <c r="G6" s="2734"/>
      <c r="H6" s="2734"/>
      <c r="I6" s="2734"/>
      <c r="J6" s="2735"/>
      <c r="K6" s="1837"/>
      <c r="L6" s="2717" t="s">
        <v>2811</v>
      </c>
      <c r="M6" s="1079">
        <f>SUMPRODUCT((区片价!B110:B157=I2)*(区片价!C3:F3=E2)*(区片价!C110:F157))</f>
        <v>0</v>
      </c>
      <c r="N6" s="1081">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23" t="str">
        <f>IF(E2="商业",IF(C8="不临58条商业街","",2),"")</f>
        <v/>
      </c>
      <c r="B7" s="2736" t="s">
        <v>2812</v>
      </c>
      <c r="C7" s="915" t="e">
        <f>IF(C8="不临58条商业街",1,ROUND(1+(1.6*E8+1.2*E9+0.8*E10+0.4*E11)*C9,4))</f>
        <v>#DIV/0!</v>
      </c>
      <c r="D7" s="2737" t="s">
        <v>2813</v>
      </c>
      <c r="E7" s="944"/>
      <c r="F7" s="2738"/>
      <c r="G7" s="2739"/>
      <c r="H7" s="2739"/>
      <c r="I7" s="2739"/>
      <c r="J7" s="2740"/>
      <c r="K7" s="1837"/>
      <c r="L7" s="2717" t="s">
        <v>2814</v>
      </c>
      <c r="M7" s="1079">
        <f>SUMPRODUCT((区片价!B158:B205=I2)*(区片价!C3:F3=E2)*(区片价!C158:F205))</f>
        <v>0</v>
      </c>
      <c r="N7" s="1081">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2815</v>
      </c>
      <c r="X7" s="1599">
        <f>G2</f>
        <v>0</v>
      </c>
      <c r="Y7" s="1599" t="s">
        <v>2816</v>
      </c>
      <c r="Z7" s="1600">
        <f>G3</f>
        <v>4.2699999999999996</v>
      </c>
      <c r="AA7" s="1601"/>
      <c r="AB7" s="1601"/>
      <c r="AC7" s="1602"/>
      <c r="AD7" s="1603"/>
      <c r="AE7" s="1603"/>
      <c r="AF7" s="1603"/>
      <c r="AG7" s="1603"/>
      <c r="AH7" s="1603"/>
      <c r="AI7" s="1603"/>
      <c r="AJ7" s="1604"/>
    </row>
    <row r="8" spans="1:36" ht="15">
      <c r="A8" s="3324"/>
      <c r="B8" s="197" t="s">
        <v>2817</v>
      </c>
      <c r="C8" s="2741"/>
      <c r="D8" s="916" t="s">
        <v>139</v>
      </c>
      <c r="E8" s="917" t="e">
        <f>ROUND(C11/E7,4)</f>
        <v>#DIV/0!</v>
      </c>
      <c r="F8" s="2742" t="s">
        <v>2818</v>
      </c>
      <c r="G8" s="2743"/>
      <c r="H8" s="2743"/>
      <c r="I8" s="2743"/>
      <c r="J8" s="2744"/>
      <c r="K8" s="1367"/>
      <c r="L8" s="2717" t="s">
        <v>2819</v>
      </c>
      <c r="M8" s="1079">
        <f>SUMPRODUCT((区片价!B206:B244=I2)*(区片价!C3:F3=E2)*(区片价!C206:F244))</f>
        <v>0</v>
      </c>
      <c r="N8" s="1081">
        <f>SUMPRODUCT((因素修正幅度!B206:B244=I2)*(因素修正幅度!C3:F3=E2)*(因素修正幅度!C206:F244))</f>
        <v>0</v>
      </c>
      <c r="O8" s="1367"/>
      <c r="P8" s="1367"/>
      <c r="Q8" s="1367"/>
      <c r="R8" s="1597">
        <v>7</v>
      </c>
      <c r="S8" s="1598"/>
      <c r="T8" s="1597" t="e">
        <f t="shared" si="0"/>
        <v>#DIV/0!</v>
      </c>
      <c r="U8" s="1598"/>
      <c r="V8" s="1597" t="e">
        <f t="shared" si="1"/>
        <v>#DIV/0!</v>
      </c>
      <c r="W8" s="3334" t="s">
        <v>2820</v>
      </c>
      <c r="X8" s="3335"/>
      <c r="Y8" s="1605" t="s">
        <v>2821</v>
      </c>
      <c r="Z8" s="1605" t="s">
        <v>2822</v>
      </c>
      <c r="AA8" s="1605" t="s">
        <v>2823</v>
      </c>
      <c r="AB8" s="1605" t="s">
        <v>2824</v>
      </c>
      <c r="AC8" s="1605" t="s">
        <v>2825</v>
      </c>
      <c r="AD8" s="1605" t="s">
        <v>2826</v>
      </c>
      <c r="AE8" s="1605" t="s">
        <v>2827</v>
      </c>
      <c r="AF8" s="1605" t="s">
        <v>2828</v>
      </c>
      <c r="AG8" s="1605" t="s">
        <v>2829</v>
      </c>
      <c r="AH8" s="1605" t="s">
        <v>2830</v>
      </c>
      <c r="AI8" s="1605" t="s">
        <v>2831</v>
      </c>
      <c r="AJ8" s="1605" t="s">
        <v>2832</v>
      </c>
    </row>
    <row r="9" spans="1:36" ht="15">
      <c r="A9" s="3324"/>
      <c r="B9" s="197" t="s">
        <v>2833</v>
      </c>
      <c r="C9" s="918">
        <f>SUMIF(修正!C59:C119,C8,修正!E59:E119)</f>
        <v>0</v>
      </c>
      <c r="D9" s="199" t="s">
        <v>140</v>
      </c>
      <c r="E9" s="199" t="e">
        <f>ROUND(C11/E7,4)</f>
        <v>#DIV/0!</v>
      </c>
      <c r="F9" s="2742" t="s">
        <v>2834</v>
      </c>
      <c r="G9" s="2743"/>
      <c r="H9" s="2743"/>
      <c r="I9" s="2743"/>
      <c r="J9" s="2744"/>
      <c r="K9" s="1367"/>
      <c r="L9" s="2717" t="s">
        <v>2835</v>
      </c>
      <c r="M9" s="1079">
        <f>SUMPRODUCT((区片价!B245:B289=I2)*(区片价!C3:F3=E2)*(区片价!C245:F289))</f>
        <v>0</v>
      </c>
      <c r="N9" s="1081">
        <f>SUMPRODUCT((因素修正幅度!B245:B289=I2)*(因素修正幅度!C3:F3=E2)*(因素修正幅度!C245:F289))</f>
        <v>0</v>
      </c>
      <c r="O9" s="1367"/>
      <c r="P9" s="1367"/>
      <c r="Q9" s="1367"/>
      <c r="R9" s="1597">
        <v>8</v>
      </c>
      <c r="S9" s="1598"/>
      <c r="T9" s="1597" t="e">
        <f t="shared" si="0"/>
        <v>#DIV/0!</v>
      </c>
      <c r="U9" s="1598"/>
      <c r="V9" s="1597" t="e">
        <f t="shared" si="1"/>
        <v>#DIV/0!</v>
      </c>
      <c r="W9" s="3336" t="s">
        <v>2836</v>
      </c>
      <c r="X9" s="1606" t="s">
        <v>2837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24"/>
      <c r="B10" s="197" t="s">
        <v>2838</v>
      </c>
      <c r="C10" s="199">
        <f>SUMIF(修正!C59:C119,C8,修正!F59:F119)</f>
        <v>0</v>
      </c>
      <c r="D10" s="199" t="s">
        <v>141</v>
      </c>
      <c r="E10" s="199" t="e">
        <f>ROUND(C11/E7,4)</f>
        <v>#DIV/0!</v>
      </c>
      <c r="F10" s="2742" t="s">
        <v>2839</v>
      </c>
      <c r="G10" s="2743"/>
      <c r="H10" s="2743"/>
      <c r="I10" s="2743"/>
      <c r="J10" s="2744"/>
      <c r="K10" s="1367"/>
      <c r="L10" s="2717" t="s">
        <v>2840</v>
      </c>
      <c r="M10" s="1079">
        <f>SUMPRODUCT((区片价!B290:B316=I2)*(区片价!C3:F3=E2)*(区片价!C290:F316))</f>
        <v>0</v>
      </c>
      <c r="N10" s="1081">
        <f>SUMPRODUCT((因素修正幅度!B290:B316=I2)*(因素修正幅度!C3:F3=E2)*(因素修正幅度!C290:F316))</f>
        <v>0</v>
      </c>
      <c r="O10" s="1367"/>
      <c r="P10" s="1367"/>
      <c r="Q10" s="1367"/>
      <c r="R10" s="1597">
        <v>9</v>
      </c>
      <c r="S10" s="1598"/>
      <c r="T10" s="1597" t="e">
        <f t="shared" si="0"/>
        <v>#DIV/0!</v>
      </c>
      <c r="U10" s="1598"/>
      <c r="V10" s="1597" t="e">
        <f t="shared" si="1"/>
        <v>#DIV/0!</v>
      </c>
      <c r="W10" s="333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24"/>
      <c r="B11" s="2745" t="s">
        <v>2841</v>
      </c>
      <c r="C11" s="919">
        <f>C10/4</f>
        <v>0</v>
      </c>
      <c r="D11" s="919" t="s">
        <v>142</v>
      </c>
      <c r="E11" s="919" t="e">
        <f>ROUND(C11/E7,4)</f>
        <v>#DIV/0!</v>
      </c>
      <c r="F11" s="2746" t="s">
        <v>2842</v>
      </c>
      <c r="G11" s="2747"/>
      <c r="H11" s="2747"/>
      <c r="I11" s="2747"/>
      <c r="J11" s="2748"/>
      <c r="K11" s="1367"/>
      <c r="L11" s="2717" t="s">
        <v>2843</v>
      </c>
      <c r="M11" s="1079">
        <f>SUMPRODUCT((区片价!B317:B337=I2)*(区片价!C3:F3=E2)*(区片价!C317:F337))</f>
        <v>0</v>
      </c>
      <c r="N11" s="1081">
        <f>SUMPRODUCT((因素修正幅度!B317:B337=I2)*(因素修正幅度!C3:F3=E2)*(因素修正幅度!C317:F337))</f>
        <v>0</v>
      </c>
      <c r="O11" s="1367"/>
      <c r="P11" s="1367"/>
      <c r="Q11" s="1367"/>
      <c r="R11" s="1597">
        <v>10</v>
      </c>
      <c r="S11" s="1598"/>
      <c r="T11" s="1597" t="e">
        <f t="shared" si="0"/>
        <v>#DIV/0!</v>
      </c>
      <c r="U11" s="1598"/>
      <c r="V11" s="1597" t="e">
        <f t="shared" si="1"/>
        <v>#DIV/0!</v>
      </c>
      <c r="W11" s="3336" t="s">
        <v>2844</v>
      </c>
      <c r="X11" s="1609" t="s">
        <v>2845</v>
      </c>
      <c r="Y11" s="1610">
        <f>$G$3</f>
        <v>4.2699999999999996</v>
      </c>
      <c r="Z11" s="1610">
        <f t="shared" ref="Z11:AJ11" si="3">$G$3</f>
        <v>4.2699999999999996</v>
      </c>
      <c r="AA11" s="1610">
        <f t="shared" si="3"/>
        <v>4.2699999999999996</v>
      </c>
      <c r="AB11" s="1610">
        <f t="shared" si="3"/>
        <v>4.2699999999999996</v>
      </c>
      <c r="AC11" s="1610">
        <f t="shared" si="3"/>
        <v>4.2699999999999996</v>
      </c>
      <c r="AD11" s="1610">
        <f t="shared" si="3"/>
        <v>4.2699999999999996</v>
      </c>
      <c r="AE11" s="1610">
        <f t="shared" si="3"/>
        <v>4.2699999999999996</v>
      </c>
      <c r="AF11" s="1610">
        <f t="shared" si="3"/>
        <v>4.2699999999999996</v>
      </c>
      <c r="AG11" s="1610">
        <f t="shared" si="3"/>
        <v>4.2699999999999996</v>
      </c>
      <c r="AH11" s="1610">
        <f t="shared" si="3"/>
        <v>4.2699999999999996</v>
      </c>
      <c r="AI11" s="1610">
        <f t="shared" si="3"/>
        <v>4.2699999999999996</v>
      </c>
      <c r="AJ11" s="1610">
        <f t="shared" si="3"/>
        <v>4.2699999999999996</v>
      </c>
    </row>
    <row r="12" spans="1:36" ht="25.5" thickBot="1">
      <c r="A12" s="3323" t="s">
        <v>2846</v>
      </c>
      <c r="B12" s="2749" t="s">
        <v>2847</v>
      </c>
      <c r="C12" s="915">
        <f>ROUND(C15*D15*E15*F15*G15*H15*I15*J15,4)</f>
        <v>1</v>
      </c>
      <c r="D12" s="2750" t="s">
        <v>2848</v>
      </c>
      <c r="E12" s="2751"/>
      <c r="F12" s="2751"/>
      <c r="G12" s="2752"/>
      <c r="H12" s="2752"/>
      <c r="I12" s="2752"/>
      <c r="J12" s="2753"/>
      <c r="K12" s="1367"/>
      <c r="L12" s="2754" t="s">
        <v>2849</v>
      </c>
      <c r="M12" s="1080">
        <f>SUMPRODUCT((区片价!B338:B344=I2)*(区片价!C3:F3=E2)*(区片价!C338:F344))</f>
        <v>0</v>
      </c>
      <c r="N12" s="1081">
        <f>SUMPRODUCT((因素修正幅度!B338:B344=I2)*(因素修正幅度!C3:F3=E2)*(因素修正幅度!C338:F344))</f>
        <v>0</v>
      </c>
      <c r="O12" s="1367"/>
      <c r="P12" s="1367"/>
      <c r="Q12" s="1367"/>
      <c r="R12" s="1597">
        <v>11</v>
      </c>
      <c r="S12" s="1598"/>
      <c r="T12" s="1597" t="e">
        <f t="shared" si="0"/>
        <v>#DIV/0!</v>
      </c>
      <c r="U12" s="1598"/>
      <c r="V12" s="1597" t="e">
        <f t="shared" si="1"/>
        <v>#DIV/0!</v>
      </c>
      <c r="W12" s="3336"/>
      <c r="X12" s="1611" t="s">
        <v>2850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41"/>
      <c r="B13" s="2755" t="s">
        <v>2851</v>
      </c>
      <c r="C13" s="2756" t="s">
        <v>2852</v>
      </c>
      <c r="D13" s="1803" t="s">
        <v>2853</v>
      </c>
      <c r="E13" s="1803" t="s">
        <v>2854</v>
      </c>
      <c r="F13" s="30" t="s">
        <v>2855</v>
      </c>
      <c r="G13" s="2757" t="s">
        <v>2856</v>
      </c>
      <c r="H13" s="2757" t="s">
        <v>2856</v>
      </c>
      <c r="I13" s="2757" t="s">
        <v>2856</v>
      </c>
      <c r="J13" s="2758" t="s">
        <v>2856</v>
      </c>
      <c r="K13" s="1367"/>
      <c r="L13" s="1367"/>
      <c r="M13" s="1367"/>
      <c r="N13" s="1367"/>
      <c r="O13" s="1367"/>
      <c r="P13" s="1367"/>
      <c r="Q13" s="1367"/>
      <c r="R13" s="1597">
        <v>12</v>
      </c>
      <c r="S13" s="1598"/>
      <c r="T13" s="1597" t="e">
        <f t="shared" si="0"/>
        <v>#DIV/0!</v>
      </c>
      <c r="U13" s="1598"/>
      <c r="V13" s="1597" t="e">
        <f t="shared" si="1"/>
        <v>#DIV/0!</v>
      </c>
      <c r="W13" s="3336"/>
      <c r="X13" s="1611"/>
      <c r="Y13" s="1608">
        <f>(-0.163*(Y12^2)-0.59*Y12+7617)*(10^(-4))/Y11</f>
        <v>0.17838407494145203</v>
      </c>
      <c r="Z13" s="1608">
        <f t="shared" ref="Z13:AJ13" si="5">(-0.163*(Z12^2)-0.59*Z12+7617)*(10^(-4))/Z11</f>
        <v>0.17838407494145203</v>
      </c>
      <c r="AA13" s="1608">
        <f t="shared" si="5"/>
        <v>0.17838407494145203</v>
      </c>
      <c r="AB13" s="1608">
        <f t="shared" si="5"/>
        <v>0.17838407494145203</v>
      </c>
      <c r="AC13" s="1608">
        <f t="shared" si="5"/>
        <v>0.17838407494145203</v>
      </c>
      <c r="AD13" s="1608">
        <f t="shared" si="5"/>
        <v>0.17838407494145203</v>
      </c>
      <c r="AE13" s="1608">
        <f t="shared" si="5"/>
        <v>0.17838407494145203</v>
      </c>
      <c r="AF13" s="1608">
        <f t="shared" si="5"/>
        <v>0.17838407494145203</v>
      </c>
      <c r="AG13" s="1608">
        <f t="shared" si="5"/>
        <v>0.17838407494145203</v>
      </c>
      <c r="AH13" s="1608">
        <f t="shared" si="5"/>
        <v>0.17838407494145203</v>
      </c>
      <c r="AI13" s="1608">
        <f t="shared" si="5"/>
        <v>0.17838407494145203</v>
      </c>
      <c r="AJ13" s="1608">
        <f t="shared" si="5"/>
        <v>0.17838407494145203</v>
      </c>
    </row>
    <row r="14" spans="1:36" ht="15">
      <c r="A14" s="3341"/>
      <c r="B14" s="2759"/>
      <c r="C14" s="2760"/>
      <c r="D14" s="2761"/>
      <c r="E14" s="2761"/>
      <c r="F14" s="2762"/>
      <c r="G14" s="2763" t="s">
        <v>2857</v>
      </c>
      <c r="H14" s="2764"/>
      <c r="I14" s="2765"/>
      <c r="J14" s="2766"/>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42"/>
      <c r="B15" s="2767" t="s">
        <v>2858</v>
      </c>
      <c r="C15" s="228">
        <f>IF(C14="有",1.1,1)</f>
        <v>1</v>
      </c>
      <c r="D15" s="228">
        <f>IF(D14="有",1.1,1)</f>
        <v>1</v>
      </c>
      <c r="E15" s="228">
        <f>IF(E14="有",1.1,1)</f>
        <v>1</v>
      </c>
      <c r="F15" s="228">
        <f>IF(F14="500米范围内",1.2,IF(F14="500-1000米",1.1,1))</f>
        <v>1</v>
      </c>
      <c r="G15" s="945">
        <v>1</v>
      </c>
      <c r="H15" s="945">
        <v>1</v>
      </c>
      <c r="I15" s="945">
        <v>1</v>
      </c>
      <c r="J15" s="946">
        <v>1</v>
      </c>
      <c r="K15" s="1367"/>
      <c r="L15" s="2768" t="s">
        <v>2794</v>
      </c>
      <c r="M15" s="916" t="s">
        <v>2859</v>
      </c>
      <c r="N15" s="916" t="s">
        <v>2860</v>
      </c>
      <c r="O15" s="916" t="s">
        <v>2861</v>
      </c>
      <c r="P15" s="2769" t="s">
        <v>2862</v>
      </c>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23" t="s">
        <v>2863</v>
      </c>
      <c r="B16" s="2736" t="s">
        <v>2864</v>
      </c>
      <c r="C16" s="1796" t="e">
        <f>ROUND(SUM(G17:J17)/C17,0)</f>
        <v>#DIV/0!</v>
      </c>
      <c r="D16" s="2770" t="s">
        <v>2865</v>
      </c>
      <c r="E16" s="2771"/>
      <c r="F16" s="2772"/>
      <c r="G16" s="2773"/>
      <c r="H16" s="2773"/>
      <c r="I16" s="2773"/>
      <c r="J16" s="2774"/>
      <c r="K16" s="1367"/>
      <c r="L16" s="2775" t="s">
        <v>2866</v>
      </c>
      <c r="M16" s="918">
        <v>0.25</v>
      </c>
      <c r="N16" s="918">
        <v>0.2</v>
      </c>
      <c r="O16" s="918">
        <v>0.15</v>
      </c>
      <c r="P16" s="1366">
        <v>0.1</v>
      </c>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24"/>
      <c r="B17" s="2776" t="s">
        <v>2867</v>
      </c>
      <c r="C17" s="920">
        <f>SUMPRODUCT((修正!A2:A5=E2)*(修正!B1:M1=G2)*(修正!B2:M5))</f>
        <v>0</v>
      </c>
      <c r="D17" s="2777"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78" t="s">
        <v>2870</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9"/>
      <c r="AF17" s="2779"/>
      <c r="AG17" s="2711"/>
      <c r="AH17" s="2711"/>
      <c r="AI17" s="2711"/>
      <c r="AJ17" s="2711"/>
    </row>
    <row r="18" spans="1:37" s="2729" customFormat="1" ht="15.75" thickBot="1">
      <c r="A18" s="2780" t="s">
        <v>808</v>
      </c>
      <c r="B18" s="2781" t="s">
        <v>2871</v>
      </c>
      <c r="C18" s="922">
        <f>SUMIF(修正!C18:C39,E3,修正!E18:E39)</f>
        <v>0</v>
      </c>
      <c r="D18" s="2782"/>
      <c r="E18" s="2783"/>
      <c r="F18" s="2784"/>
      <c r="G18" s="2785"/>
      <c r="H18" s="2785"/>
      <c r="I18" s="2785"/>
      <c r="J18" s="2786"/>
      <c r="K18" s="1374"/>
      <c r="O18" s="1372"/>
      <c r="P18" s="1372"/>
      <c r="Q18" s="1373"/>
      <c r="R18" s="1373"/>
      <c r="S18" s="1373"/>
      <c r="T18" s="1368"/>
      <c r="U18" s="1368"/>
      <c r="V18" s="1368"/>
      <c r="W18" s="1367"/>
      <c r="X18" s="1367"/>
      <c r="Y18" s="1367"/>
      <c r="Z18" s="1374"/>
      <c r="AA18" s="1375"/>
      <c r="AB18" s="1375"/>
      <c r="AC18" s="1375"/>
      <c r="AD18" s="1375"/>
      <c r="AE18" s="1369"/>
      <c r="AF18" s="1369"/>
      <c r="AG18" s="2787"/>
      <c r="AH18" s="2787"/>
      <c r="AI18" s="2787"/>
    </row>
    <row r="19" spans="1:37" s="2729" customFormat="1" ht="27.75" thickBot="1">
      <c r="A19" s="2780" t="s">
        <v>809</v>
      </c>
      <c r="B19" s="2781" t="s">
        <v>2872</v>
      </c>
      <c r="C19" s="923" t="e">
        <f>ROUND(IF(H19="按公示增长率计算",SUMPRODUCT((地价!A3:A23=YEAR(G19)&amp;"-"&amp;ROUNDUP(MONTH(G19)/3,0))*(地价!X2:AB2=E2)*(地价!X3:AB23)),IF(H19="地价指数",M20/M19,(1+I19)^O19)),4)</f>
        <v>#DIV/0!</v>
      </c>
      <c r="D19" s="2788" t="s">
        <v>2873</v>
      </c>
      <c r="E19" s="924">
        <v>41640</v>
      </c>
      <c r="F19" s="2788" t="s">
        <v>2874</v>
      </c>
      <c r="G19" s="925">
        <f>'数据-取费表'!B2</f>
        <v>44312</v>
      </c>
      <c r="H19" s="2789" t="s">
        <v>2875</v>
      </c>
      <c r="I19" s="926" t="str">
        <f>IF(H19="季度增幅（自定义）",SUMIF(N21:N24,E2,O21:O24),"")</f>
        <v/>
      </c>
      <c r="J19" s="2786"/>
      <c r="K19" s="1374"/>
      <c r="L19" s="2790" t="s">
        <v>2876</v>
      </c>
      <c r="M19" s="1729">
        <f>ROUND(SUMIF(地价!B2:F2,E2,地价!B23:F23),0)</f>
        <v>0</v>
      </c>
      <c r="N19" s="2791" t="s">
        <v>2877</v>
      </c>
      <c r="O19" s="927">
        <f>ROUNDDOWN(DATEDIF(E19,G19,"M")/3,0)</f>
        <v>29</v>
      </c>
      <c r="P19" s="1371"/>
      <c r="Q19" s="1373"/>
      <c r="R19" s="1373"/>
      <c r="S19" s="1373"/>
      <c r="T19" s="1368"/>
      <c r="U19" s="1368"/>
      <c r="V19" s="1368"/>
      <c r="W19" s="1367"/>
      <c r="X19" s="1367"/>
      <c r="Y19" s="1367"/>
      <c r="Z19" s="1374"/>
      <c r="AA19" s="1375"/>
      <c r="AB19" s="1375"/>
      <c r="AC19" s="1375"/>
      <c r="AD19" s="1375"/>
      <c r="AE19" s="1375"/>
      <c r="AF19" s="2792"/>
      <c r="AG19" s="2793"/>
      <c r="AH19" s="2787"/>
      <c r="AI19" s="2794"/>
      <c r="AJ19" s="2794"/>
      <c r="AK19" s="2794"/>
    </row>
    <row r="20" spans="1:37" s="2729" customFormat="1" ht="27.75" thickBot="1">
      <c r="A20" s="2795" t="s">
        <v>810</v>
      </c>
      <c r="B20" s="2796" t="s">
        <v>2878</v>
      </c>
      <c r="C20" s="928" t="e">
        <f>ROUND(POWER(1+G20,J20-I20)*(POWER(1+G20,I20)-1)/(POWER(1+G20,J20)-1),4)</f>
        <v>#DIV/0!</v>
      </c>
      <c r="D20" s="2797" t="s">
        <v>2879</v>
      </c>
      <c r="E20" s="1763">
        <f ca="1">存贷款利率!D4/100</f>
        <v>4.3499999999999997E-2</v>
      </c>
      <c r="F20" s="2797" t="s">
        <v>2870</v>
      </c>
      <c r="G20" s="933">
        <f>SUMIF(M15:P15,E2,M17:P17)</f>
        <v>0</v>
      </c>
      <c r="H20" s="2797" t="s">
        <v>2880</v>
      </c>
      <c r="I20" s="934" t="e">
        <f>SUMIF('数据-取费表'!C6:C15,E2,'数据-取费表'!F6:F15)/COUNTIF('数据-取费表'!C6:C15,E2)</f>
        <v>#DIV/0!</v>
      </c>
      <c r="J20" s="935">
        <f>IF(E2="住宅",70,IF(E2="商业",40,50))</f>
        <v>50</v>
      </c>
      <c r="K20" s="1374"/>
      <c r="L20" s="2798" t="s">
        <v>2881</v>
      </c>
      <c r="M20" s="1730">
        <f>ROUND(SUMPRODUCT((地价!A4:A23=YEAR(G19)&amp;"-"&amp;ROUNDUP(MONTH(G19)/3,0))*(地价!B2:F2=E2)*(地价!B4:F23)),0)</f>
        <v>0</v>
      </c>
      <c r="N20" s="2799" t="s">
        <v>2882</v>
      </c>
      <c r="O20" s="2800" t="s">
        <v>2883</v>
      </c>
      <c r="P20" s="2801" t="s">
        <v>2884</v>
      </c>
      <c r="R20" s="1373"/>
      <c r="S20" s="1373"/>
      <c r="T20" s="1368"/>
      <c r="U20" s="1368"/>
      <c r="V20" s="1368"/>
      <c r="W20" s="1367"/>
      <c r="X20" s="1367"/>
      <c r="Y20" s="1367"/>
      <c r="Z20" s="1374"/>
      <c r="AA20" s="1375"/>
      <c r="AB20" s="1375"/>
      <c r="AC20" s="1375"/>
      <c r="AD20" s="1375"/>
      <c r="AE20" s="1375"/>
      <c r="AF20" s="1375"/>
    </row>
    <row r="21" spans="1:37" s="2729" customFormat="1" ht="15">
      <c r="A21" s="2802" t="s">
        <v>811</v>
      </c>
      <c r="B21" s="2803" t="s">
        <v>2885</v>
      </c>
      <c r="C21" s="936">
        <f>IF(B21="容积率修正",IF(G3&lt;=10,D22,J22),C23)</f>
        <v>0</v>
      </c>
      <c r="D21" s="2804"/>
      <c r="E21" s="2804"/>
      <c r="F21" s="2804"/>
      <c r="G21" s="2804"/>
      <c r="H21" s="2804"/>
      <c r="I21" s="2804"/>
      <c r="J21" s="2805"/>
      <c r="K21" s="1374"/>
      <c r="N21" s="2806" t="s">
        <v>2886</v>
      </c>
      <c r="O21" s="1557"/>
      <c r="P21" s="1558">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29" customFormat="1" ht="14.25">
      <c r="A22" s="2655" t="s">
        <v>2887</v>
      </c>
      <c r="B22" s="2807" t="s">
        <v>2888</v>
      </c>
      <c r="C22" s="1805" t="s">
        <v>2889</v>
      </c>
      <c r="D22" s="1805">
        <f>IF(E22=G22,F22,IF(G3&lt;=10,ROUND(F22+(H22-F22)*(G3-E22)/(G22-E22),4),"——"))</f>
        <v>0</v>
      </c>
      <c r="E22" s="912">
        <f>ROUNDDOWN(G3,1)</f>
        <v>4.2</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7" t="str">
        <f>IF(G3&gt;10,D113,"——")</f>
        <v>——</v>
      </c>
      <c r="K22" s="1374"/>
      <c r="N22" s="2806" t="s">
        <v>2890</v>
      </c>
      <c r="O22" s="1557"/>
      <c r="P22" s="1558">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5" t="s">
        <v>2891</v>
      </c>
      <c r="B23" s="2808" t="s">
        <v>2892</v>
      </c>
      <c r="C23" s="1012">
        <f>ROUND(IF(G3&gt;1,IF(I3&lt;7,SUMPRODUCT((B93:B98=I3)*(C92:N92=G2)*(C93:N98)),SUMIF(C92:N92,G2,C100:N100)),IF(I3&lt;7,SUMPRODUCT((B102:B107=I3)*(C92:N92=G2)*(C102:N107)),SUMIF(C92:N92,G2,C109:N109))),4)</f>
        <v>0</v>
      </c>
      <c r="D23" s="2764"/>
      <c r="E23" s="2764"/>
      <c r="F23" s="2809"/>
      <c r="G23" s="2810"/>
      <c r="H23" s="2811"/>
      <c r="I23" s="2812"/>
      <c r="J23" s="2813"/>
      <c r="K23" s="1367"/>
      <c r="N23" s="2806" t="s">
        <v>2893</v>
      </c>
      <c r="O23" s="1557"/>
      <c r="P23" s="1558">
        <f>SUMPRODUCT((地价!A3:A23=YEAR(G19)&amp;"-"&amp;ROUNDUP(MONTH(G19)/3,0))*(地价!AD2:AH2=N23)*(地价!AD3:AH23))</f>
        <v>0</v>
      </c>
      <c r="R23" s="1373"/>
      <c r="S23" s="1373"/>
      <c r="T23" s="1368"/>
      <c r="U23" s="1368"/>
      <c r="V23" s="1368"/>
      <c r="W23" s="1367"/>
      <c r="X23" s="1367"/>
      <c r="Y23" s="1367"/>
      <c r="Z23" s="1374"/>
      <c r="AA23" s="1375"/>
      <c r="AB23" s="1375"/>
      <c r="AC23" s="1375"/>
      <c r="AD23" s="1375"/>
      <c r="AK23" s="2787"/>
    </row>
    <row r="24" spans="1:37" s="2729" customFormat="1" ht="15.75" thickBot="1">
      <c r="A24" s="2795" t="s">
        <v>812</v>
      </c>
      <c r="B24" s="2781" t="s">
        <v>2894</v>
      </c>
      <c r="C24" s="923">
        <f>SUMIF(A45:A88,E2,B45:B88)</f>
        <v>0</v>
      </c>
      <c r="D24" s="2784"/>
      <c r="E24" s="2814"/>
      <c r="F24" s="2814"/>
      <c r="G24" s="2814"/>
      <c r="H24" s="2814"/>
      <c r="I24" s="2814"/>
      <c r="J24" s="2815"/>
      <c r="K24" s="1374"/>
      <c r="N24" s="2816" t="s">
        <v>2895</v>
      </c>
      <c r="O24" s="1559"/>
      <c r="P24" s="1560">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5" t="s">
        <v>813</v>
      </c>
      <c r="B25" s="2817" t="s">
        <v>2896</v>
      </c>
      <c r="C25" s="929"/>
      <c r="D25" s="2739"/>
      <c r="E25" s="2739"/>
      <c r="F25" s="2818"/>
      <c r="G25" s="2739"/>
      <c r="H25" s="2739"/>
      <c r="I25" s="2739"/>
      <c r="J25" s="2740"/>
      <c r="K25" s="1367"/>
      <c r="N25" s="2819" t="s">
        <v>2897</v>
      </c>
      <c r="O25" s="1561"/>
      <c r="P25" s="1560">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0"/>
      <c r="B26" s="2807" t="s">
        <v>2898</v>
      </c>
      <c r="C26" s="205" t="e">
        <f>E29+SUM(E33:E39)</f>
        <v>#DIV/0!</v>
      </c>
      <c r="D26" s="2821"/>
      <c r="E26" s="2764"/>
      <c r="F26" s="2822"/>
      <c r="G26" s="2764"/>
      <c r="H26" s="2764"/>
      <c r="I26" s="2764"/>
      <c r="J26" s="2823"/>
      <c r="K26" s="1367"/>
      <c r="R26" s="1373"/>
      <c r="S26" s="1373"/>
      <c r="T26" s="1368"/>
      <c r="U26" s="1368"/>
      <c r="V26" s="1368"/>
      <c r="W26" s="1367"/>
      <c r="X26" s="1367"/>
      <c r="Y26" s="1367"/>
      <c r="Z26" s="1374"/>
      <c r="AA26" s="1375"/>
      <c r="AB26" s="1375"/>
      <c r="AC26" s="1375"/>
      <c r="AD26" s="1375"/>
    </row>
    <row r="27" spans="1:37" ht="15.75" thickBot="1">
      <c r="A27" s="2820"/>
      <c r="B27" s="2824" t="s">
        <v>2899</v>
      </c>
      <c r="C27" s="930" t="e">
        <f>E30+SUM(I33:I39)</f>
        <v>#DIV/0!</v>
      </c>
      <c r="D27" s="2825"/>
      <c r="E27" s="2826"/>
      <c r="F27" s="2827"/>
      <c r="G27" s="2826"/>
      <c r="H27" s="2826"/>
      <c r="I27" s="2826"/>
      <c r="J27" s="2828"/>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9"/>
      <c r="B28" s="2830" t="s">
        <v>2900</v>
      </c>
      <c r="C28" s="2831" t="s">
        <v>2901</v>
      </c>
      <c r="D28" s="2831" t="s">
        <v>2902</v>
      </c>
      <c r="E28" s="2832" t="s">
        <v>2903</v>
      </c>
      <c r="F28" s="2833"/>
      <c r="G28" s="2752"/>
      <c r="H28" s="2752"/>
      <c r="I28" s="2752"/>
      <c r="J28" s="2753"/>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4"/>
      <c r="B29" s="2835" t="s">
        <v>2904</v>
      </c>
      <c r="C29" s="205" t="e">
        <f>ROUND(C5*C18*C19*C20*C21*C24,0)</f>
        <v>#DIV/0!</v>
      </c>
      <c r="D29" s="2836"/>
      <c r="E29" s="941" t="e">
        <f>ROUND(C29*D29/10000,0)</f>
        <v>#DIV/0!</v>
      </c>
      <c r="F29" s="2837" t="s">
        <v>2905</v>
      </c>
      <c r="G29" s="2838"/>
      <c r="H29" s="2838"/>
      <c r="I29" s="2838"/>
      <c r="J29" s="2839"/>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1"/>
      <c r="AH29" s="2711"/>
      <c r="AI29" s="2711"/>
      <c r="AJ29" s="2711"/>
    </row>
    <row r="30" spans="1:37" ht="25.5" thickBot="1">
      <c r="A30" s="2840"/>
      <c r="B30" s="2841" t="s">
        <v>2906</v>
      </c>
      <c r="C30" s="228" t="e">
        <f>ROUND(IF(E2="工业",C29*M39,C29*M38),0)</f>
        <v>#DIV/0!</v>
      </c>
      <c r="D30" s="2842"/>
      <c r="E30" s="941" t="e">
        <f>ROUND(C30*D30/10000,0)</f>
        <v>#DIV/0!</v>
      </c>
      <c r="F30" s="2843" t="s">
        <v>2907</v>
      </c>
      <c r="G30" s="2844"/>
      <c r="H30" s="2844"/>
      <c r="I30" s="2844"/>
      <c r="J30" s="2845"/>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1"/>
      <c r="AH30" s="2711"/>
      <c r="AI30" s="2711"/>
      <c r="AJ30" s="2711"/>
    </row>
    <row r="31" spans="1:37" ht="14.25">
      <c r="A31" s="2846"/>
      <c r="B31" s="2847" t="s">
        <v>2908</v>
      </c>
      <c r="C31" s="2848" t="s">
        <v>2909</v>
      </c>
      <c r="D31" s="2752"/>
      <c r="E31" s="2848"/>
      <c r="F31" s="2848"/>
      <c r="G31" s="2750" t="s">
        <v>2910</v>
      </c>
      <c r="H31" s="2752"/>
      <c r="I31" s="2849"/>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1"/>
      <c r="AH31" s="2711"/>
      <c r="AI31" s="2711"/>
      <c r="AJ31" s="2711"/>
    </row>
    <row r="32" spans="1:37" ht="24">
      <c r="A32" s="2834"/>
      <c r="B32" s="2850"/>
      <c r="C32" s="500" t="s">
        <v>2901</v>
      </c>
      <c r="D32" s="497" t="s">
        <v>2902</v>
      </c>
      <c r="E32" s="497" t="s">
        <v>2903</v>
      </c>
      <c r="F32" s="387" t="s">
        <v>2911</v>
      </c>
      <c r="G32" s="2851" t="s">
        <v>2901</v>
      </c>
      <c r="H32" s="2851" t="s">
        <v>2902</v>
      </c>
      <c r="I32" s="2851" t="s">
        <v>2903</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1"/>
      <c r="AH32" s="2711"/>
      <c r="AI32" s="2711"/>
      <c r="AJ32" s="2711"/>
    </row>
    <row r="33" spans="1:37" ht="36" customHeight="1">
      <c r="A33" s="3331" t="s">
        <v>2912</v>
      </c>
      <c r="B33" s="2852" t="s">
        <v>2913</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32"/>
      <c r="B34" s="2756" t="s">
        <v>2914</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2"/>
      <c r="B35" s="2756" t="s">
        <v>2915</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7"/>
      <c r="L35" s="1367"/>
      <c r="M35" s="1367"/>
      <c r="N35" s="1367"/>
      <c r="O35" s="1367"/>
      <c r="P35" s="1367"/>
      <c r="Q35" s="1367"/>
      <c r="R35" s="1367"/>
      <c r="S35" s="1367"/>
      <c r="T35" s="1367"/>
      <c r="U35" s="1367"/>
      <c r="V35" s="1367"/>
      <c r="W35" s="1367"/>
      <c r="X35" s="1367"/>
      <c r="Y35" s="1367"/>
      <c r="Z35" s="1368"/>
    </row>
    <row r="36" spans="1:37" ht="13.5" thickBot="1">
      <c r="A36" s="3333"/>
      <c r="B36" s="2756" t="s">
        <v>2916</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7"/>
      <c r="L36" s="2710"/>
      <c r="M36" s="2710"/>
      <c r="N36" s="1367"/>
      <c r="O36" s="1367"/>
      <c r="P36" s="1367"/>
      <c r="Q36" s="1367"/>
      <c r="R36" s="1367"/>
      <c r="S36" s="1367"/>
      <c r="T36" s="1367"/>
      <c r="U36" s="1367"/>
      <c r="V36" s="1367"/>
      <c r="W36" s="1367"/>
      <c r="X36" s="1367"/>
      <c r="Y36" s="1367"/>
      <c r="Z36" s="1368"/>
    </row>
    <row r="37" spans="1:37">
      <c r="A37" s="2854"/>
      <c r="B37" s="2756" t="s">
        <v>2917</v>
      </c>
      <c r="C37" s="199" t="e">
        <f>ROUND(C5*C19*C20*C24*F37,0)</f>
        <v>#DIV/0!</v>
      </c>
      <c r="D37" s="2836"/>
      <c r="E37" s="199" t="e">
        <f t="shared" si="7"/>
        <v>#DIV/0!</v>
      </c>
      <c r="F37" s="205">
        <f>SUMIF(修正!A45:A56,G2,修正!F45:F56)</f>
        <v>0</v>
      </c>
      <c r="G37" s="199" t="e">
        <f>ROUND(IF(E2="工业",C37*$M$39,C37*$M$38),0)</f>
        <v>#DIV/0!</v>
      </c>
      <c r="H37" s="199">
        <f t="shared" si="8"/>
        <v>0</v>
      </c>
      <c r="I37" s="199" t="e">
        <f t="shared" si="9"/>
        <v>#DIV/0!</v>
      </c>
      <c r="J37" s="2853"/>
      <c r="K37" s="1367"/>
      <c r="L37" s="2855" t="s">
        <v>2918</v>
      </c>
      <c r="M37" s="2856"/>
      <c r="N37" s="1367"/>
      <c r="O37" s="1367"/>
      <c r="P37" s="1367"/>
      <c r="Q37" s="1367"/>
      <c r="R37" s="1367"/>
      <c r="S37" s="1367"/>
      <c r="T37" s="1367"/>
      <c r="U37" s="1367"/>
      <c r="V37" s="1367"/>
      <c r="W37" s="1367"/>
      <c r="X37" s="1367"/>
      <c r="Y37" s="1367"/>
      <c r="Z37" s="1368"/>
    </row>
    <row r="38" spans="1:37">
      <c r="A38" s="2854"/>
      <c r="B38" s="2756" t="s">
        <v>2919</v>
      </c>
      <c r="C38" s="199" t="e">
        <f>ROUND(C5*C19*C20*C24*F38,0)</f>
        <v>#DIV/0!</v>
      </c>
      <c r="D38" s="2836"/>
      <c r="E38" s="199" t="e">
        <f t="shared" si="7"/>
        <v>#DIV/0!</v>
      </c>
      <c r="F38" s="205">
        <f>SUMIF(修正!A45:A56,G2,修正!G45:G56)</f>
        <v>0</v>
      </c>
      <c r="G38" s="199" t="e">
        <f>ROUND(IF(E2="工业",C38*$M$39,C38*$M$38),0)</f>
        <v>#DIV/0!</v>
      </c>
      <c r="H38" s="199">
        <f t="shared" si="8"/>
        <v>0</v>
      </c>
      <c r="I38" s="199" t="e">
        <f t="shared" si="9"/>
        <v>#DIV/0!</v>
      </c>
      <c r="J38" s="2853"/>
      <c r="K38" s="1367"/>
      <c r="L38" s="1882" t="s">
        <v>2920</v>
      </c>
      <c r="M38" s="2857">
        <v>0.25</v>
      </c>
      <c r="N38" s="1367"/>
      <c r="O38" s="1367"/>
      <c r="P38" s="1367"/>
      <c r="Q38" s="1367"/>
      <c r="R38" s="1367"/>
      <c r="S38" s="1367"/>
      <c r="T38" s="1367"/>
      <c r="U38" s="1367"/>
      <c r="V38" s="1367"/>
      <c r="W38" s="1367"/>
      <c r="X38" s="1367"/>
      <c r="Y38" s="1367"/>
      <c r="Z38" s="1368"/>
    </row>
    <row r="39" spans="1:37" ht="13.5" thickBot="1">
      <c r="A39" s="2840"/>
      <c r="B39" s="2858" t="s">
        <v>2921</v>
      </c>
      <c r="C39" s="228" t="e">
        <f>ROUND(C5*C19*C20*C24*F39,0)</f>
        <v>#DIV/0!</v>
      </c>
      <c r="D39" s="2842"/>
      <c r="E39" s="228" t="e">
        <f t="shared" si="7"/>
        <v>#DIV/0!</v>
      </c>
      <c r="F39" s="931">
        <f>SUMIF(修正!A45:A56,G2,修正!H45:H56)</f>
        <v>0</v>
      </c>
      <c r="G39" s="228" t="e">
        <f>ROUND(IF(E2="工业",C39*$M$39,C39*$M$38),0)</f>
        <v>#DIV/0!</v>
      </c>
      <c r="H39" s="228">
        <f t="shared" si="8"/>
        <v>0</v>
      </c>
      <c r="I39" s="228" t="e">
        <f t="shared" si="9"/>
        <v>#DIV/0!</v>
      </c>
      <c r="J39" s="2859"/>
      <c r="K39" s="1367"/>
      <c r="L39" s="2860" t="s">
        <v>2862</v>
      </c>
      <c r="M39" s="286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2"/>
      <c r="Z41" s="1368"/>
      <c r="AA41" s="1368"/>
      <c r="AB41" s="1368"/>
      <c r="AC41" s="1368"/>
      <c r="AD41" s="1368"/>
      <c r="AE41" s="1368"/>
      <c r="AF41" s="1368"/>
      <c r="AG41" s="1368"/>
      <c r="AH41" s="1368"/>
      <c r="AI41" s="1368"/>
      <c r="AJ41" s="1368"/>
    </row>
    <row r="42" spans="1:37" s="1367" customFormat="1">
      <c r="A42" s="1368"/>
      <c r="B42" s="2862"/>
      <c r="Z42" s="1368"/>
      <c r="AA42" s="1368"/>
      <c r="AB42" s="1368"/>
      <c r="AC42" s="1368"/>
      <c r="AD42" s="1368"/>
      <c r="AE42" s="1368"/>
      <c r="AF42" s="1368"/>
      <c r="AG42" s="1368"/>
      <c r="AH42" s="1368"/>
      <c r="AI42" s="1368"/>
      <c r="AJ42" s="1368"/>
    </row>
    <row r="43" spans="1:37" s="1367" customFormat="1">
      <c r="A43" s="1368"/>
      <c r="B43" s="2862"/>
      <c r="Z43" s="1368"/>
      <c r="AA43" s="1368"/>
      <c r="AB43" s="1368"/>
      <c r="AC43" s="1368"/>
      <c r="AD43" s="1368"/>
      <c r="AE43" s="1368"/>
      <c r="AF43" s="1368"/>
      <c r="AG43" s="1368"/>
      <c r="AH43" s="1368"/>
      <c r="AI43" s="1368"/>
      <c r="AJ43" s="1368"/>
    </row>
    <row r="44" spans="1:37" s="1367" customFormat="1">
      <c r="A44" s="1368"/>
      <c r="B44" s="2862"/>
      <c r="Z44" s="1368"/>
      <c r="AA44" s="1368"/>
      <c r="AB44" s="1368"/>
      <c r="AC44" s="1368"/>
      <c r="AD44" s="1368"/>
      <c r="AE44" s="1368"/>
      <c r="AF44" s="1368"/>
      <c r="AG44" s="1368"/>
      <c r="AH44" s="1368"/>
      <c r="AI44" s="1368"/>
      <c r="AJ44" s="1368"/>
    </row>
    <row r="45" spans="1:37" s="1367" customFormat="1" ht="15.75" thickBot="1">
      <c r="A45" s="2863" t="s">
        <v>2922</v>
      </c>
      <c r="B45" s="2864"/>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5" t="s">
        <v>2923</v>
      </c>
      <c r="B46" s="2866">
        <f>1+E48</f>
        <v>1</v>
      </c>
      <c r="C46" s="2867"/>
      <c r="D46" s="810"/>
      <c r="E46" s="811"/>
      <c r="F46" s="2868"/>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9" t="s">
        <v>2924</v>
      </c>
      <c r="B47" s="1804" t="s">
        <v>2925</v>
      </c>
      <c r="C47" s="1804" t="s">
        <v>2926</v>
      </c>
      <c r="D47" s="1804" t="s">
        <v>2927</v>
      </c>
      <c r="E47" s="815" t="s">
        <v>2928</v>
      </c>
      <c r="F47" s="2870" t="s">
        <v>2929</v>
      </c>
      <c r="G47" s="1804" t="s">
        <v>754</v>
      </c>
      <c r="H47" s="2871" t="s">
        <v>2930</v>
      </c>
      <c r="I47" s="1804" t="s">
        <v>2931</v>
      </c>
      <c r="J47" s="602" t="s">
        <v>2577</v>
      </c>
      <c r="K47" s="602" t="s">
        <v>2578</v>
      </c>
      <c r="L47" s="602" t="s">
        <v>2579</v>
      </c>
      <c r="M47" s="602" t="s">
        <v>2580</v>
      </c>
      <c r="N47" s="602" t="s">
        <v>2581</v>
      </c>
      <c r="AA47" s="1368"/>
      <c r="AB47" s="1368"/>
      <c r="AC47" s="1368"/>
      <c r="AD47" s="1368"/>
      <c r="AE47" s="1368"/>
      <c r="AF47" s="1368"/>
      <c r="AG47" s="1368"/>
      <c r="AH47" s="1368"/>
      <c r="AI47" s="1368"/>
      <c r="AJ47" s="1368"/>
      <c r="AK47" s="1368"/>
    </row>
    <row r="48" spans="1:37" s="1367" customFormat="1" ht="24.75">
      <c r="A48" s="2869" t="s">
        <v>2932</v>
      </c>
      <c r="B48" s="2872" t="str">
        <f>估价对象房地状况!C4</f>
        <v>较好</v>
      </c>
      <c r="C48" s="2761"/>
      <c r="D48" s="1284">
        <f t="shared" ref="D48:D56" si="10">SUMIF($J$47:$N$47,C48,J48:N48)</f>
        <v>0</v>
      </c>
      <c r="E48" s="817">
        <f>ROUND(SUM(D48:D56),4)</f>
        <v>0</v>
      </c>
      <c r="F48" s="2492"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8"/>
      <c r="AB48" s="1368"/>
      <c r="AC48" s="1368"/>
      <c r="AD48" s="1368"/>
      <c r="AE48" s="1368"/>
      <c r="AF48" s="1368"/>
      <c r="AG48" s="1368"/>
      <c r="AH48" s="1368"/>
      <c r="AI48" s="1368"/>
      <c r="AJ48" s="1368"/>
      <c r="AK48" s="1368"/>
    </row>
    <row r="49" spans="1:37" s="1367" customFormat="1" ht="14.25">
      <c r="A49" s="2869" t="s">
        <v>2933</v>
      </c>
      <c r="B49" s="2873" t="str">
        <f>估价对象房地状况!C18</f>
        <v>较好</v>
      </c>
      <c r="C49" s="2761"/>
      <c r="D49" s="1284">
        <f t="shared" si="10"/>
        <v>0</v>
      </c>
      <c r="E49" s="818"/>
      <c r="F49" s="2492"/>
      <c r="G49" s="1282"/>
      <c r="H49" s="1286" t="str">
        <f t="shared" si="11"/>
        <v>——</v>
      </c>
      <c r="I49" s="816">
        <v>0.25</v>
      </c>
      <c r="J49" s="1283">
        <f t="shared" si="12"/>
        <v>0</v>
      </c>
      <c r="K49" s="1283">
        <f t="shared" si="13"/>
        <v>0</v>
      </c>
      <c r="L49" s="1283">
        <v>0</v>
      </c>
      <c r="M49" s="1283">
        <f t="shared" si="14"/>
        <v>0</v>
      </c>
      <c r="N49" s="1283">
        <f t="shared" si="14"/>
        <v>0</v>
      </c>
      <c r="AA49" s="1368"/>
      <c r="AB49" s="1368"/>
      <c r="AC49" s="1368"/>
      <c r="AD49" s="1368"/>
      <c r="AE49" s="1368"/>
      <c r="AF49" s="1368"/>
      <c r="AG49" s="1368"/>
      <c r="AH49" s="1368"/>
      <c r="AI49" s="1368"/>
      <c r="AJ49" s="1368"/>
      <c r="AK49" s="1368"/>
    </row>
    <row r="50" spans="1:37" s="1367" customFormat="1" ht="24">
      <c r="A50" s="2869" t="s">
        <v>2934</v>
      </c>
      <c r="B50" s="2873" t="str">
        <f>估价对象房地状况!C19</f>
        <v>较好</v>
      </c>
      <c r="C50" s="2761"/>
      <c r="D50" s="1284">
        <f t="shared" si="10"/>
        <v>0</v>
      </c>
      <c r="E50" s="818"/>
      <c r="F50" s="2492"/>
      <c r="G50" s="1282"/>
      <c r="H50" s="1286" t="str">
        <f t="shared" si="11"/>
        <v>——</v>
      </c>
      <c r="I50" s="816">
        <v>0.05</v>
      </c>
      <c r="J50" s="1283">
        <f t="shared" si="12"/>
        <v>0</v>
      </c>
      <c r="K50" s="1283">
        <f t="shared" si="13"/>
        <v>0</v>
      </c>
      <c r="L50" s="1283">
        <v>0</v>
      </c>
      <c r="M50" s="1283">
        <f t="shared" si="14"/>
        <v>0</v>
      </c>
      <c r="N50" s="1283">
        <f t="shared" si="14"/>
        <v>0</v>
      </c>
      <c r="AA50" s="1368"/>
      <c r="AB50" s="1368"/>
      <c r="AC50" s="1368"/>
      <c r="AD50" s="1368"/>
      <c r="AE50" s="1368"/>
      <c r="AF50" s="1368"/>
      <c r="AG50" s="1368"/>
      <c r="AH50" s="1368"/>
      <c r="AI50" s="1368"/>
      <c r="AJ50" s="1368"/>
      <c r="AK50" s="1368"/>
    </row>
    <row r="51" spans="1:37" s="1367" customFormat="1" ht="36.75">
      <c r="A51" s="2869" t="s">
        <v>2935</v>
      </c>
      <c r="B51" s="2874" t="s">
        <v>2936</v>
      </c>
      <c r="C51" s="2761"/>
      <c r="D51" s="1284">
        <f t="shared" si="10"/>
        <v>0</v>
      </c>
      <c r="E51" s="818"/>
      <c r="F51" s="2492"/>
      <c r="G51" s="1282"/>
      <c r="H51" s="1286" t="str">
        <f t="shared" si="11"/>
        <v>——</v>
      </c>
      <c r="I51" s="816">
        <v>0.05</v>
      </c>
      <c r="J51" s="1283">
        <f t="shared" si="12"/>
        <v>0</v>
      </c>
      <c r="K51" s="1283">
        <f t="shared" si="13"/>
        <v>0</v>
      </c>
      <c r="L51" s="1283">
        <v>0</v>
      </c>
      <c r="M51" s="1283">
        <f t="shared" si="14"/>
        <v>0</v>
      </c>
      <c r="N51" s="1283">
        <f t="shared" si="14"/>
        <v>0</v>
      </c>
      <c r="AA51" s="1368"/>
      <c r="AB51" s="1368"/>
      <c r="AC51" s="1368"/>
      <c r="AD51" s="1368"/>
      <c r="AE51" s="1368"/>
      <c r="AF51" s="1368"/>
      <c r="AG51" s="1368"/>
      <c r="AH51" s="1368"/>
      <c r="AI51" s="1368"/>
      <c r="AJ51" s="1368"/>
      <c r="AK51" s="1368"/>
    </row>
    <row r="52" spans="1:37" s="1367" customFormat="1" ht="24">
      <c r="A52" s="2869" t="s">
        <v>2937</v>
      </c>
      <c r="B52" s="2873">
        <f>估价对象房地状况!C24</f>
        <v>0</v>
      </c>
      <c r="C52" s="2761"/>
      <c r="D52" s="1284">
        <f t="shared" si="10"/>
        <v>0</v>
      </c>
      <c r="E52" s="818"/>
      <c r="F52" s="2492"/>
      <c r="G52" s="1282"/>
      <c r="H52" s="1286" t="str">
        <f t="shared" si="11"/>
        <v>——</v>
      </c>
      <c r="I52" s="816">
        <v>0.08</v>
      </c>
      <c r="J52" s="1283">
        <f t="shared" si="12"/>
        <v>0</v>
      </c>
      <c r="K52" s="1283">
        <f t="shared" si="13"/>
        <v>0</v>
      </c>
      <c r="L52" s="1283">
        <v>0</v>
      </c>
      <c r="M52" s="1283">
        <f t="shared" si="14"/>
        <v>0</v>
      </c>
      <c r="N52" s="1283">
        <f t="shared" si="14"/>
        <v>0</v>
      </c>
      <c r="AA52" s="1368"/>
      <c r="AB52" s="1368"/>
      <c r="AC52" s="1368"/>
      <c r="AD52" s="1368"/>
      <c r="AE52" s="1368"/>
      <c r="AF52" s="1368"/>
      <c r="AG52" s="1368"/>
      <c r="AH52" s="1368"/>
      <c r="AI52" s="1368"/>
      <c r="AJ52" s="1368"/>
      <c r="AK52" s="1368"/>
    </row>
    <row r="53" spans="1:37" s="1367" customFormat="1" ht="24">
      <c r="A53" s="2869" t="s">
        <v>2938</v>
      </c>
      <c r="B53" s="2875" t="s">
        <v>2939</v>
      </c>
      <c r="C53" s="2761"/>
      <c r="D53" s="1284">
        <f t="shared" si="10"/>
        <v>0</v>
      </c>
      <c r="E53" s="818"/>
      <c r="F53" s="2492"/>
      <c r="G53" s="1282"/>
      <c r="H53" s="1286" t="str">
        <f t="shared" si="11"/>
        <v>——</v>
      </c>
      <c r="I53" s="816">
        <v>0.03</v>
      </c>
      <c r="J53" s="1283">
        <f t="shared" si="12"/>
        <v>0</v>
      </c>
      <c r="K53" s="1283">
        <f t="shared" si="13"/>
        <v>0</v>
      </c>
      <c r="L53" s="1283">
        <v>0</v>
      </c>
      <c r="M53" s="1283">
        <f t="shared" si="14"/>
        <v>0</v>
      </c>
      <c r="N53" s="1283">
        <f t="shared" si="14"/>
        <v>0</v>
      </c>
      <c r="AA53" s="1368"/>
      <c r="AB53" s="1368"/>
      <c r="AC53" s="1368"/>
      <c r="AD53" s="1368"/>
      <c r="AE53" s="1368"/>
      <c r="AF53" s="1368"/>
      <c r="AG53" s="1368"/>
      <c r="AH53" s="1368"/>
      <c r="AI53" s="1368"/>
      <c r="AJ53" s="1368"/>
      <c r="AK53" s="1368"/>
    </row>
    <row r="54" spans="1:37" s="1367" customFormat="1" ht="24">
      <c r="A54" s="2876" t="s">
        <v>2940</v>
      </c>
      <c r="B54" s="1720" t="str">
        <f>估价对象房地状况!C21</f>
        <v>较好</v>
      </c>
      <c r="C54" s="2761"/>
      <c r="D54" s="1284">
        <f t="shared" si="10"/>
        <v>0</v>
      </c>
      <c r="E54" s="818"/>
      <c r="F54" s="2492"/>
      <c r="G54" s="1282"/>
      <c r="H54" s="1286" t="str">
        <f t="shared" si="11"/>
        <v>——</v>
      </c>
      <c r="I54" s="816">
        <v>0.05</v>
      </c>
      <c r="J54" s="1283">
        <f t="shared" si="12"/>
        <v>0</v>
      </c>
      <c r="K54" s="1283">
        <f t="shared" si="13"/>
        <v>0</v>
      </c>
      <c r="L54" s="1283">
        <v>0</v>
      </c>
      <c r="M54" s="1283">
        <f t="shared" si="14"/>
        <v>0</v>
      </c>
      <c r="N54" s="1283">
        <f t="shared" si="14"/>
        <v>0</v>
      </c>
      <c r="AA54" s="1368"/>
      <c r="AB54" s="1368"/>
      <c r="AC54" s="1368"/>
      <c r="AD54" s="1368"/>
      <c r="AE54" s="1368"/>
      <c r="AF54" s="1368"/>
      <c r="AG54" s="1368"/>
      <c r="AH54" s="1368"/>
      <c r="AI54" s="1368"/>
      <c r="AJ54" s="1368"/>
      <c r="AK54" s="1368"/>
    </row>
    <row r="55" spans="1:37" s="1367" customFormat="1" ht="24">
      <c r="A55" s="2876" t="s">
        <v>2941</v>
      </c>
      <c r="B55" s="2873" t="str">
        <f>估价对象房地状况!C22</f>
        <v>六通</v>
      </c>
      <c r="C55" s="2761"/>
      <c r="D55" s="1284">
        <f t="shared" si="10"/>
        <v>0</v>
      </c>
      <c r="E55" s="818"/>
      <c r="F55" s="2492"/>
      <c r="G55" s="1282"/>
      <c r="H55" s="1286" t="str">
        <f t="shared" si="11"/>
        <v>——</v>
      </c>
      <c r="I55" s="816">
        <v>0.1</v>
      </c>
      <c r="J55" s="1283">
        <f t="shared" si="12"/>
        <v>0</v>
      </c>
      <c r="K55" s="1283">
        <f t="shared" si="13"/>
        <v>0</v>
      </c>
      <c r="L55" s="1283">
        <v>0</v>
      </c>
      <c r="M55" s="1283">
        <f t="shared" si="14"/>
        <v>0</v>
      </c>
      <c r="N55" s="1283">
        <f t="shared" si="14"/>
        <v>0</v>
      </c>
      <c r="AA55" s="1368"/>
      <c r="AB55" s="1368"/>
      <c r="AC55" s="1368"/>
      <c r="AD55" s="1368"/>
      <c r="AE55" s="1368"/>
      <c r="AF55" s="1368"/>
      <c r="AG55" s="1368"/>
      <c r="AH55" s="1368"/>
      <c r="AI55" s="1368"/>
      <c r="AJ55" s="1368"/>
      <c r="AK55" s="1368"/>
    </row>
    <row r="56" spans="1:37" s="1367" customFormat="1" ht="24.75" thickBot="1">
      <c r="A56" s="2877" t="s">
        <v>2942</v>
      </c>
      <c r="B56" s="2878" t="str">
        <f>估价对象房地状况!C20</f>
        <v>较好</v>
      </c>
      <c r="C56" s="2761"/>
      <c r="D56" s="1284">
        <f t="shared" si="10"/>
        <v>0</v>
      </c>
      <c r="E56" s="821"/>
      <c r="F56" s="2492"/>
      <c r="G56" s="1282"/>
      <c r="H56" s="1286" t="str">
        <f t="shared" si="11"/>
        <v>——</v>
      </c>
      <c r="I56" s="820">
        <v>0.06</v>
      </c>
      <c r="J56" s="1283">
        <f t="shared" si="12"/>
        <v>0</v>
      </c>
      <c r="K56" s="1283">
        <f t="shared" si="13"/>
        <v>0</v>
      </c>
      <c r="L56" s="1283">
        <v>0</v>
      </c>
      <c r="M56" s="1283">
        <f t="shared" si="14"/>
        <v>0</v>
      </c>
      <c r="N56" s="1283">
        <f t="shared" si="14"/>
        <v>0</v>
      </c>
      <c r="AA56" s="1368"/>
      <c r="AB56" s="1368"/>
      <c r="AC56" s="1368"/>
      <c r="AD56" s="1368"/>
      <c r="AE56" s="1368"/>
      <c r="AF56" s="1368"/>
      <c r="AG56" s="1368"/>
      <c r="AH56" s="1368"/>
      <c r="AI56" s="1368"/>
      <c r="AJ56" s="1368"/>
      <c r="AK56" s="1368"/>
    </row>
    <row r="57" spans="1:37" s="1367" customFormat="1" ht="15">
      <c r="A57" s="2865" t="s">
        <v>2943</v>
      </c>
      <c r="B57" s="2866">
        <f>1+E59</f>
        <v>1</v>
      </c>
      <c r="C57" s="810"/>
      <c r="D57" s="810"/>
      <c r="E57" s="811"/>
      <c r="F57" s="286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9" t="s">
        <v>2924</v>
      </c>
      <c r="B58" s="1804"/>
      <c r="C58" s="1804" t="s">
        <v>2926</v>
      </c>
      <c r="D58" s="1804" t="s">
        <v>2927</v>
      </c>
      <c r="E58" s="815" t="s">
        <v>2928</v>
      </c>
      <c r="F58" s="2870" t="s">
        <v>2944</v>
      </c>
      <c r="G58" s="1804" t="s">
        <v>754</v>
      </c>
      <c r="H58" s="2871" t="s">
        <v>2930</v>
      </c>
      <c r="I58" s="1804" t="s">
        <v>2931</v>
      </c>
      <c r="J58" s="602" t="s">
        <v>2577</v>
      </c>
      <c r="K58" s="602" t="s">
        <v>2578</v>
      </c>
      <c r="L58" s="602" t="s">
        <v>2579</v>
      </c>
      <c r="M58" s="602" t="s">
        <v>2580</v>
      </c>
      <c r="N58" s="602" t="s">
        <v>2581</v>
      </c>
      <c r="AA58" s="1368"/>
      <c r="AB58" s="1368"/>
      <c r="AC58" s="1368"/>
      <c r="AD58" s="1368"/>
      <c r="AE58" s="1368"/>
      <c r="AF58" s="1368"/>
      <c r="AG58" s="1368"/>
      <c r="AH58" s="1368"/>
      <c r="AI58" s="1368"/>
      <c r="AJ58" s="1368"/>
      <c r="AK58" s="1368"/>
    </row>
    <row r="59" spans="1:37" s="1367" customFormat="1" ht="24">
      <c r="A59" s="2869" t="s">
        <v>2945</v>
      </c>
      <c r="B59" s="2872" t="str">
        <f>估价对象房地状况!C17</f>
        <v>较好</v>
      </c>
      <c r="C59" s="2761"/>
      <c r="D59" s="1284">
        <f t="shared" ref="D59:D67" si="15">SUMIF($J$58:$N$58,C59,J59:N59)</f>
        <v>0</v>
      </c>
      <c r="E59" s="817">
        <f>ROUND(SUM(D59:D67),4)</f>
        <v>0</v>
      </c>
      <c r="F59" s="2492"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8"/>
      <c r="AB59" s="1368"/>
      <c r="AC59" s="1368"/>
      <c r="AD59" s="1368"/>
      <c r="AE59" s="1368"/>
      <c r="AF59" s="1368"/>
      <c r="AG59" s="1368"/>
      <c r="AH59" s="1368"/>
      <c r="AI59" s="1368"/>
      <c r="AJ59" s="1368"/>
      <c r="AK59" s="1368"/>
    </row>
    <row r="60" spans="1:37" s="1367" customFormat="1" ht="14.25">
      <c r="A60" s="2869" t="s">
        <v>2933</v>
      </c>
      <c r="B60" s="2873" t="str">
        <f>估价对象房地状况!C18</f>
        <v>较好</v>
      </c>
      <c r="C60" s="2761"/>
      <c r="D60" s="1284">
        <f t="shared" si="15"/>
        <v>0</v>
      </c>
      <c r="E60" s="818"/>
      <c r="F60" s="2492"/>
      <c r="G60" s="1282"/>
      <c r="H60" s="1286" t="str">
        <f t="shared" si="16"/>
        <v>——</v>
      </c>
      <c r="I60" s="816">
        <v>0.3</v>
      </c>
      <c r="J60" s="1283">
        <f t="shared" si="17"/>
        <v>0</v>
      </c>
      <c r="K60" s="1283">
        <f t="shared" si="18"/>
        <v>0</v>
      </c>
      <c r="L60" s="1283">
        <v>0</v>
      </c>
      <c r="M60" s="1283">
        <f t="shared" si="19"/>
        <v>0</v>
      </c>
      <c r="N60" s="1283">
        <f t="shared" si="19"/>
        <v>0</v>
      </c>
      <c r="AA60" s="1368"/>
      <c r="AB60" s="1368"/>
      <c r="AC60" s="1368"/>
      <c r="AD60" s="1368"/>
      <c r="AE60" s="1368"/>
      <c r="AF60" s="1368"/>
      <c r="AG60" s="1368"/>
      <c r="AH60" s="1368"/>
      <c r="AI60" s="1368"/>
      <c r="AJ60" s="1368"/>
      <c r="AK60" s="1368"/>
    </row>
    <row r="61" spans="1:37" s="1367" customFormat="1" ht="24">
      <c r="A61" s="2869" t="s">
        <v>2934</v>
      </c>
      <c r="B61" s="2873" t="str">
        <f>估价对象房地状况!C19</f>
        <v>较好</v>
      </c>
      <c r="C61" s="2761"/>
      <c r="D61" s="1284">
        <f t="shared" si="15"/>
        <v>0</v>
      </c>
      <c r="E61" s="818"/>
      <c r="F61" s="2492"/>
      <c r="G61" s="1282"/>
      <c r="H61" s="1286" t="str">
        <f t="shared" si="16"/>
        <v>——</v>
      </c>
      <c r="I61" s="816">
        <v>0.08</v>
      </c>
      <c r="J61" s="1283">
        <f t="shared" si="17"/>
        <v>0</v>
      </c>
      <c r="K61" s="1283">
        <f t="shared" si="18"/>
        <v>0</v>
      </c>
      <c r="L61" s="1283">
        <v>0</v>
      </c>
      <c r="M61" s="1283">
        <f t="shared" si="19"/>
        <v>0</v>
      </c>
      <c r="N61" s="1283">
        <f t="shared" si="19"/>
        <v>0</v>
      </c>
      <c r="AA61" s="1368"/>
      <c r="AB61" s="1368"/>
      <c r="AC61" s="1368"/>
      <c r="AD61" s="1368"/>
      <c r="AE61" s="1368"/>
      <c r="AF61" s="1368"/>
      <c r="AG61" s="1368"/>
      <c r="AH61" s="1368"/>
      <c r="AI61" s="1368"/>
      <c r="AJ61" s="1368"/>
      <c r="AK61" s="1368"/>
    </row>
    <row r="62" spans="1:37" s="1367" customFormat="1" ht="36.75">
      <c r="A62" s="2869" t="s">
        <v>2935</v>
      </c>
      <c r="B62" s="2874" t="s">
        <v>2936</v>
      </c>
      <c r="C62" s="2761"/>
      <c r="D62" s="1284">
        <f t="shared" si="15"/>
        <v>0</v>
      </c>
      <c r="E62" s="818"/>
      <c r="F62" s="2492"/>
      <c r="G62" s="1282"/>
      <c r="H62" s="1286" t="str">
        <f t="shared" si="16"/>
        <v>——</v>
      </c>
      <c r="I62" s="816">
        <v>0.04</v>
      </c>
      <c r="J62" s="1283">
        <f t="shared" si="17"/>
        <v>0</v>
      </c>
      <c r="K62" s="1283">
        <f t="shared" si="18"/>
        <v>0</v>
      </c>
      <c r="L62" s="1283">
        <v>0</v>
      </c>
      <c r="M62" s="1283">
        <f t="shared" si="19"/>
        <v>0</v>
      </c>
      <c r="N62" s="1283">
        <f t="shared" si="19"/>
        <v>0</v>
      </c>
      <c r="AA62" s="1368"/>
      <c r="AB62" s="1368"/>
      <c r="AC62" s="1368"/>
      <c r="AD62" s="1368"/>
      <c r="AE62" s="1368"/>
      <c r="AF62" s="1368"/>
      <c r="AG62" s="1368"/>
      <c r="AH62" s="1368"/>
      <c r="AI62" s="1368"/>
      <c r="AJ62" s="1368"/>
      <c r="AK62" s="1368"/>
    </row>
    <row r="63" spans="1:37" s="1367" customFormat="1" ht="24">
      <c r="A63" s="2869" t="s">
        <v>2937</v>
      </c>
      <c r="B63" s="2873">
        <f>估价对象房地状况!C24</f>
        <v>0</v>
      </c>
      <c r="C63" s="2761"/>
      <c r="D63" s="1284">
        <f t="shared" si="15"/>
        <v>0</v>
      </c>
      <c r="E63" s="818"/>
      <c r="F63" s="2492"/>
      <c r="G63" s="1282"/>
      <c r="H63" s="1286" t="str">
        <f t="shared" si="16"/>
        <v>——</v>
      </c>
      <c r="I63" s="816">
        <v>0.05</v>
      </c>
      <c r="J63" s="1283">
        <f t="shared" si="17"/>
        <v>0</v>
      </c>
      <c r="K63" s="1283">
        <f t="shared" si="18"/>
        <v>0</v>
      </c>
      <c r="L63" s="1283">
        <v>0</v>
      </c>
      <c r="M63" s="1283">
        <f t="shared" si="19"/>
        <v>0</v>
      </c>
      <c r="N63" s="1283">
        <f t="shared" si="19"/>
        <v>0</v>
      </c>
      <c r="AA63" s="1368"/>
      <c r="AB63" s="1368"/>
      <c r="AC63" s="1368"/>
      <c r="AD63" s="1368"/>
      <c r="AE63" s="1368"/>
      <c r="AF63" s="1368"/>
      <c r="AG63" s="1368"/>
      <c r="AH63" s="1368"/>
      <c r="AI63" s="1368"/>
      <c r="AJ63" s="1368"/>
      <c r="AK63" s="1368"/>
    </row>
    <row r="64" spans="1:37" s="1367" customFormat="1" ht="24">
      <c r="A64" s="2869" t="s">
        <v>2938</v>
      </c>
      <c r="B64" s="2875" t="s">
        <v>2939</v>
      </c>
      <c r="C64" s="2761"/>
      <c r="D64" s="1284">
        <f t="shared" si="15"/>
        <v>0</v>
      </c>
      <c r="E64" s="818"/>
      <c r="F64" s="2492"/>
      <c r="G64" s="1282"/>
      <c r="H64" s="1286" t="str">
        <f t="shared" si="16"/>
        <v>——</v>
      </c>
      <c r="I64" s="816">
        <v>0.05</v>
      </c>
      <c r="J64" s="1283">
        <f t="shared" si="17"/>
        <v>0</v>
      </c>
      <c r="K64" s="1283">
        <f t="shared" si="18"/>
        <v>0</v>
      </c>
      <c r="L64" s="1283">
        <v>0</v>
      </c>
      <c r="M64" s="1283">
        <f t="shared" si="19"/>
        <v>0</v>
      </c>
      <c r="N64" s="1283">
        <f t="shared" si="19"/>
        <v>0</v>
      </c>
      <c r="AA64" s="1368"/>
      <c r="AB64" s="1368"/>
      <c r="AC64" s="1368"/>
      <c r="AD64" s="1368"/>
      <c r="AE64" s="1368"/>
      <c r="AF64" s="1368"/>
      <c r="AG64" s="1368"/>
      <c r="AH64" s="1368"/>
      <c r="AI64" s="1368"/>
      <c r="AJ64" s="1368"/>
      <c r="AK64" s="1368"/>
    </row>
    <row r="65" spans="1:37" s="1367" customFormat="1" ht="24">
      <c r="A65" s="2869" t="s">
        <v>2940</v>
      </c>
      <c r="B65" s="1720" t="str">
        <f>估价对象房地状况!C21</f>
        <v>较好</v>
      </c>
      <c r="C65" s="2761"/>
      <c r="D65" s="1284">
        <f t="shared" si="15"/>
        <v>0</v>
      </c>
      <c r="E65" s="818"/>
      <c r="F65" s="2492"/>
      <c r="G65" s="1282"/>
      <c r="H65" s="1286" t="str">
        <f t="shared" si="16"/>
        <v>——</v>
      </c>
      <c r="I65" s="816">
        <v>0.06</v>
      </c>
      <c r="J65" s="1283">
        <f t="shared" si="17"/>
        <v>0</v>
      </c>
      <c r="K65" s="1283">
        <f t="shared" si="18"/>
        <v>0</v>
      </c>
      <c r="L65" s="1283">
        <v>0</v>
      </c>
      <c r="M65" s="1283">
        <f t="shared" si="19"/>
        <v>0</v>
      </c>
      <c r="N65" s="1283">
        <f t="shared" si="19"/>
        <v>0</v>
      </c>
      <c r="AA65" s="1368"/>
      <c r="AB65" s="1368"/>
      <c r="AC65" s="1368"/>
      <c r="AD65" s="1368"/>
      <c r="AE65" s="1368"/>
      <c r="AF65" s="1368"/>
      <c r="AG65" s="1368"/>
      <c r="AH65" s="1368"/>
      <c r="AI65" s="1368"/>
      <c r="AJ65" s="1368"/>
      <c r="AK65" s="1368"/>
    </row>
    <row r="66" spans="1:37" s="1367" customFormat="1" ht="24">
      <c r="A66" s="2869" t="s">
        <v>2941</v>
      </c>
      <c r="B66" s="1720" t="str">
        <f>估价对象房地状况!C22</f>
        <v>六通</v>
      </c>
      <c r="C66" s="2761"/>
      <c r="D66" s="1284">
        <f t="shared" si="15"/>
        <v>0</v>
      </c>
      <c r="E66" s="818"/>
      <c r="F66" s="2492"/>
      <c r="G66" s="1282"/>
      <c r="H66" s="1286" t="str">
        <f t="shared" si="16"/>
        <v>——</v>
      </c>
      <c r="I66" s="816">
        <v>0.12</v>
      </c>
      <c r="J66" s="1283">
        <f t="shared" si="17"/>
        <v>0</v>
      </c>
      <c r="K66" s="1283">
        <f t="shared" si="18"/>
        <v>0</v>
      </c>
      <c r="L66" s="1283">
        <v>0</v>
      </c>
      <c r="M66" s="1283">
        <f t="shared" si="19"/>
        <v>0</v>
      </c>
      <c r="N66" s="1283">
        <f t="shared" si="19"/>
        <v>0</v>
      </c>
      <c r="AA66" s="1368"/>
      <c r="AB66" s="1368"/>
      <c r="AC66" s="1368"/>
      <c r="AD66" s="1368"/>
      <c r="AE66" s="1368"/>
      <c r="AF66" s="1368"/>
      <c r="AG66" s="1368"/>
      <c r="AH66" s="1368"/>
      <c r="AI66" s="1368"/>
      <c r="AJ66" s="1368"/>
      <c r="AK66" s="1368"/>
    </row>
    <row r="67" spans="1:37" s="1367" customFormat="1" ht="24.75" thickBot="1">
      <c r="A67" s="2877" t="s">
        <v>2942</v>
      </c>
      <c r="B67" s="2879" t="str">
        <f>估价对象房地状况!C20</f>
        <v>较好</v>
      </c>
      <c r="C67" s="2761"/>
      <c r="D67" s="1284">
        <f t="shared" si="15"/>
        <v>0</v>
      </c>
      <c r="E67" s="821"/>
      <c r="F67" s="2492"/>
      <c r="G67" s="1282"/>
      <c r="H67" s="1286" t="str">
        <f t="shared" si="16"/>
        <v>——</v>
      </c>
      <c r="I67" s="820">
        <v>0.06</v>
      </c>
      <c r="J67" s="1283">
        <f t="shared" si="17"/>
        <v>0</v>
      </c>
      <c r="K67" s="1283">
        <f t="shared" si="18"/>
        <v>0</v>
      </c>
      <c r="L67" s="1283">
        <v>0</v>
      </c>
      <c r="M67" s="1283">
        <f t="shared" si="19"/>
        <v>0</v>
      </c>
      <c r="N67" s="1283">
        <f t="shared" si="19"/>
        <v>0</v>
      </c>
      <c r="AA67" s="1368"/>
      <c r="AB67" s="1368"/>
      <c r="AC67" s="1368"/>
      <c r="AD67" s="1368"/>
      <c r="AE67" s="1368"/>
      <c r="AF67" s="1368"/>
      <c r="AG67" s="1368"/>
      <c r="AH67" s="1368"/>
      <c r="AI67" s="1368"/>
      <c r="AJ67" s="1368"/>
      <c r="AK67" s="1368"/>
    </row>
    <row r="68" spans="1:37" s="1367" customFormat="1" ht="15">
      <c r="A68" s="2865" t="s">
        <v>2946</v>
      </c>
      <c r="B68" s="2866">
        <f>1+E70</f>
        <v>1</v>
      </c>
      <c r="C68" s="810"/>
      <c r="D68" s="810"/>
      <c r="E68" s="811"/>
      <c r="F68" s="286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9" t="s">
        <v>2924</v>
      </c>
      <c r="B69" s="1804"/>
      <c r="C69" s="1804" t="s">
        <v>2926</v>
      </c>
      <c r="D69" s="1804" t="s">
        <v>2927</v>
      </c>
      <c r="E69" s="815" t="s">
        <v>2928</v>
      </c>
      <c r="F69" s="2870" t="s">
        <v>2944</v>
      </c>
      <c r="G69" s="1804" t="s">
        <v>754</v>
      </c>
      <c r="H69" s="2871" t="s">
        <v>2930</v>
      </c>
      <c r="I69" s="1804" t="s">
        <v>2931</v>
      </c>
      <c r="J69" s="602" t="s">
        <v>2577</v>
      </c>
      <c r="K69" s="602" t="s">
        <v>2578</v>
      </c>
      <c r="L69" s="602" t="s">
        <v>2579</v>
      </c>
      <c r="M69" s="602" t="s">
        <v>2580</v>
      </c>
      <c r="N69" s="602" t="s">
        <v>2581</v>
      </c>
      <c r="AA69" s="1368"/>
      <c r="AB69" s="1368"/>
      <c r="AC69" s="1368"/>
      <c r="AD69" s="1368"/>
      <c r="AE69" s="1368"/>
      <c r="AF69" s="1368"/>
      <c r="AG69" s="1368"/>
      <c r="AH69" s="1368"/>
      <c r="AI69" s="1368"/>
      <c r="AJ69" s="1368"/>
      <c r="AK69" s="1368"/>
    </row>
    <row r="70" spans="1:37" s="1367" customFormat="1" ht="24">
      <c r="A70" s="2869" t="s">
        <v>2947</v>
      </c>
      <c r="B70" s="2872" t="str">
        <f>估价对象房地状况!C15</f>
        <v>较好</v>
      </c>
      <c r="C70" s="2761"/>
      <c r="D70" s="1284">
        <f t="shared" ref="D70:D78" si="20">SUMIF($J$69:$N$69,C70,J70:N70)</f>
        <v>0</v>
      </c>
      <c r="E70" s="817">
        <f>ROUND(SUM(D70:D78),4)</f>
        <v>0</v>
      </c>
      <c r="F70" s="2492"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8"/>
      <c r="AB70" s="1368"/>
      <c r="AC70" s="1368"/>
      <c r="AD70" s="1368"/>
      <c r="AE70" s="1368"/>
      <c r="AF70" s="1368"/>
      <c r="AG70" s="1368"/>
      <c r="AH70" s="1368"/>
      <c r="AI70" s="1368"/>
      <c r="AJ70" s="1368"/>
      <c r="AK70" s="1368"/>
    </row>
    <row r="71" spans="1:37" s="1367" customFormat="1" ht="14.25">
      <c r="A71" s="2869" t="s">
        <v>2933</v>
      </c>
      <c r="B71" s="2873" t="str">
        <f>估价对象房地状况!C18</f>
        <v>较好</v>
      </c>
      <c r="C71" s="2761"/>
      <c r="D71" s="1284">
        <f t="shared" si="20"/>
        <v>0</v>
      </c>
      <c r="E71" s="822"/>
      <c r="F71" s="2492"/>
      <c r="G71" s="1282"/>
      <c r="H71" s="1286" t="str">
        <f t="shared" si="21"/>
        <v>——</v>
      </c>
      <c r="I71" s="816">
        <v>0.3</v>
      </c>
      <c r="J71" s="1283">
        <f t="shared" si="22"/>
        <v>0</v>
      </c>
      <c r="K71" s="1283">
        <f t="shared" si="23"/>
        <v>0</v>
      </c>
      <c r="L71" s="1283">
        <v>0</v>
      </c>
      <c r="M71" s="1283">
        <f t="shared" si="24"/>
        <v>0</v>
      </c>
      <c r="N71" s="1283">
        <f t="shared" si="24"/>
        <v>0</v>
      </c>
      <c r="AA71" s="1368"/>
      <c r="AB71" s="1368"/>
      <c r="AC71" s="1368"/>
      <c r="AD71" s="1368"/>
      <c r="AE71" s="1368"/>
      <c r="AF71" s="1368"/>
      <c r="AG71" s="1368"/>
      <c r="AH71" s="1368"/>
      <c r="AI71" s="1368"/>
      <c r="AJ71" s="1368"/>
      <c r="AK71" s="1368"/>
    </row>
    <row r="72" spans="1:37" s="1367" customFormat="1" ht="24">
      <c r="A72" s="2869" t="s">
        <v>2934</v>
      </c>
      <c r="B72" s="2873" t="str">
        <f>估价对象房地状况!C19</f>
        <v>较好</v>
      </c>
      <c r="C72" s="2761"/>
      <c r="D72" s="1284">
        <f t="shared" si="20"/>
        <v>0</v>
      </c>
      <c r="E72" s="822"/>
      <c r="F72" s="2492"/>
      <c r="G72" s="1282"/>
      <c r="H72" s="1286" t="str">
        <f t="shared" si="21"/>
        <v>——</v>
      </c>
      <c r="I72" s="816">
        <v>0.08</v>
      </c>
      <c r="J72" s="1283">
        <f t="shared" si="22"/>
        <v>0</v>
      </c>
      <c r="K72" s="1283">
        <f t="shared" si="23"/>
        <v>0</v>
      </c>
      <c r="L72" s="1283">
        <v>0</v>
      </c>
      <c r="M72" s="1283">
        <f t="shared" si="24"/>
        <v>0</v>
      </c>
      <c r="N72" s="1283">
        <f t="shared" si="24"/>
        <v>0</v>
      </c>
      <c r="AA72" s="1368"/>
      <c r="AB72" s="1368"/>
      <c r="AC72" s="1368"/>
      <c r="AD72" s="1368"/>
      <c r="AE72" s="1368"/>
      <c r="AF72" s="1368"/>
      <c r="AG72" s="1368"/>
      <c r="AH72" s="1368"/>
      <c r="AI72" s="1368"/>
      <c r="AJ72" s="1368"/>
      <c r="AK72" s="1368"/>
    </row>
    <row r="73" spans="1:37" s="1367" customFormat="1" ht="14.25">
      <c r="A73" s="2869" t="s">
        <v>2948</v>
      </c>
      <c r="B73" s="2873">
        <f>估价对象房地状况!C24</f>
        <v>0</v>
      </c>
      <c r="C73" s="2761"/>
      <c r="D73" s="1284">
        <f t="shared" si="20"/>
        <v>0</v>
      </c>
      <c r="E73" s="822"/>
      <c r="F73" s="2492"/>
      <c r="G73" s="1282"/>
      <c r="H73" s="1286" t="str">
        <f t="shared" si="21"/>
        <v>——</v>
      </c>
      <c r="I73" s="816">
        <v>0.04</v>
      </c>
      <c r="J73" s="1283">
        <f t="shared" si="22"/>
        <v>0</v>
      </c>
      <c r="K73" s="1283">
        <f t="shared" si="23"/>
        <v>0</v>
      </c>
      <c r="L73" s="1283">
        <v>0</v>
      </c>
      <c r="M73" s="1283">
        <f t="shared" si="24"/>
        <v>0</v>
      </c>
      <c r="N73" s="1283">
        <f t="shared" si="24"/>
        <v>0</v>
      </c>
      <c r="AA73" s="1368"/>
      <c r="AB73" s="1368"/>
      <c r="AC73" s="1368"/>
      <c r="AD73" s="1368"/>
      <c r="AE73" s="1368"/>
      <c r="AF73" s="1368"/>
      <c r="AG73" s="1368"/>
      <c r="AH73" s="1368"/>
      <c r="AI73" s="1368"/>
      <c r="AJ73" s="1368"/>
      <c r="AK73" s="1368"/>
    </row>
    <row r="74" spans="1:37" s="1367" customFormat="1" ht="24">
      <c r="A74" s="2869" t="s">
        <v>2940</v>
      </c>
      <c r="B74" s="1720" t="str">
        <f>估价对象房地状况!C21</f>
        <v>较好</v>
      </c>
      <c r="C74" s="2761"/>
      <c r="D74" s="1284">
        <f t="shared" si="20"/>
        <v>0</v>
      </c>
      <c r="E74" s="822"/>
      <c r="F74" s="2492"/>
      <c r="G74" s="1282"/>
      <c r="H74" s="1286" t="str">
        <f t="shared" si="21"/>
        <v>——</v>
      </c>
      <c r="I74" s="816">
        <v>0.08</v>
      </c>
      <c r="J74" s="1283">
        <f t="shared" si="22"/>
        <v>0</v>
      </c>
      <c r="K74" s="1283">
        <f t="shared" si="23"/>
        <v>0</v>
      </c>
      <c r="L74" s="1283">
        <v>0</v>
      </c>
      <c r="M74" s="1283">
        <f t="shared" si="24"/>
        <v>0</v>
      </c>
      <c r="N74" s="1283">
        <f t="shared" si="24"/>
        <v>0</v>
      </c>
      <c r="AA74" s="1368"/>
      <c r="AB74" s="1368"/>
      <c r="AC74" s="1368"/>
      <c r="AD74" s="1368"/>
      <c r="AE74" s="1368"/>
      <c r="AF74" s="1368"/>
      <c r="AG74" s="1368"/>
      <c r="AH74" s="1368"/>
      <c r="AI74" s="1368"/>
      <c r="AJ74" s="1368"/>
      <c r="AK74" s="1368"/>
    </row>
    <row r="75" spans="1:37" s="1367" customFormat="1" ht="24">
      <c r="A75" s="2869" t="s">
        <v>2941</v>
      </c>
      <c r="B75" s="1720" t="str">
        <f>估价对象房地状况!C22</f>
        <v>六通</v>
      </c>
      <c r="C75" s="2761"/>
      <c r="D75" s="1284">
        <f t="shared" si="20"/>
        <v>0</v>
      </c>
      <c r="E75" s="822"/>
      <c r="F75" s="2492"/>
      <c r="G75" s="1282"/>
      <c r="H75" s="1286" t="str">
        <f t="shared" si="21"/>
        <v>——</v>
      </c>
      <c r="I75" s="816">
        <v>0.12</v>
      </c>
      <c r="J75" s="1283">
        <f t="shared" si="22"/>
        <v>0</v>
      </c>
      <c r="K75" s="1283">
        <f t="shared" si="23"/>
        <v>0</v>
      </c>
      <c r="L75" s="1283">
        <v>0</v>
      </c>
      <c r="M75" s="1283">
        <f t="shared" si="24"/>
        <v>0</v>
      </c>
      <c r="N75" s="1283">
        <f t="shared" si="24"/>
        <v>0</v>
      </c>
      <c r="AA75" s="1368"/>
      <c r="AB75" s="1368"/>
      <c r="AC75" s="1368"/>
      <c r="AD75" s="1368"/>
      <c r="AE75" s="1368"/>
      <c r="AF75" s="1368"/>
      <c r="AG75" s="1368"/>
      <c r="AH75" s="1368"/>
      <c r="AI75" s="1368"/>
      <c r="AJ75" s="1368"/>
      <c r="AK75" s="1368"/>
    </row>
    <row r="76" spans="1:37" s="2710" customFormat="1" ht="24">
      <c r="A76" s="2869" t="s">
        <v>2938</v>
      </c>
      <c r="B76" s="2875" t="s">
        <v>2939</v>
      </c>
      <c r="C76" s="2761"/>
      <c r="D76" s="1284">
        <f t="shared" si="20"/>
        <v>0</v>
      </c>
      <c r="E76" s="822"/>
      <c r="F76" s="2492"/>
      <c r="G76" s="1282"/>
      <c r="H76" s="1286" t="str">
        <f t="shared" si="21"/>
        <v>——</v>
      </c>
      <c r="I76" s="816">
        <v>0.05</v>
      </c>
      <c r="J76" s="1283">
        <f t="shared" si="22"/>
        <v>0</v>
      </c>
      <c r="K76" s="1283">
        <f t="shared" si="23"/>
        <v>0</v>
      </c>
      <c r="L76" s="1283">
        <v>0</v>
      </c>
      <c r="M76" s="1283">
        <f t="shared" si="24"/>
        <v>0</v>
      </c>
      <c r="N76" s="1283">
        <f t="shared" si="24"/>
        <v>0</v>
      </c>
      <c r="AA76" s="2880"/>
      <c r="AB76" s="1368"/>
      <c r="AC76" s="1368"/>
      <c r="AD76" s="1368"/>
      <c r="AE76" s="1368"/>
      <c r="AF76" s="1368"/>
      <c r="AG76" s="1368"/>
      <c r="AH76" s="2880"/>
      <c r="AI76" s="2880"/>
      <c r="AJ76" s="2880"/>
      <c r="AK76" s="2880"/>
    </row>
    <row r="77" spans="1:37" ht="24">
      <c r="A77" s="2869" t="s">
        <v>2942</v>
      </c>
      <c r="B77" s="2872" t="str">
        <f>估价对象房地状况!C20</f>
        <v>较好</v>
      </c>
      <c r="C77" s="2761"/>
      <c r="D77" s="1284">
        <f t="shared" si="20"/>
        <v>0</v>
      </c>
      <c r="E77" s="822"/>
      <c r="F77" s="2492"/>
      <c r="G77" s="1282"/>
      <c r="H77" s="1286" t="str">
        <f t="shared" si="21"/>
        <v>——</v>
      </c>
      <c r="I77" s="816">
        <v>0.15</v>
      </c>
      <c r="J77" s="1283">
        <f t="shared" si="22"/>
        <v>0</v>
      </c>
      <c r="K77" s="1283">
        <f t="shared" si="23"/>
        <v>0</v>
      </c>
      <c r="L77" s="1283">
        <v>0</v>
      </c>
      <c r="M77" s="1283">
        <f t="shared" si="24"/>
        <v>0</v>
      </c>
      <c r="N77" s="1283">
        <f t="shared" si="24"/>
        <v>0</v>
      </c>
      <c r="Z77" s="2711"/>
      <c r="AA77" s="2787"/>
      <c r="AG77" s="1369"/>
      <c r="AK77" s="2787"/>
    </row>
    <row r="78" spans="1:37" ht="24.75" thickBot="1">
      <c r="A78" s="2877" t="s">
        <v>2949</v>
      </c>
      <c r="B78" s="2881"/>
      <c r="C78" s="2761"/>
      <c r="D78" s="1284">
        <f t="shared" si="20"/>
        <v>0</v>
      </c>
      <c r="E78" s="823"/>
      <c r="F78" s="2492"/>
      <c r="G78" s="1282"/>
      <c r="H78" s="1286" t="str">
        <f t="shared" si="21"/>
        <v>——</v>
      </c>
      <c r="I78" s="820">
        <v>0.04</v>
      </c>
      <c r="J78" s="1283">
        <f t="shared" si="22"/>
        <v>0</v>
      </c>
      <c r="K78" s="1283">
        <f t="shared" si="23"/>
        <v>0</v>
      </c>
      <c r="L78" s="1283">
        <v>0</v>
      </c>
      <c r="M78" s="1283">
        <f t="shared" si="24"/>
        <v>0</v>
      </c>
      <c r="N78" s="1283">
        <f t="shared" si="24"/>
        <v>0</v>
      </c>
      <c r="Z78" s="2711"/>
      <c r="AA78" s="2787"/>
      <c r="AG78" s="1369"/>
      <c r="AK78" s="2787"/>
    </row>
    <row r="79" spans="1:37" ht="15">
      <c r="A79" s="2865" t="s">
        <v>2950</v>
      </c>
      <c r="B79" s="2866">
        <f>1+E81</f>
        <v>1</v>
      </c>
      <c r="C79" s="810"/>
      <c r="D79" s="810"/>
      <c r="E79" s="811"/>
      <c r="F79" s="2868"/>
      <c r="G79" s="6"/>
      <c r="H79" s="6"/>
      <c r="I79" s="6"/>
      <c r="J79" s="7"/>
      <c r="K79" s="7"/>
      <c r="L79" s="7"/>
      <c r="M79" s="7"/>
      <c r="N79" s="7"/>
      <c r="Z79" s="2711"/>
      <c r="AA79" s="2787"/>
      <c r="AG79" s="1369"/>
      <c r="AK79" s="2787"/>
    </row>
    <row r="80" spans="1:37" ht="24.75">
      <c r="A80" s="2869" t="s">
        <v>2924</v>
      </c>
      <c r="B80" s="1804"/>
      <c r="C80" s="1804" t="s">
        <v>2926</v>
      </c>
      <c r="D80" s="1804" t="s">
        <v>2927</v>
      </c>
      <c r="E80" s="815" t="s">
        <v>2928</v>
      </c>
      <c r="F80" s="2870" t="s">
        <v>2944</v>
      </c>
      <c r="G80" s="1804" t="s">
        <v>754</v>
      </c>
      <c r="H80" s="2871" t="s">
        <v>2930</v>
      </c>
      <c r="I80" s="1804" t="s">
        <v>2931</v>
      </c>
      <c r="J80" s="602" t="s">
        <v>2577</v>
      </c>
      <c r="K80" s="602" t="s">
        <v>2578</v>
      </c>
      <c r="L80" s="602" t="s">
        <v>2579</v>
      </c>
      <c r="M80" s="602" t="s">
        <v>2580</v>
      </c>
      <c r="N80" s="602" t="s">
        <v>2581</v>
      </c>
      <c r="Z80" s="2711"/>
      <c r="AA80" s="2787"/>
      <c r="AG80" s="1369"/>
      <c r="AK80" s="2787"/>
    </row>
    <row r="81" spans="1:37" ht="38.25">
      <c r="A81" s="2869" t="s">
        <v>2951</v>
      </c>
      <c r="B81" s="2873" t="str">
        <f>估价对象房地状况!G15</f>
        <v>估价对象位于XX开发区，园区建设成熟度XX，产业集聚程度XX</v>
      </c>
      <c r="C81" s="2761"/>
      <c r="D81" s="1284">
        <f t="shared" ref="D81:D88" si="25">SUMIF($J$80:$N$80,C81,J81:N81)</f>
        <v>0</v>
      </c>
      <c r="E81" s="817">
        <f>ROUND(SUM(D81:D88),4)</f>
        <v>0</v>
      </c>
      <c r="F81" s="2492"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1"/>
      <c r="AA81" s="2787"/>
      <c r="AG81" s="1369"/>
      <c r="AK81" s="2787"/>
    </row>
    <row r="82" spans="1:37" ht="51">
      <c r="A82" s="2869" t="s">
        <v>2933</v>
      </c>
      <c r="B82" s="2873" t="str">
        <f>估价对象房地状况!G16</f>
        <v>估价对象周边道路状况、公共交通通达情况、停车便捷程度，综合评价交通便捷度较好</v>
      </c>
      <c r="C82" s="2761"/>
      <c r="D82" s="1284">
        <f t="shared" si="25"/>
        <v>0</v>
      </c>
      <c r="E82" s="822"/>
      <c r="F82" s="2492"/>
      <c r="G82" s="1282"/>
      <c r="H82" s="1286" t="str">
        <f t="shared" si="26"/>
        <v>——</v>
      </c>
      <c r="I82" s="816">
        <v>0.33</v>
      </c>
      <c r="J82" s="1283">
        <f t="shared" si="27"/>
        <v>0</v>
      </c>
      <c r="K82" s="1283">
        <f t="shared" si="28"/>
        <v>0</v>
      </c>
      <c r="L82" s="1283">
        <v>0</v>
      </c>
      <c r="M82" s="1283">
        <f t="shared" si="29"/>
        <v>0</v>
      </c>
      <c r="N82" s="1283">
        <f t="shared" si="29"/>
        <v>0</v>
      </c>
      <c r="Z82" s="2711"/>
      <c r="AA82" s="2787"/>
      <c r="AG82" s="1369"/>
      <c r="AK82" s="2787"/>
    </row>
    <row r="83" spans="1:37" ht="24">
      <c r="A83" s="2869" t="s">
        <v>2934</v>
      </c>
      <c r="B83" s="2873">
        <f>估价对象房地状况!G17</f>
        <v>0</v>
      </c>
      <c r="C83" s="2761"/>
      <c r="D83" s="1284">
        <f t="shared" si="25"/>
        <v>0</v>
      </c>
      <c r="E83" s="822"/>
      <c r="F83" s="2492"/>
      <c r="G83" s="1282"/>
      <c r="H83" s="1286" t="str">
        <f t="shared" si="26"/>
        <v>——</v>
      </c>
      <c r="I83" s="816">
        <v>0.05</v>
      </c>
      <c r="J83" s="1283">
        <f t="shared" si="27"/>
        <v>0</v>
      </c>
      <c r="K83" s="1283">
        <f t="shared" si="28"/>
        <v>0</v>
      </c>
      <c r="L83" s="1283">
        <v>0</v>
      </c>
      <c r="M83" s="1283">
        <f t="shared" si="29"/>
        <v>0</v>
      </c>
      <c r="N83" s="1283">
        <f t="shared" si="29"/>
        <v>0</v>
      </c>
      <c r="Z83" s="2711"/>
      <c r="AA83" s="2787"/>
      <c r="AG83" s="1369"/>
      <c r="AK83" s="2787"/>
    </row>
    <row r="84" spans="1:37" ht="14.25">
      <c r="A84" s="2869" t="s">
        <v>2948</v>
      </c>
      <c r="B84" s="2873">
        <f>估价对象房地状况!G22</f>
        <v>0</v>
      </c>
      <c r="C84" s="2761"/>
      <c r="D84" s="1284">
        <f t="shared" si="25"/>
        <v>0</v>
      </c>
      <c r="E84" s="822"/>
      <c r="F84" s="2492"/>
      <c r="G84" s="1282"/>
      <c r="H84" s="1286" t="str">
        <f t="shared" si="26"/>
        <v>——</v>
      </c>
      <c r="I84" s="816">
        <v>0.04</v>
      </c>
      <c r="J84" s="1283">
        <f t="shared" si="27"/>
        <v>0</v>
      </c>
      <c r="K84" s="1283">
        <f t="shared" si="28"/>
        <v>0</v>
      </c>
      <c r="L84" s="1283">
        <v>0</v>
      </c>
      <c r="M84" s="1283">
        <f t="shared" si="29"/>
        <v>0</v>
      </c>
      <c r="N84" s="1283">
        <f t="shared" si="29"/>
        <v>0</v>
      </c>
      <c r="Z84" s="2711"/>
      <c r="AA84" s="2787"/>
      <c r="AG84" s="1369"/>
      <c r="AK84" s="2787"/>
    </row>
    <row r="85" spans="1:37" ht="25.5">
      <c r="A85" s="2869" t="s">
        <v>2940</v>
      </c>
      <c r="B85" s="1720" t="str">
        <f>估价对象房地状况!G19</f>
        <v>估价对象所在区域公共配套设施齐备情况</v>
      </c>
      <c r="C85" s="2761"/>
      <c r="D85" s="1284">
        <f t="shared" si="25"/>
        <v>0</v>
      </c>
      <c r="E85" s="822"/>
      <c r="F85" s="2492"/>
      <c r="G85" s="1282"/>
      <c r="H85" s="1286" t="str">
        <f t="shared" si="26"/>
        <v>——</v>
      </c>
      <c r="I85" s="816">
        <v>0.06</v>
      </c>
      <c r="J85" s="1283">
        <f t="shared" si="27"/>
        <v>0</v>
      </c>
      <c r="K85" s="1283">
        <f t="shared" si="28"/>
        <v>0</v>
      </c>
      <c r="L85" s="1283">
        <v>0</v>
      </c>
      <c r="M85" s="1283">
        <f t="shared" si="29"/>
        <v>0</v>
      </c>
      <c r="N85" s="1283">
        <f t="shared" si="29"/>
        <v>0</v>
      </c>
      <c r="Z85" s="2711"/>
      <c r="AA85" s="2787"/>
      <c r="AG85" s="1369"/>
      <c r="AK85" s="2787"/>
    </row>
    <row r="86" spans="1:37" ht="25.5">
      <c r="A86" s="2869" t="s">
        <v>2941</v>
      </c>
      <c r="B86" s="1720" t="str">
        <f>估价对象房地状况!G20</f>
        <v>估价对象所在区域基础设施水平</v>
      </c>
      <c r="C86" s="2761"/>
      <c r="D86" s="1284">
        <f t="shared" si="25"/>
        <v>0</v>
      </c>
      <c r="E86" s="822"/>
      <c r="F86" s="2492"/>
      <c r="G86" s="1282"/>
      <c r="H86" s="1286" t="str">
        <f t="shared" si="26"/>
        <v>——</v>
      </c>
      <c r="I86" s="816">
        <v>0.15</v>
      </c>
      <c r="J86" s="1283">
        <f t="shared" si="27"/>
        <v>0</v>
      </c>
      <c r="K86" s="1283">
        <f t="shared" si="28"/>
        <v>0</v>
      </c>
      <c r="L86" s="1283">
        <v>0</v>
      </c>
      <c r="M86" s="1283">
        <f t="shared" si="29"/>
        <v>0</v>
      </c>
      <c r="N86" s="1283">
        <f t="shared" si="29"/>
        <v>0</v>
      </c>
      <c r="Z86" s="2711"/>
      <c r="AA86" s="2787"/>
      <c r="AG86" s="1369"/>
      <c r="AK86" s="2787"/>
    </row>
    <row r="87" spans="1:37" ht="24">
      <c r="A87" s="2869" t="s">
        <v>2938</v>
      </c>
      <c r="B87" s="2875" t="s">
        <v>2952</v>
      </c>
      <c r="C87" s="2761"/>
      <c r="D87" s="1284">
        <f t="shared" si="25"/>
        <v>0</v>
      </c>
      <c r="E87" s="822"/>
      <c r="F87" s="2492"/>
      <c r="G87" s="1282"/>
      <c r="H87" s="1286" t="str">
        <f t="shared" si="26"/>
        <v>——</v>
      </c>
      <c r="I87" s="816">
        <v>0.05</v>
      </c>
      <c r="J87" s="1283">
        <f t="shared" si="27"/>
        <v>0</v>
      </c>
      <c r="K87" s="1283">
        <f t="shared" si="28"/>
        <v>0</v>
      </c>
      <c r="L87" s="1283">
        <v>0</v>
      </c>
      <c r="M87" s="1283">
        <f t="shared" si="29"/>
        <v>0</v>
      </c>
      <c r="N87" s="1283">
        <f t="shared" si="29"/>
        <v>0</v>
      </c>
      <c r="Z87" s="2711"/>
      <c r="AA87" s="2787"/>
      <c r="AG87" s="1369"/>
      <c r="AK87" s="2787"/>
    </row>
    <row r="88" spans="1:37" ht="39" thickBot="1">
      <c r="A88" s="2877" t="s">
        <v>2953</v>
      </c>
      <c r="B88" s="2882" t="str">
        <f>估价对象房地状况!G18</f>
        <v>该园区内是否有污染型企业，绿化情况，卫生条件，整体环境状况判断</v>
      </c>
      <c r="C88" s="2761"/>
      <c r="D88" s="1284">
        <f t="shared" si="25"/>
        <v>0</v>
      </c>
      <c r="E88" s="823"/>
      <c r="F88" s="2492"/>
      <c r="G88" s="1282"/>
      <c r="H88" s="1286" t="str">
        <f t="shared" si="26"/>
        <v>——</v>
      </c>
      <c r="I88" s="820">
        <v>0.06</v>
      </c>
      <c r="J88" s="1283">
        <f t="shared" si="27"/>
        <v>0</v>
      </c>
      <c r="K88" s="1283">
        <f t="shared" si="28"/>
        <v>0</v>
      </c>
      <c r="L88" s="1283">
        <v>0</v>
      </c>
      <c r="M88" s="1283">
        <f t="shared" si="29"/>
        <v>0</v>
      </c>
      <c r="N88" s="1283">
        <f t="shared" si="29"/>
        <v>0</v>
      </c>
      <c r="Z88" s="2711"/>
      <c r="AA88" s="2787"/>
      <c r="AG88" s="1369"/>
      <c r="AK88" s="2787"/>
    </row>
    <row r="90" spans="1:37">
      <c r="A90" s="3325" t="s">
        <v>2954</v>
      </c>
      <c r="B90" s="3325"/>
      <c r="C90" s="3325"/>
      <c r="D90" s="3325"/>
      <c r="E90" s="3325"/>
      <c r="F90" s="3325"/>
      <c r="G90" s="3325"/>
      <c r="H90" s="3325"/>
      <c r="I90" s="3325"/>
      <c r="J90" s="3325"/>
      <c r="K90" s="2883"/>
      <c r="L90" s="2883"/>
      <c r="M90" s="2883"/>
      <c r="N90" s="2883"/>
    </row>
    <row r="91" spans="1:37">
      <c r="A91" s="3327" t="s">
        <v>2955</v>
      </c>
      <c r="B91" s="3327" t="s">
        <v>2956</v>
      </c>
      <c r="C91" s="2837" t="s">
        <v>2957</v>
      </c>
      <c r="D91" s="2838"/>
      <c r="E91" s="2838"/>
      <c r="F91" s="2838"/>
      <c r="G91" s="2838"/>
      <c r="H91" s="2838"/>
      <c r="I91" s="2838"/>
      <c r="J91" s="2884"/>
      <c r="K91" s="2885"/>
      <c r="L91" s="2885"/>
      <c r="M91" s="2885"/>
      <c r="N91" s="2885"/>
    </row>
    <row r="92" spans="1:37">
      <c r="A92" s="3327"/>
      <c r="B92" s="3327"/>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28" t="s">
        <v>2958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9"/>
      <c r="B99" s="2886" t="s">
        <v>2837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3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8" t="s">
        <v>2959</v>
      </c>
      <c r="B101" s="2890" t="s">
        <v>2960</v>
      </c>
      <c r="C101" s="2891">
        <f>$G$3</f>
        <v>4.2699999999999996</v>
      </c>
      <c r="D101" s="2891">
        <f t="shared" ref="D101:N101" si="31">$G$3</f>
        <v>4.2699999999999996</v>
      </c>
      <c r="E101" s="2891">
        <f t="shared" si="31"/>
        <v>4.2699999999999996</v>
      </c>
      <c r="F101" s="2891">
        <f t="shared" si="31"/>
        <v>4.2699999999999996</v>
      </c>
      <c r="G101" s="2891">
        <f t="shared" si="31"/>
        <v>4.2699999999999996</v>
      </c>
      <c r="H101" s="2891">
        <f t="shared" si="31"/>
        <v>4.2699999999999996</v>
      </c>
      <c r="I101" s="2891">
        <f t="shared" si="31"/>
        <v>4.2699999999999996</v>
      </c>
      <c r="J101" s="2891">
        <f t="shared" si="31"/>
        <v>4.2699999999999996</v>
      </c>
      <c r="K101" s="2891">
        <f t="shared" si="31"/>
        <v>4.2699999999999996</v>
      </c>
      <c r="L101" s="2891">
        <f t="shared" si="31"/>
        <v>4.2699999999999996</v>
      </c>
      <c r="M101" s="2891">
        <f t="shared" si="31"/>
        <v>4.2699999999999996</v>
      </c>
      <c r="N101" s="2891">
        <f t="shared" si="31"/>
        <v>4.2699999999999996</v>
      </c>
    </row>
    <row r="102" spans="1:14">
      <c r="A102" s="3329"/>
      <c r="B102" s="2886">
        <v>1</v>
      </c>
      <c r="C102" s="2887">
        <f>1.9362/C101</f>
        <v>0.45344262295081972</v>
      </c>
      <c r="D102" s="2887">
        <f>1.9362/D101</f>
        <v>0.45344262295081972</v>
      </c>
      <c r="E102" s="2887">
        <f>1.8629/E101</f>
        <v>0.43627634660421549</v>
      </c>
      <c r="F102" s="2887">
        <f>1.8629/F101</f>
        <v>0.43627634660421549</v>
      </c>
      <c r="G102" s="2887">
        <f>1.8629/G101</f>
        <v>0.43627634660421549</v>
      </c>
      <c r="H102" s="2887">
        <f>1.8629/H101</f>
        <v>0.43627634660421549</v>
      </c>
      <c r="I102" s="2887">
        <f>1.8629/I101</f>
        <v>0.43627634660421549</v>
      </c>
      <c r="J102" s="2887">
        <f>1.942/J101</f>
        <v>0.45480093676814992</v>
      </c>
      <c r="K102" s="2887">
        <f>1.942/K101</f>
        <v>0.45480093676814992</v>
      </c>
      <c r="L102" s="2887">
        <f>1.942/L101</f>
        <v>0.45480093676814992</v>
      </c>
      <c r="M102" s="2887">
        <f>1.942/M101</f>
        <v>0.45480093676814992</v>
      </c>
      <c r="N102" s="2887">
        <f>1.942/N101</f>
        <v>0.45480093676814992</v>
      </c>
    </row>
    <row r="103" spans="1:14">
      <c r="A103" s="3329"/>
      <c r="B103" s="2886">
        <v>2</v>
      </c>
      <c r="C103" s="2887">
        <f>1.4198/C101</f>
        <v>0.33250585480093681</v>
      </c>
      <c r="D103" s="2887">
        <f>1.4198/D101</f>
        <v>0.33250585480093681</v>
      </c>
      <c r="E103" s="2887">
        <f>1.3372/E101</f>
        <v>0.31316159250585485</v>
      </c>
      <c r="F103" s="2887">
        <f>1.3372/F101</f>
        <v>0.31316159250585485</v>
      </c>
      <c r="G103" s="2887">
        <f>1.3372/G101</f>
        <v>0.31316159250585485</v>
      </c>
      <c r="H103" s="2887">
        <f>1.3372/H101</f>
        <v>0.31316159250585485</v>
      </c>
      <c r="I103" s="2887">
        <f>1.3372/I101</f>
        <v>0.31316159250585485</v>
      </c>
      <c r="J103" s="2887">
        <f>1.2799/J101</f>
        <v>0.29974238875878223</v>
      </c>
      <c r="K103" s="2887">
        <f>1.2799/K101</f>
        <v>0.29974238875878223</v>
      </c>
      <c r="L103" s="2887">
        <f>1.2799/L101</f>
        <v>0.29974238875878223</v>
      </c>
      <c r="M103" s="2887">
        <f>1.2799/M101</f>
        <v>0.29974238875878223</v>
      </c>
      <c r="N103" s="2887">
        <f>1.2799/N101</f>
        <v>0.29974238875878223</v>
      </c>
    </row>
    <row r="104" spans="1:14">
      <c r="A104" s="3329"/>
      <c r="B104" s="2886">
        <v>3</v>
      </c>
      <c r="C104" s="2887">
        <f>1.1594/C101</f>
        <v>0.27152224824355975</v>
      </c>
      <c r="D104" s="2887">
        <f>1.1594/D101</f>
        <v>0.27152224824355975</v>
      </c>
      <c r="E104" s="2887">
        <f>1.0788/E101</f>
        <v>0.25264637002341922</v>
      </c>
      <c r="F104" s="2887">
        <f>1.0788/F101</f>
        <v>0.25264637002341922</v>
      </c>
      <c r="G104" s="2887">
        <f>1.0788/G101</f>
        <v>0.25264637002341922</v>
      </c>
      <c r="H104" s="2887">
        <f>1.0788/H101</f>
        <v>0.25264637002341922</v>
      </c>
      <c r="I104" s="2887">
        <f>1.0788/I101</f>
        <v>0.25264637002341922</v>
      </c>
      <c r="J104" s="2887">
        <f>1.0072/J101</f>
        <v>0.23587822014051527</v>
      </c>
      <c r="K104" s="2887">
        <f>1.0072/K101</f>
        <v>0.23587822014051527</v>
      </c>
      <c r="L104" s="2887">
        <f>1.0072/L101</f>
        <v>0.23587822014051527</v>
      </c>
      <c r="M104" s="2887">
        <f>1.0072/M101</f>
        <v>0.23587822014051527</v>
      </c>
      <c r="N104" s="2887">
        <f>1.0072/N101</f>
        <v>0.23587822014051527</v>
      </c>
    </row>
    <row r="105" spans="1:14">
      <c r="A105" s="3329"/>
      <c r="B105" s="2886">
        <v>4</v>
      </c>
      <c r="C105" s="2887">
        <f>0.9622/C101</f>
        <v>0.22533957845433258</v>
      </c>
      <c r="D105" s="2887">
        <f>0.9622/D101</f>
        <v>0.22533957845433258</v>
      </c>
      <c r="E105" s="2887">
        <f>0.8656/E101</f>
        <v>0.20271662763466045</v>
      </c>
      <c r="F105" s="2887">
        <f>0.8656/F101</f>
        <v>0.20271662763466045</v>
      </c>
      <c r="G105" s="2887">
        <f>0.8656/G101</f>
        <v>0.20271662763466045</v>
      </c>
      <c r="H105" s="2887">
        <f>0.8656/H101</f>
        <v>0.20271662763466045</v>
      </c>
      <c r="I105" s="2887">
        <f>0.8656/I101</f>
        <v>0.20271662763466045</v>
      </c>
      <c r="J105" s="2887">
        <f>0.7525/J101</f>
        <v>0.17622950819672131</v>
      </c>
      <c r="K105" s="2887">
        <f>0.7525/K101</f>
        <v>0.17622950819672131</v>
      </c>
      <c r="L105" s="2887">
        <f>0.7525/L101</f>
        <v>0.17622950819672131</v>
      </c>
      <c r="M105" s="2887">
        <f>0.7525/M101</f>
        <v>0.17622950819672131</v>
      </c>
      <c r="N105" s="2887">
        <f>0.7525/N101</f>
        <v>0.17622950819672131</v>
      </c>
    </row>
    <row r="106" spans="1:14">
      <c r="A106" s="3329"/>
      <c r="B106" s="2886">
        <v>5</v>
      </c>
      <c r="C106" s="2887">
        <f>0.8417/C101</f>
        <v>0.1971194379391101</v>
      </c>
      <c r="D106" s="2887">
        <f>0.8417/D101</f>
        <v>0.1971194379391101</v>
      </c>
      <c r="E106" s="2887">
        <f>0.7371/E101</f>
        <v>0.17262295081967213</v>
      </c>
      <c r="F106" s="2887">
        <f>0.7371/F101</f>
        <v>0.17262295081967213</v>
      </c>
      <c r="G106" s="2887">
        <f>0.7371/G101</f>
        <v>0.17262295081967213</v>
      </c>
      <c r="H106" s="2887">
        <f>0.7371/H101</f>
        <v>0.17262295081967213</v>
      </c>
      <c r="I106" s="2887">
        <f>0.7371/I101</f>
        <v>0.17262295081967213</v>
      </c>
      <c r="J106" s="2887">
        <f>0.5659/J101</f>
        <v>0.13252927400468384</v>
      </c>
      <c r="K106" s="2887">
        <f>0.5659/K101</f>
        <v>0.13252927400468384</v>
      </c>
      <c r="L106" s="2887">
        <f>0.5659/L101</f>
        <v>0.13252927400468384</v>
      </c>
      <c r="M106" s="2887">
        <f>0.5659/M101</f>
        <v>0.13252927400468384</v>
      </c>
      <c r="N106" s="2887">
        <f>0.5659/N101</f>
        <v>0.13252927400468384</v>
      </c>
    </row>
    <row r="107" spans="1:14">
      <c r="A107" s="3329"/>
      <c r="B107" s="2886">
        <v>6</v>
      </c>
      <c r="C107" s="2887">
        <f>0.7608/C101</f>
        <v>0.17817330210772836</v>
      </c>
      <c r="D107" s="2887">
        <f>0.7608/D101</f>
        <v>0.17817330210772836</v>
      </c>
      <c r="E107" s="2887">
        <f>0.6482/E101</f>
        <v>0.15180327868852461</v>
      </c>
      <c r="F107" s="2887">
        <f>0.6482/F101</f>
        <v>0.15180327868852461</v>
      </c>
      <c r="G107" s="2887">
        <f>0.6482/G101</f>
        <v>0.15180327868852461</v>
      </c>
      <c r="H107" s="2887">
        <f>0.6482/H101</f>
        <v>0.15180327868852461</v>
      </c>
      <c r="I107" s="2887">
        <f>0.6482/I101</f>
        <v>0.15180327868852461</v>
      </c>
      <c r="J107" s="2887">
        <f>0.4525/J101</f>
        <v>0.10597189695550353</v>
      </c>
      <c r="K107" s="2887">
        <f>0.4525/K101</f>
        <v>0.10597189695550353</v>
      </c>
      <c r="L107" s="2887">
        <f>0.4525/L101</f>
        <v>0.10597189695550353</v>
      </c>
      <c r="M107" s="2887">
        <f>0.4525/M101</f>
        <v>0.10597189695550353</v>
      </c>
      <c r="N107" s="2887">
        <f>0.4525/N101</f>
        <v>0.10597189695550353</v>
      </c>
    </row>
    <row r="108" spans="1:14">
      <c r="A108" s="3329"/>
      <c r="B108" s="3134" t="s">
        <v>2961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30"/>
      <c r="B109" s="3135"/>
      <c r="C109" s="2889">
        <f>(-0.163*(C108^2)-0.59*C108+7617)*(10^(-4))/C101</f>
        <v>0.17838407494145203</v>
      </c>
      <c r="D109" s="2889">
        <f>(-0.163*(D108^2)-0.59*D108+7617)*(10^(-4))/D101</f>
        <v>0.17838407494145203</v>
      </c>
      <c r="E109" s="2889">
        <f>(-0.161*(E108^2)-7.509*E108+6533)*(10^(-4))/E101</f>
        <v>0.15299765807962531</v>
      </c>
      <c r="F109" s="2889">
        <f>(-0.161*(F108^2)-7.509*F108+6533)*(10^(-4))/F101</f>
        <v>0.15299765807962531</v>
      </c>
      <c r="G109" s="2889">
        <f>(-0.161*(G108^2)-7.509*G108+6533)*(10^(-4))/G101</f>
        <v>0.15299765807962531</v>
      </c>
      <c r="H109" s="2889">
        <f>(-0.161*(H108^2)-7.509*H108+6533)*(10^(-4))/H101</f>
        <v>0.15299765807962531</v>
      </c>
      <c r="I109" s="2889">
        <f>(-0.161*(I108^2)-7.509*I108+6533)*(10^(-4))/I101</f>
        <v>0.15299765807962531</v>
      </c>
      <c r="J109" s="2889">
        <f>(-0.214*(J108^2)-21.991*J108+4665)*(10^(-4))/J101</f>
        <v>0.1092505854800937</v>
      </c>
      <c r="K109" s="2889">
        <f>(-0.214*(K108^2)-21.991*K108+4665)*(10^(-4))/K101</f>
        <v>0.1092505854800937</v>
      </c>
      <c r="L109" s="2889">
        <f>(-0.214*(L108^2)-21.991*L108+4665)*(10^(-4))/L101</f>
        <v>0.1092505854800937</v>
      </c>
      <c r="M109" s="2889">
        <f>(-0.214*(M108^2)-21.991*M108+4665)*(10^(-4))/M101</f>
        <v>0.1092505854800937</v>
      </c>
      <c r="N109" s="2889">
        <f>(-0.214*(N108^2)-21.991*N108+4665)*(10^(-4))/N101</f>
        <v>0.1092505854800937</v>
      </c>
    </row>
    <row r="110" spans="1:14">
      <c r="A110" s="3326" t="s">
        <v>2962</v>
      </c>
      <c r="B110" s="3326"/>
      <c r="C110" s="3326"/>
      <c r="D110" s="3326"/>
      <c r="E110" s="3326"/>
      <c r="F110" s="3326"/>
      <c r="G110" s="3326"/>
      <c r="H110" s="3326"/>
      <c r="I110" s="3326"/>
      <c r="J110" s="3326"/>
      <c r="K110" s="2892"/>
      <c r="L110" s="2892"/>
      <c r="M110" s="2892"/>
      <c r="N110" s="2892"/>
    </row>
    <row r="112" spans="1:14" ht="13.5" thickBot="1"/>
    <row r="113" spans="1:13" ht="25.5" thickBot="1">
      <c r="A113" s="899" t="s">
        <v>2963</v>
      </c>
      <c r="B113" s="1285">
        <f>G3</f>
        <v>4.2699999999999996</v>
      </c>
      <c r="C113" s="900" t="s">
        <v>2964</v>
      </c>
      <c r="D113" s="901">
        <f>SUMPRODUCT((A115:A118=F113)*(B114:M114=H113)*B115:M118)</f>
        <v>0</v>
      </c>
      <c r="E113" s="2715" t="s">
        <v>2794</v>
      </c>
      <c r="F113" s="2894">
        <f>E2</f>
        <v>0</v>
      </c>
      <c r="G113" s="2715" t="s">
        <v>2795</v>
      </c>
      <c r="H113" s="2894">
        <f>G2</f>
        <v>0</v>
      </c>
      <c r="I113" s="2715"/>
      <c r="J113" s="2895"/>
      <c r="K113" s="2895"/>
      <c r="L113" s="2895"/>
      <c r="M113" s="2895"/>
    </row>
    <row r="114" spans="1:13">
      <c r="A114" s="904"/>
      <c r="B114" s="2896" t="s">
        <v>2965</v>
      </c>
      <c r="C114" s="2896" t="s">
        <v>2966</v>
      </c>
      <c r="D114" s="2896" t="s">
        <v>2967</v>
      </c>
      <c r="E114" s="2897" t="s">
        <v>2968</v>
      </c>
      <c r="F114" s="2897" t="s">
        <v>2969</v>
      </c>
      <c r="G114" s="2897" t="s">
        <v>2970</v>
      </c>
      <c r="H114" s="2898" t="s">
        <v>2971</v>
      </c>
      <c r="I114" s="2898" t="s">
        <v>2972</v>
      </c>
      <c r="J114" s="2899" t="s">
        <v>2973</v>
      </c>
      <c r="K114" s="2899" t="s">
        <v>2974</v>
      </c>
      <c r="L114" s="2899" t="s">
        <v>2975</v>
      </c>
      <c r="M114" s="2900" t="s">
        <v>2976</v>
      </c>
    </row>
    <row r="115" spans="1: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3" t="s">
        <v>183</v>
      </c>
      <c r="B18" s="878" t="s">
        <v>560</v>
      </c>
      <c r="C18" s="879" t="s">
        <v>561</v>
      </c>
      <c r="D18" s="880"/>
      <c r="E18" s="878">
        <v>1</v>
      </c>
      <c r="F18" s="881" t="s">
        <v>562</v>
      </c>
      <c r="G18" s="882"/>
      <c r="H18" s="874"/>
      <c r="I18" s="874"/>
    </row>
    <row r="19" spans="1:9" s="883" customFormat="1" ht="19.5" customHeight="1">
      <c r="A19" s="3343"/>
      <c r="B19" s="3343" t="s">
        <v>563</v>
      </c>
      <c r="C19" s="879" t="s">
        <v>564</v>
      </c>
      <c r="D19" s="880"/>
      <c r="E19" s="878">
        <v>0.9</v>
      </c>
      <c r="F19" s="881" t="s">
        <v>565</v>
      </c>
      <c r="G19" s="882"/>
      <c r="H19" s="874"/>
      <c r="I19" s="874"/>
    </row>
    <row r="20" spans="1:9" s="883" customFormat="1" ht="19.5" customHeight="1">
      <c r="A20" s="3343"/>
      <c r="B20" s="3343"/>
      <c r="C20" s="879" t="s">
        <v>566</v>
      </c>
      <c r="D20" s="880"/>
      <c r="E20" s="878">
        <v>1.1000000000000001</v>
      </c>
      <c r="F20" s="881" t="s">
        <v>567</v>
      </c>
      <c r="G20" s="882"/>
      <c r="H20" s="874"/>
      <c r="I20" s="874"/>
    </row>
    <row r="21" spans="1:9" s="883" customFormat="1" ht="19.5" customHeight="1">
      <c r="A21" s="3343"/>
      <c r="B21" s="3343"/>
      <c r="C21" s="879" t="s">
        <v>568</v>
      </c>
      <c r="D21" s="880"/>
      <c r="E21" s="878">
        <v>0.8</v>
      </c>
      <c r="F21" s="881" t="s">
        <v>569</v>
      </c>
      <c r="G21" s="882"/>
      <c r="H21" s="874"/>
      <c r="I21" s="874"/>
    </row>
    <row r="22" spans="1:9" s="883" customFormat="1" ht="19.5" customHeight="1">
      <c r="A22" s="3343"/>
      <c r="B22" s="3343"/>
      <c r="C22" s="879" t="s">
        <v>570</v>
      </c>
      <c r="D22" s="880"/>
      <c r="E22" s="878">
        <v>0.5</v>
      </c>
      <c r="F22" s="881"/>
      <c r="G22" s="882"/>
      <c r="H22" s="874"/>
      <c r="I22" s="874"/>
    </row>
    <row r="23" spans="1:9" s="883" customFormat="1" ht="19.5" customHeight="1">
      <c r="A23" s="3343" t="s">
        <v>184</v>
      </c>
      <c r="B23" s="878" t="s">
        <v>560</v>
      </c>
      <c r="C23" s="879" t="s">
        <v>571</v>
      </c>
      <c r="D23" s="880"/>
      <c r="E23" s="878">
        <v>1</v>
      </c>
      <c r="F23" s="881" t="s">
        <v>572</v>
      </c>
      <c r="G23" s="882"/>
      <c r="H23" s="874"/>
      <c r="I23" s="874"/>
    </row>
    <row r="24" spans="1:9" s="883" customFormat="1" ht="19.5" customHeight="1">
      <c r="A24" s="3343"/>
      <c r="B24" s="3343" t="s">
        <v>563</v>
      </c>
      <c r="C24" s="879" t="s">
        <v>573</v>
      </c>
      <c r="D24" s="880"/>
      <c r="E24" s="878">
        <v>0.5</v>
      </c>
      <c r="F24" s="881"/>
      <c r="G24" s="882"/>
      <c r="H24" s="874"/>
      <c r="I24" s="874"/>
    </row>
    <row r="25" spans="1:9" s="883" customFormat="1" ht="19.5" customHeight="1">
      <c r="A25" s="3343"/>
      <c r="B25" s="3343"/>
      <c r="C25" s="879" t="s">
        <v>574</v>
      </c>
      <c r="D25" s="880"/>
      <c r="E25" s="878">
        <v>1.1000000000000001</v>
      </c>
      <c r="F25" s="881"/>
      <c r="G25" s="882"/>
      <c r="H25" s="874"/>
      <c r="I25" s="874"/>
    </row>
    <row r="26" spans="1:9" s="883" customFormat="1" ht="19.5" customHeight="1">
      <c r="A26" s="3343"/>
      <c r="B26" s="3343"/>
      <c r="C26" s="879" t="s">
        <v>575</v>
      </c>
      <c r="D26" s="880"/>
      <c r="E26" s="878">
        <v>1.1000000000000001</v>
      </c>
      <c r="F26" s="881"/>
      <c r="G26" s="882"/>
      <c r="H26" s="874"/>
      <c r="I26" s="874"/>
    </row>
    <row r="27" spans="1:9" s="883" customFormat="1" ht="19.5" customHeight="1">
      <c r="A27" s="3343"/>
      <c r="B27" s="3343"/>
      <c r="C27" s="879" t="s">
        <v>576</v>
      </c>
      <c r="D27" s="880"/>
      <c r="E27" s="878">
        <v>0.9</v>
      </c>
      <c r="F27" s="881" t="s">
        <v>577</v>
      </c>
      <c r="G27" s="882"/>
      <c r="H27" s="874"/>
      <c r="I27" s="874"/>
    </row>
    <row r="28" spans="1:9" s="883" customFormat="1" ht="19.5" customHeight="1">
      <c r="A28" s="3343"/>
      <c r="B28" s="3343"/>
      <c r="C28" s="879" t="s">
        <v>578</v>
      </c>
      <c r="D28" s="880"/>
      <c r="E28" s="878">
        <v>0.9</v>
      </c>
      <c r="F28" s="881" t="s">
        <v>579</v>
      </c>
      <c r="G28" s="882"/>
      <c r="H28" s="874"/>
      <c r="I28" s="874"/>
    </row>
    <row r="29" spans="1:9" s="883" customFormat="1" ht="19.5" customHeight="1">
      <c r="A29" s="3343"/>
      <c r="B29" s="3343"/>
      <c r="C29" s="879" t="s">
        <v>580</v>
      </c>
      <c r="D29" s="880"/>
      <c r="E29" s="878">
        <v>0.9</v>
      </c>
      <c r="F29" s="881" t="s">
        <v>581</v>
      </c>
      <c r="G29" s="882"/>
      <c r="H29" s="874"/>
      <c r="I29" s="874"/>
    </row>
    <row r="30" spans="1:9" s="883" customFormat="1" ht="19.5" customHeight="1">
      <c r="A30" s="3343"/>
      <c r="B30" s="3343"/>
      <c r="C30" s="879" t="s">
        <v>582</v>
      </c>
      <c r="D30" s="880"/>
      <c r="E30" s="878">
        <v>0.9</v>
      </c>
      <c r="F30" s="881" t="s">
        <v>583</v>
      </c>
      <c r="G30" s="882"/>
      <c r="H30" s="874"/>
      <c r="I30" s="874"/>
    </row>
    <row r="31" spans="1:9" s="883" customFormat="1" ht="19.5" customHeight="1">
      <c r="A31" s="3343"/>
      <c r="B31" s="3343"/>
      <c r="C31" s="879" t="s">
        <v>584</v>
      </c>
      <c r="D31" s="880"/>
      <c r="E31" s="878">
        <v>0.8</v>
      </c>
      <c r="F31" s="881" t="s">
        <v>585</v>
      </c>
      <c r="G31" s="882"/>
      <c r="H31" s="874"/>
      <c r="I31" s="874"/>
    </row>
    <row r="32" spans="1:9" s="883" customFormat="1" ht="19.5" customHeight="1">
      <c r="A32" s="3343"/>
      <c r="B32" s="3343"/>
      <c r="C32" s="879" t="s">
        <v>586</v>
      </c>
      <c r="D32" s="880"/>
      <c r="E32" s="878">
        <v>0.8</v>
      </c>
      <c r="F32" s="881" t="s">
        <v>587</v>
      </c>
      <c r="G32" s="882"/>
      <c r="H32" s="874"/>
      <c r="I32" s="874"/>
    </row>
    <row r="33" spans="1:9" s="883" customFormat="1" ht="19.5" customHeight="1">
      <c r="A33" s="3343" t="s">
        <v>185</v>
      </c>
      <c r="B33" s="878" t="s">
        <v>560</v>
      </c>
      <c r="C33" s="879" t="s">
        <v>588</v>
      </c>
      <c r="D33" s="880"/>
      <c r="E33" s="878">
        <v>1</v>
      </c>
      <c r="F33" s="881" t="s">
        <v>589</v>
      </c>
      <c r="G33" s="882"/>
      <c r="H33" s="874"/>
      <c r="I33" s="874"/>
    </row>
    <row r="34" spans="1:9" s="883" customFormat="1" ht="19.5" customHeight="1">
      <c r="A34" s="3343"/>
      <c r="B34" s="878" t="s">
        <v>563</v>
      </c>
      <c r="C34" s="879" t="s">
        <v>590</v>
      </c>
      <c r="D34" s="880"/>
      <c r="E34" s="878">
        <v>1.5</v>
      </c>
      <c r="F34" s="881" t="s">
        <v>591</v>
      </c>
      <c r="G34" s="882"/>
      <c r="H34" s="874"/>
      <c r="I34" s="874"/>
    </row>
    <row r="35" spans="1:9" s="883" customFormat="1" ht="19.5" customHeight="1">
      <c r="A35" s="3343" t="s">
        <v>186</v>
      </c>
      <c r="B35" s="878" t="s">
        <v>560</v>
      </c>
      <c r="C35" s="879" t="s">
        <v>592</v>
      </c>
      <c r="D35" s="880"/>
      <c r="E35" s="878">
        <v>1</v>
      </c>
      <c r="F35" s="881" t="s">
        <v>593</v>
      </c>
      <c r="G35" s="882"/>
      <c r="H35" s="874"/>
      <c r="I35" s="874"/>
    </row>
    <row r="36" spans="1:9" s="883" customFormat="1" ht="19.5" customHeight="1">
      <c r="A36" s="3343"/>
      <c r="B36" s="3343" t="s">
        <v>563</v>
      </c>
      <c r="C36" s="879" t="s">
        <v>594</v>
      </c>
      <c r="D36" s="880"/>
      <c r="E36" s="878">
        <v>1</v>
      </c>
      <c r="F36" s="881" t="s">
        <v>595</v>
      </c>
      <c r="G36" s="882"/>
      <c r="H36" s="874"/>
      <c r="I36" s="874"/>
    </row>
    <row r="37" spans="1:9" s="883" customFormat="1" ht="19.5" customHeight="1">
      <c r="A37" s="3343"/>
      <c r="B37" s="3343"/>
      <c r="C37" s="879" t="s">
        <v>596</v>
      </c>
      <c r="D37" s="880"/>
      <c r="E37" s="878">
        <v>1.5</v>
      </c>
      <c r="F37" s="881" t="s">
        <v>597</v>
      </c>
      <c r="G37" s="882"/>
      <c r="H37" s="874"/>
      <c r="I37" s="874"/>
    </row>
    <row r="38" spans="1:9" s="883" customFormat="1" ht="19.5" customHeight="1">
      <c r="A38" s="3343"/>
      <c r="B38" s="3343"/>
      <c r="C38" s="879" t="s">
        <v>598</v>
      </c>
      <c r="D38" s="880"/>
      <c r="E38" s="878">
        <v>1</v>
      </c>
      <c r="F38" s="881" t="s">
        <v>599</v>
      </c>
      <c r="G38" s="882"/>
      <c r="H38" s="874"/>
      <c r="I38" s="874"/>
    </row>
    <row r="39" spans="1:9" s="883" customFormat="1" ht="19.5" customHeight="1">
      <c r="A39" s="3343"/>
      <c r="B39" s="334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43" t="s">
        <v>614</v>
      </c>
      <c r="C61" s="814" t="s">
        <v>615</v>
      </c>
      <c r="D61" s="814" t="s">
        <v>616</v>
      </c>
      <c r="E61" s="891">
        <v>0.5</v>
      </c>
      <c r="F61" s="878">
        <v>80</v>
      </c>
    </row>
    <row r="62" spans="1:8" s="874" customFormat="1" ht="24">
      <c r="A62" s="878">
        <v>2</v>
      </c>
      <c r="B62" s="3343"/>
      <c r="C62" s="814" t="s">
        <v>617</v>
      </c>
      <c r="D62" s="814" t="s">
        <v>618</v>
      </c>
      <c r="E62" s="891">
        <v>0.5</v>
      </c>
      <c r="F62" s="878">
        <v>80</v>
      </c>
    </row>
    <row r="63" spans="1:8" s="874" customFormat="1" ht="36">
      <c r="A63" s="878">
        <v>3</v>
      </c>
      <c r="B63" s="3343"/>
      <c r="C63" s="814" t="s">
        <v>619</v>
      </c>
      <c r="D63" s="814" t="s">
        <v>620</v>
      </c>
      <c r="E63" s="891">
        <v>0.5</v>
      </c>
      <c r="F63" s="878">
        <v>80</v>
      </c>
    </row>
    <row r="64" spans="1:8" s="874" customFormat="1" ht="36">
      <c r="A64" s="878">
        <v>4</v>
      </c>
      <c r="B64" s="3343"/>
      <c r="C64" s="814" t="s">
        <v>621</v>
      </c>
      <c r="D64" s="814" t="s">
        <v>622</v>
      </c>
      <c r="E64" s="891">
        <v>0.4</v>
      </c>
      <c r="F64" s="878">
        <v>60</v>
      </c>
    </row>
    <row r="65" spans="1:6" s="874" customFormat="1" ht="36">
      <c r="A65" s="878">
        <v>5</v>
      </c>
      <c r="B65" s="3343"/>
      <c r="C65" s="814" t="s">
        <v>623</v>
      </c>
      <c r="D65" s="814" t="s">
        <v>624</v>
      </c>
      <c r="E65" s="891">
        <v>0.2</v>
      </c>
      <c r="F65" s="878">
        <v>30</v>
      </c>
    </row>
    <row r="66" spans="1:6" s="874" customFormat="1" ht="36">
      <c r="A66" s="878">
        <v>6</v>
      </c>
      <c r="B66" s="3343"/>
      <c r="C66" s="814" t="s">
        <v>625</v>
      </c>
      <c r="D66" s="814" t="s">
        <v>626</v>
      </c>
      <c r="E66" s="891">
        <v>0.3</v>
      </c>
      <c r="F66" s="878">
        <v>50</v>
      </c>
    </row>
    <row r="67" spans="1:6" s="874" customFormat="1" ht="36">
      <c r="A67" s="878">
        <v>7</v>
      </c>
      <c r="B67" s="3343"/>
      <c r="C67" s="814" t="s">
        <v>627</v>
      </c>
      <c r="D67" s="814" t="s">
        <v>628</v>
      </c>
      <c r="E67" s="891">
        <v>0.2</v>
      </c>
      <c r="F67" s="878">
        <v>30</v>
      </c>
    </row>
    <row r="68" spans="1:6" s="874" customFormat="1" ht="36">
      <c r="A68" s="878">
        <v>8</v>
      </c>
      <c r="B68" s="3343"/>
      <c r="C68" s="814" t="s">
        <v>629</v>
      </c>
      <c r="D68" s="814" t="s">
        <v>630</v>
      </c>
      <c r="E68" s="891">
        <v>0.2</v>
      </c>
      <c r="F68" s="878">
        <v>30</v>
      </c>
    </row>
    <row r="69" spans="1:6" s="874" customFormat="1" ht="36">
      <c r="A69" s="878">
        <v>9</v>
      </c>
      <c r="B69" s="3343"/>
      <c r="C69" s="814" t="s">
        <v>631</v>
      </c>
      <c r="D69" s="814" t="s">
        <v>632</v>
      </c>
      <c r="E69" s="891">
        <v>0.2</v>
      </c>
      <c r="F69" s="878">
        <v>30</v>
      </c>
    </row>
    <row r="70" spans="1:6" s="874" customFormat="1" ht="48">
      <c r="A70" s="878">
        <v>10</v>
      </c>
      <c r="B70" s="3343"/>
      <c r="C70" s="814" t="s">
        <v>633</v>
      </c>
      <c r="D70" s="814" t="s">
        <v>634</v>
      </c>
      <c r="E70" s="891">
        <v>0.2</v>
      </c>
      <c r="F70" s="878">
        <v>30</v>
      </c>
    </row>
    <row r="71" spans="1:6" s="874" customFormat="1" ht="48">
      <c r="A71" s="878">
        <v>11</v>
      </c>
      <c r="B71" s="3343"/>
      <c r="C71" s="814" t="s">
        <v>635</v>
      </c>
      <c r="D71" s="814" t="s">
        <v>636</v>
      </c>
      <c r="E71" s="891">
        <v>0.2</v>
      </c>
      <c r="F71" s="878">
        <v>30</v>
      </c>
    </row>
    <row r="72" spans="1:6" s="874" customFormat="1" ht="36">
      <c r="A72" s="878">
        <v>12</v>
      </c>
      <c r="B72" s="3343"/>
      <c r="C72" s="814" t="s">
        <v>637</v>
      </c>
      <c r="D72" s="814" t="s">
        <v>638</v>
      </c>
      <c r="E72" s="891">
        <v>0.5</v>
      </c>
      <c r="F72" s="878">
        <v>80</v>
      </c>
    </row>
    <row r="73" spans="1:6" s="874" customFormat="1" ht="24">
      <c r="A73" s="878">
        <v>13</v>
      </c>
      <c r="B73" s="3343"/>
      <c r="C73" s="814" t="s">
        <v>639</v>
      </c>
      <c r="D73" s="814" t="s">
        <v>640</v>
      </c>
      <c r="E73" s="891">
        <v>0.4</v>
      </c>
      <c r="F73" s="878">
        <v>60</v>
      </c>
    </row>
    <row r="74" spans="1:6" s="874" customFormat="1" ht="24">
      <c r="A74" s="878">
        <v>14</v>
      </c>
      <c r="B74" s="3343"/>
      <c r="C74" s="814" t="s">
        <v>641</v>
      </c>
      <c r="D74" s="814" t="s">
        <v>642</v>
      </c>
      <c r="E74" s="891">
        <v>0.2</v>
      </c>
      <c r="F74" s="878">
        <v>30</v>
      </c>
    </row>
    <row r="75" spans="1:6" s="874" customFormat="1" ht="24">
      <c r="A75" s="878">
        <v>15</v>
      </c>
      <c r="B75" s="3343"/>
      <c r="C75" s="814" t="s">
        <v>643</v>
      </c>
      <c r="D75" s="814" t="s">
        <v>644</v>
      </c>
      <c r="E75" s="891">
        <v>0.2</v>
      </c>
      <c r="F75" s="878">
        <v>30</v>
      </c>
    </row>
    <row r="76" spans="1:6" s="874" customFormat="1" ht="24">
      <c r="A76" s="878">
        <v>16</v>
      </c>
      <c r="B76" s="3343" t="s">
        <v>645</v>
      </c>
      <c r="C76" s="814" t="s">
        <v>646</v>
      </c>
      <c r="D76" s="814" t="s">
        <v>647</v>
      </c>
      <c r="E76" s="891">
        <v>0.5</v>
      </c>
      <c r="F76" s="878">
        <v>80</v>
      </c>
    </row>
    <row r="77" spans="1:6" s="874" customFormat="1" ht="24">
      <c r="A77" s="878">
        <v>17</v>
      </c>
      <c r="B77" s="3343"/>
      <c r="C77" s="814" t="s">
        <v>648</v>
      </c>
      <c r="D77" s="814" t="s">
        <v>649</v>
      </c>
      <c r="E77" s="891">
        <v>0.5</v>
      </c>
      <c r="F77" s="878">
        <v>80</v>
      </c>
    </row>
    <row r="78" spans="1:6" s="874" customFormat="1" ht="24">
      <c r="A78" s="878">
        <v>18</v>
      </c>
      <c r="B78" s="3343"/>
      <c r="C78" s="814" t="s">
        <v>650</v>
      </c>
      <c r="D78" s="814" t="s">
        <v>651</v>
      </c>
      <c r="E78" s="891">
        <v>0.2</v>
      </c>
      <c r="F78" s="878">
        <v>30</v>
      </c>
    </row>
    <row r="79" spans="1:6" s="874" customFormat="1" ht="24">
      <c r="A79" s="878">
        <v>19</v>
      </c>
      <c r="B79" s="3343"/>
      <c r="C79" s="814" t="s">
        <v>652</v>
      </c>
      <c r="D79" s="814" t="s">
        <v>653</v>
      </c>
      <c r="E79" s="891">
        <v>0.5</v>
      </c>
      <c r="F79" s="878">
        <v>80</v>
      </c>
    </row>
    <row r="80" spans="1:6" s="874" customFormat="1" ht="36">
      <c r="A80" s="878">
        <v>20</v>
      </c>
      <c r="B80" s="3343"/>
      <c r="C80" s="814" t="s">
        <v>654</v>
      </c>
      <c r="D80" s="814" t="s">
        <v>655</v>
      </c>
      <c r="E80" s="891">
        <v>0.2</v>
      </c>
      <c r="F80" s="878">
        <v>30</v>
      </c>
    </row>
    <row r="81" spans="1:6" s="874" customFormat="1" ht="36">
      <c r="A81" s="878">
        <v>21</v>
      </c>
      <c r="B81" s="3343"/>
      <c r="C81" s="814" t="s">
        <v>656</v>
      </c>
      <c r="D81" s="814" t="s">
        <v>657</v>
      </c>
      <c r="E81" s="891">
        <v>0.2</v>
      </c>
      <c r="F81" s="878">
        <v>30</v>
      </c>
    </row>
    <row r="82" spans="1:6" s="874" customFormat="1" ht="48">
      <c r="A82" s="878">
        <v>22</v>
      </c>
      <c r="B82" s="3343"/>
      <c r="C82" s="814" t="s">
        <v>658</v>
      </c>
      <c r="D82" s="814" t="s">
        <v>659</v>
      </c>
      <c r="E82" s="891">
        <v>0.2</v>
      </c>
      <c r="F82" s="878">
        <v>30</v>
      </c>
    </row>
    <row r="83" spans="1:6" s="874" customFormat="1" ht="48">
      <c r="A83" s="878">
        <v>23</v>
      </c>
      <c r="B83" s="3343"/>
      <c r="C83" s="814" t="s">
        <v>660</v>
      </c>
      <c r="D83" s="814" t="s">
        <v>661</v>
      </c>
      <c r="E83" s="891">
        <v>0.2</v>
      </c>
      <c r="F83" s="878">
        <v>30</v>
      </c>
    </row>
    <row r="84" spans="1:6" s="874" customFormat="1" ht="36">
      <c r="A84" s="878">
        <v>24</v>
      </c>
      <c r="B84" s="3343"/>
      <c r="C84" s="814" t="s">
        <v>662</v>
      </c>
      <c r="D84" s="814" t="s">
        <v>663</v>
      </c>
      <c r="E84" s="891">
        <v>0.2</v>
      </c>
      <c r="F84" s="878">
        <v>30</v>
      </c>
    </row>
    <row r="85" spans="1:6" s="874" customFormat="1" ht="36">
      <c r="A85" s="878">
        <v>25</v>
      </c>
      <c r="B85" s="3343"/>
      <c r="C85" s="814" t="s">
        <v>664</v>
      </c>
      <c r="D85" s="814" t="s">
        <v>665</v>
      </c>
      <c r="E85" s="891">
        <v>0.5</v>
      </c>
      <c r="F85" s="878">
        <v>80</v>
      </c>
    </row>
    <row r="86" spans="1:6" s="874" customFormat="1" ht="36">
      <c r="A86" s="878">
        <v>26</v>
      </c>
      <c r="B86" s="3343"/>
      <c r="C86" s="814" t="s">
        <v>666</v>
      </c>
      <c r="D86" s="814" t="s">
        <v>667</v>
      </c>
      <c r="E86" s="891">
        <v>0.2</v>
      </c>
      <c r="F86" s="878">
        <v>30</v>
      </c>
    </row>
    <row r="87" spans="1:6" s="874" customFormat="1" ht="36">
      <c r="A87" s="878">
        <v>27</v>
      </c>
      <c r="B87" s="3343"/>
      <c r="C87" s="814" t="s">
        <v>668</v>
      </c>
      <c r="D87" s="814" t="s">
        <v>669</v>
      </c>
      <c r="E87" s="891">
        <v>0.2</v>
      </c>
      <c r="F87" s="878">
        <v>30</v>
      </c>
    </row>
    <row r="88" spans="1:6" s="874" customFormat="1" ht="36">
      <c r="A88" s="878">
        <v>28</v>
      </c>
      <c r="B88" s="3343"/>
      <c r="C88" s="814" t="s">
        <v>670</v>
      </c>
      <c r="D88" s="814" t="s">
        <v>671</v>
      </c>
      <c r="E88" s="891">
        <v>0.2</v>
      </c>
      <c r="F88" s="878">
        <v>30</v>
      </c>
    </row>
    <row r="89" spans="1:6" s="874" customFormat="1" ht="24">
      <c r="A89" s="878">
        <v>29</v>
      </c>
      <c r="B89" s="3343"/>
      <c r="C89" s="814" t="s">
        <v>672</v>
      </c>
      <c r="D89" s="814" t="s">
        <v>673</v>
      </c>
      <c r="E89" s="891">
        <v>0.2</v>
      </c>
      <c r="F89" s="878">
        <v>30</v>
      </c>
    </row>
    <row r="90" spans="1:6" s="874" customFormat="1" ht="24">
      <c r="A90" s="878">
        <v>30</v>
      </c>
      <c r="B90" s="3343"/>
      <c r="C90" s="814" t="s">
        <v>674</v>
      </c>
      <c r="D90" s="814" t="s">
        <v>675</v>
      </c>
      <c r="E90" s="891">
        <v>0.2</v>
      </c>
      <c r="F90" s="878">
        <v>30</v>
      </c>
    </row>
    <row r="91" spans="1:6" s="874" customFormat="1" ht="36">
      <c r="A91" s="878">
        <v>31</v>
      </c>
      <c r="B91" s="3343"/>
      <c r="C91" s="814" t="s">
        <v>676</v>
      </c>
      <c r="D91" s="814" t="s">
        <v>677</v>
      </c>
      <c r="E91" s="891">
        <v>0.2</v>
      </c>
      <c r="F91" s="878">
        <v>30</v>
      </c>
    </row>
    <row r="92" spans="1:6" s="874" customFormat="1" ht="24">
      <c r="A92" s="878">
        <v>32</v>
      </c>
      <c r="B92" s="3343" t="s">
        <v>678</v>
      </c>
      <c r="C92" s="878" t="s">
        <v>679</v>
      </c>
      <c r="D92" s="814" t="s">
        <v>680</v>
      </c>
      <c r="E92" s="891">
        <v>0.2</v>
      </c>
      <c r="F92" s="878">
        <v>30</v>
      </c>
    </row>
    <row r="93" spans="1:6" s="874" customFormat="1" ht="36">
      <c r="A93" s="878">
        <v>33</v>
      </c>
      <c r="B93" s="3343"/>
      <c r="C93" s="878" t="s">
        <v>681</v>
      </c>
      <c r="D93" s="814" t="s">
        <v>682</v>
      </c>
      <c r="E93" s="891">
        <v>0.2</v>
      </c>
      <c r="F93" s="878">
        <v>30</v>
      </c>
    </row>
    <row r="94" spans="1:6" s="874" customFormat="1" ht="48">
      <c r="A94" s="878">
        <v>34</v>
      </c>
      <c r="B94" s="3343"/>
      <c r="C94" s="878" t="s">
        <v>683</v>
      </c>
      <c r="D94" s="814" t="s">
        <v>684</v>
      </c>
      <c r="E94" s="891">
        <v>0.2</v>
      </c>
      <c r="F94" s="878">
        <v>30</v>
      </c>
    </row>
    <row r="95" spans="1:6" s="874" customFormat="1" ht="36">
      <c r="A95" s="878">
        <v>35</v>
      </c>
      <c r="B95" s="3343"/>
      <c r="C95" s="878" t="s">
        <v>685</v>
      </c>
      <c r="D95" s="814" t="s">
        <v>686</v>
      </c>
      <c r="E95" s="891">
        <v>0.2</v>
      </c>
      <c r="F95" s="878">
        <v>30</v>
      </c>
    </row>
    <row r="96" spans="1:6" s="874" customFormat="1" ht="48">
      <c r="A96" s="878">
        <v>36</v>
      </c>
      <c r="B96" s="3343"/>
      <c r="C96" s="814" t="s">
        <v>687</v>
      </c>
      <c r="D96" s="814" t="s">
        <v>688</v>
      </c>
      <c r="E96" s="891">
        <v>0.2</v>
      </c>
      <c r="F96" s="878">
        <v>30</v>
      </c>
    </row>
    <row r="97" spans="1:6" s="874" customFormat="1" ht="36">
      <c r="A97" s="878">
        <v>37</v>
      </c>
      <c r="B97" s="3343"/>
      <c r="C97" s="878" t="s">
        <v>689</v>
      </c>
      <c r="D97" s="814" t="s">
        <v>690</v>
      </c>
      <c r="E97" s="891">
        <v>0.2</v>
      </c>
      <c r="F97" s="878">
        <v>30</v>
      </c>
    </row>
    <row r="98" spans="1:6" s="874" customFormat="1" ht="36">
      <c r="A98" s="878">
        <v>38</v>
      </c>
      <c r="B98" s="3343"/>
      <c r="C98" s="878" t="s">
        <v>691</v>
      </c>
      <c r="D98" s="814" t="s">
        <v>692</v>
      </c>
      <c r="E98" s="891">
        <v>0.2</v>
      </c>
      <c r="F98" s="878">
        <v>30</v>
      </c>
    </row>
    <row r="99" spans="1:6" s="874" customFormat="1" ht="36">
      <c r="A99" s="878">
        <v>39</v>
      </c>
      <c r="B99" s="3343" t="s">
        <v>693</v>
      </c>
      <c r="C99" s="878" t="s">
        <v>694</v>
      </c>
      <c r="D99" s="814" t="s">
        <v>695</v>
      </c>
      <c r="E99" s="891">
        <v>0.3</v>
      </c>
      <c r="F99" s="878">
        <v>50</v>
      </c>
    </row>
    <row r="100" spans="1:6" s="874" customFormat="1" ht="24">
      <c r="A100" s="878">
        <v>40</v>
      </c>
      <c r="B100" s="3343"/>
      <c r="C100" s="878" t="s">
        <v>696</v>
      </c>
      <c r="D100" s="814" t="s">
        <v>697</v>
      </c>
      <c r="E100" s="891">
        <v>0.2</v>
      </c>
      <c r="F100" s="878">
        <v>30</v>
      </c>
    </row>
    <row r="101" spans="1:6" s="874" customFormat="1" ht="36">
      <c r="A101" s="878">
        <v>41</v>
      </c>
      <c r="B101" s="334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3" t="s">
        <v>708</v>
      </c>
      <c r="C105" s="878" t="s">
        <v>709</v>
      </c>
      <c r="D105" s="814" t="s">
        <v>710</v>
      </c>
      <c r="E105" s="891">
        <v>0.2</v>
      </c>
      <c r="F105" s="878">
        <v>30</v>
      </c>
    </row>
    <row r="106" spans="1:6" s="874" customFormat="1" ht="36">
      <c r="A106" s="878">
        <v>46</v>
      </c>
      <c r="B106" s="3343"/>
      <c r="C106" s="878" t="s">
        <v>711</v>
      </c>
      <c r="D106" s="814" t="s">
        <v>712</v>
      </c>
      <c r="E106" s="891">
        <v>0.2</v>
      </c>
      <c r="F106" s="878">
        <v>30</v>
      </c>
    </row>
    <row r="107" spans="1:6" s="874" customFormat="1" ht="36">
      <c r="A107" s="878">
        <v>47</v>
      </c>
      <c r="B107" s="3343" t="s">
        <v>713</v>
      </c>
      <c r="C107" s="878" t="s">
        <v>714</v>
      </c>
      <c r="D107" s="814" t="s">
        <v>715</v>
      </c>
      <c r="E107" s="891">
        <v>0.3</v>
      </c>
      <c r="F107" s="878">
        <v>50</v>
      </c>
    </row>
    <row r="108" spans="1:6" s="874" customFormat="1" ht="36">
      <c r="A108" s="878">
        <v>48</v>
      </c>
      <c r="B108" s="334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3" t="s">
        <v>724</v>
      </c>
      <c r="C111" s="878" t="s">
        <v>725</v>
      </c>
      <c r="D111" s="814" t="s">
        <v>726</v>
      </c>
      <c r="E111" s="891">
        <v>0.2</v>
      </c>
      <c r="F111" s="878">
        <v>30</v>
      </c>
    </row>
    <row r="112" spans="1:6" s="874" customFormat="1" ht="24">
      <c r="A112" s="878">
        <v>52</v>
      </c>
      <c r="B112" s="3343"/>
      <c r="C112" s="878" t="s">
        <v>727</v>
      </c>
      <c r="D112" s="814" t="s">
        <v>728</v>
      </c>
      <c r="E112" s="891">
        <v>0.2</v>
      </c>
      <c r="F112" s="878">
        <v>30</v>
      </c>
    </row>
    <row r="113" spans="1:6" s="874" customFormat="1" ht="24">
      <c r="A113" s="878">
        <v>53</v>
      </c>
      <c r="B113" s="334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3" t="s">
        <v>737</v>
      </c>
      <c r="C116" s="878" t="s">
        <v>738</v>
      </c>
      <c r="D116" s="814" t="s">
        <v>739</v>
      </c>
      <c r="E116" s="891">
        <v>0.2</v>
      </c>
      <c r="F116" s="878">
        <v>30</v>
      </c>
    </row>
    <row r="117" spans="1:6" ht="36">
      <c r="A117" s="878">
        <v>57</v>
      </c>
      <c r="B117" s="334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2985</v>
      </c>
    </row>
    <row r="2" spans="1:5" ht="15.75">
      <c r="A2" s="2901" t="s">
        <v>2977</v>
      </c>
      <c r="B2" s="2902" t="e">
        <f ca="1">SUMIF(B6:B13,"&lt;&gt;#ref!",B6:B13)</f>
        <v>#DIV/0!</v>
      </c>
      <c r="C2" s="2901" t="s">
        <v>2978</v>
      </c>
      <c r="D2" s="2901" t="s">
        <v>2979</v>
      </c>
      <c r="E2" s="2902">
        <f ca="1">SUMIF(E6:E13,"&lt;&gt;#ref!",E6:E13)</f>
        <v>0</v>
      </c>
    </row>
    <row r="3" spans="1:5" ht="15.75">
      <c r="A3" s="2901" t="s">
        <v>2980</v>
      </c>
      <c r="B3" s="2902" t="e">
        <f ca="1">ROUND(B2*10000/E2,0)</f>
        <v>#DIV/0!</v>
      </c>
      <c r="C3" s="2901" t="s">
        <v>2986</v>
      </c>
      <c r="D3" s="2903"/>
      <c r="E3" s="2903"/>
    </row>
    <row r="4" spans="1:5" ht="15.75">
      <c r="A4" s="2904"/>
      <c r="B4" s="2903"/>
      <c r="C4" s="2903"/>
      <c r="D4" s="2903"/>
      <c r="E4" s="2903"/>
    </row>
    <row r="5" spans="1:5" ht="28.5">
      <c r="A5" s="2905" t="s">
        <v>2981</v>
      </c>
      <c r="B5" s="2901" t="s">
        <v>2982</v>
      </c>
      <c r="C5" s="2902"/>
      <c r="D5" s="2903"/>
      <c r="E5" s="2901" t="s">
        <v>2983</v>
      </c>
    </row>
    <row r="6" spans="1:5" ht="15.75">
      <c r="A6" s="2906" t="s">
        <v>2984</v>
      </c>
      <c r="B6" s="2902" t="e">
        <f ca="1">SUMIF(INDIRECT("'"&amp;A6&amp;"'"&amp;"!A:A"),"总价",INDIRECT("'"&amp;A6&amp;"'"&amp;"!B:B"))</f>
        <v>#DIV/0!</v>
      </c>
      <c r="C6" s="2901" t="s">
        <v>2978</v>
      </c>
      <c r="D6" s="2903"/>
      <c r="E6" s="2566">
        <f ca="1">SUMIF(INDIRECT("'"&amp;A6&amp;"'"&amp;"!C:C"),"建筑面积",INDIRECT("'"&amp;A6&amp;"'"&amp;"!D:D"))</f>
        <v>0</v>
      </c>
    </row>
    <row r="7" spans="1:5" ht="15.75">
      <c r="A7" s="2906"/>
      <c r="B7" s="2902" t="e">
        <f ca="1">SUMIF(INDIRECT("'"&amp;A7&amp;"'"&amp;"!A:A"),"总价",INDIRECT("'"&amp;A7&amp;"'"&amp;"!B:B"))</f>
        <v>#REF!</v>
      </c>
      <c r="C7" s="2901" t="s">
        <v>2978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2978</v>
      </c>
      <c r="D8" s="2903"/>
      <c r="E8" s="2566" t="e">
        <f t="shared" ca="1" si="0"/>
        <v>#REF!</v>
      </c>
    </row>
    <row r="9" spans="1:5" ht="15.75">
      <c r="A9" s="2906"/>
      <c r="B9" s="2902" t="e">
        <f t="shared" ca="1" si="1"/>
        <v>#REF!</v>
      </c>
      <c r="C9" s="2901" t="s">
        <v>2978</v>
      </c>
      <c r="D9" s="2903"/>
      <c r="E9" s="2566" t="e">
        <f t="shared" ca="1" si="0"/>
        <v>#REF!</v>
      </c>
    </row>
    <row r="10" spans="1:5" ht="15.75">
      <c r="A10" s="2906"/>
      <c r="B10" s="2902" t="e">
        <f t="shared" ca="1" si="1"/>
        <v>#REF!</v>
      </c>
      <c r="C10" s="2901" t="s">
        <v>2978</v>
      </c>
      <c r="D10" s="2903"/>
      <c r="E10" s="2566" t="e">
        <f t="shared" ca="1" si="0"/>
        <v>#REF!</v>
      </c>
    </row>
    <row r="11" spans="1:5" ht="15.75">
      <c r="A11" s="2906"/>
      <c r="B11" s="2902" t="e">
        <f t="shared" ca="1" si="1"/>
        <v>#REF!</v>
      </c>
      <c r="C11" s="2901" t="s">
        <v>2978</v>
      </c>
      <c r="D11" s="2903"/>
      <c r="E11" s="2566" t="e">
        <f t="shared" ca="1" si="0"/>
        <v>#REF!</v>
      </c>
    </row>
    <row r="12" spans="1:5" ht="15.75">
      <c r="A12" s="2906"/>
      <c r="B12" s="2902" t="e">
        <f t="shared" ca="1" si="1"/>
        <v>#REF!</v>
      </c>
      <c r="C12" s="2901" t="s">
        <v>2978</v>
      </c>
      <c r="D12" s="2903"/>
      <c r="E12" s="2566" t="e">
        <f t="shared" ca="1" si="0"/>
        <v>#REF!</v>
      </c>
    </row>
    <row r="13" spans="1:5" ht="15.75">
      <c r="A13" s="2906"/>
      <c r="B13" s="2902" t="e">
        <f t="shared" ca="1" si="1"/>
        <v>#REF!</v>
      </c>
      <c r="C13" s="2901" t="s">
        <v>2978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9" t="s">
        <v>1149</v>
      </c>
      <c r="C1" s="3349"/>
      <c r="D1" s="3349"/>
      <c r="E1" s="3349"/>
      <c r="F1" s="3349"/>
      <c r="G1" s="3345" t="s">
        <v>1150</v>
      </c>
      <c r="H1" s="3345"/>
      <c r="I1" s="3345"/>
      <c r="J1" s="3345"/>
      <c r="K1" s="3345"/>
      <c r="L1" s="3345"/>
      <c r="N1" s="3345" t="s">
        <v>1151</v>
      </c>
      <c r="O1" s="3345"/>
      <c r="P1" s="3345"/>
      <c r="Q1" s="3345"/>
      <c r="R1" s="1442"/>
      <c r="S1" s="3345" t="s">
        <v>1152</v>
      </c>
      <c r="T1" s="3345"/>
      <c r="U1" s="3345"/>
      <c r="V1" s="3345"/>
      <c r="X1" s="3344" t="s">
        <v>1153</v>
      </c>
      <c r="Y1" s="3345"/>
      <c r="Z1" s="3345"/>
      <c r="AA1" s="3345"/>
      <c r="AB1" s="3345"/>
      <c r="AD1" s="3344" t="s">
        <v>1154</v>
      </c>
      <c r="AE1" s="3345"/>
      <c r="AF1" s="3345"/>
      <c r="AG1" s="3345"/>
      <c r="AH1" s="3345"/>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20" customFormat="1" ht="14.25">
      <c r="A3" s="2929" t="s">
        <v>3020</v>
      </c>
      <c r="B3" s="2921"/>
      <c r="C3" s="2921"/>
      <c r="D3" s="2922"/>
      <c r="E3" s="2922"/>
      <c r="F3" s="2921"/>
      <c r="G3" s="2923"/>
      <c r="H3" s="2924"/>
      <c r="I3" s="2925">
        <f>ROUND(AVERAGE($I8:$I23),2)</f>
        <v>2.4500000000000002</v>
      </c>
      <c r="J3" s="2925">
        <f>ROUND(AVERAGE($J8:$J23),2)</f>
        <v>1.65</v>
      </c>
      <c r="K3" s="2925">
        <f>ROUND(AVERAGE($K8:$K23),2)</f>
        <v>2.71</v>
      </c>
      <c r="L3" s="2925">
        <f>ROUND(AVERAGE($L8:$L23),2)</f>
        <v>1.39</v>
      </c>
      <c r="N3" s="2923"/>
      <c r="O3" s="2926"/>
      <c r="P3" s="2926"/>
      <c r="Q3" s="2926"/>
      <c r="R3" s="2926"/>
      <c r="S3" s="2923"/>
      <c r="T3" s="2926"/>
      <c r="U3" s="2926"/>
      <c r="V3" s="2926"/>
      <c r="W3" s="2918"/>
      <c r="X3" s="2927">
        <f>ROUND(SUMPRODUCT(PRODUCT(1+N3:N$22)),4)</f>
        <v>1.4733000000000001</v>
      </c>
      <c r="Y3" s="2927">
        <f>ROUND(SUMPRODUCT(PRODUCT(1+O3:O$22)),4)</f>
        <v>1.3052999999999999</v>
      </c>
      <c r="Z3" s="2927">
        <f t="shared" ref="Z3:Z20" si="0">Y3</f>
        <v>1.3052999999999999</v>
      </c>
      <c r="AA3" s="2927">
        <f>ROUND(SUMPRODUCT(PRODUCT(1+P3:P$22)),4)</f>
        <v>1.5306999999999999</v>
      </c>
      <c r="AB3" s="2927">
        <f>ROUND(SUMPRODUCT(PRODUCT(1+Q3:Q$22)),4)</f>
        <v>1.2863</v>
      </c>
      <c r="AD3" s="2928">
        <f>ROUND(AVERAGE(I3:I$23)/100,4)</f>
        <v>2.24E-2</v>
      </c>
      <c r="AE3" s="2928">
        <f>ROUND(AVERAGE(J3:J$23)/100,4)</f>
        <v>1.54E-2</v>
      </c>
      <c r="AF3" s="2928">
        <f t="shared" ref="AF3:AF21" si="1">AE3</f>
        <v>1.54E-2</v>
      </c>
      <c r="AG3" s="2928">
        <f>ROUND(AVERAGE(K3:K$23)/100,4)</f>
        <v>2.47E-2</v>
      </c>
      <c r="AH3" s="2928">
        <f>ROUND(AVERAGE(L3:L$23)/100,4)</f>
        <v>1.41E-2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3027</v>
      </c>
      <c r="B5" s="1786">
        <f t="shared" ref="B5" si="2">B6*(1+N5)</f>
        <v>453.11529869999993</v>
      </c>
      <c r="C5" s="1786">
        <f t="shared" ref="C5" si="3">C6*(1+O5)</f>
        <v>336.47787264000004</v>
      </c>
      <c r="D5" s="1786">
        <f t="shared" ref="D5" si="4">C5</f>
        <v>336.47787264000004</v>
      </c>
      <c r="E5" s="1786">
        <f t="shared" ref="E5" si="5">E6*(1+P5)</f>
        <v>647.35186823999993</v>
      </c>
      <c r="F5" s="1786">
        <f t="shared" ref="F5" si="6">F6*(1+Q5)</f>
        <v>295.73229452000004</v>
      </c>
      <c r="G5" s="2932">
        <v>2018</v>
      </c>
      <c r="H5" s="1725">
        <v>3</v>
      </c>
      <c r="I5" s="2915">
        <v>0</v>
      </c>
      <c r="J5" s="2915">
        <v>0</v>
      </c>
      <c r="K5" s="2915">
        <v>0</v>
      </c>
      <c r="L5" s="2915">
        <v>0</v>
      </c>
      <c r="N5" s="1463">
        <f>I5/100</f>
        <v>0</v>
      </c>
      <c r="O5" s="1463">
        <f t="shared" ref="O5" si="7">J5/100</f>
        <v>0</v>
      </c>
      <c r="P5" s="1463">
        <f t="shared" ref="P5" si="8">K5/100</f>
        <v>0</v>
      </c>
      <c r="Q5" s="1463">
        <f t="shared" ref="Q5" si="9">L5/100</f>
        <v>0</v>
      </c>
      <c r="R5" s="1727"/>
      <c r="S5" s="1728"/>
      <c r="T5" s="1727"/>
      <c r="U5" s="1727"/>
      <c r="V5" s="1727"/>
      <c r="W5" s="2919" t="s">
        <v>3021</v>
      </c>
      <c r="X5" s="1721">
        <f>ROUND(SUMPRODUCT(PRODUCT(1+N5:N$22)),4)</f>
        <v>1.4733000000000001</v>
      </c>
      <c r="Y5" s="1721">
        <f>ROUND(SUMPRODUCT(PRODUCT(1+O5:O$22)),4)</f>
        <v>1.3052999999999999</v>
      </c>
      <c r="Z5" s="1721">
        <f t="shared" ref="Z5" si="10">Y5</f>
        <v>1.3052999999999999</v>
      </c>
      <c r="AA5" s="1721">
        <f>ROUND(SUMPRODUCT(PRODUCT(1+P5:P$22)),4)</f>
        <v>1.5306999999999999</v>
      </c>
      <c r="AB5" s="1721">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3028</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0"/>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5"/>
      <c r="X6" s="1783">
        <f>ROUND(SUMPRODUCT(PRODUCT(1+N6:N$22)),4)</f>
        <v>1.4733000000000001</v>
      </c>
      <c r="Y6" s="1783">
        <f>ROUND(SUMPRODUCT(PRODUCT(1+O6:O$22)),4)</f>
        <v>1.3052999999999999</v>
      </c>
      <c r="Z6" s="1783">
        <f t="shared" ref="Z6" si="21">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 t="shared" ref="AF6" si="22">AE6</f>
        <v>1.6199999999999999E-2</v>
      </c>
      <c r="AG6" s="1784">
        <f>ROUND(AVERAGE(K6:K$23)/100,4)</f>
        <v>2.5899999999999999E-2</v>
      </c>
      <c r="AH6" s="1784">
        <f>ROUND(AVERAGE(L6:L$23)/100,4)</f>
        <v>1.49E-2</v>
      </c>
    </row>
    <row r="7" spans="1:34" s="1462" customFormat="1" ht="13.5" thickBot="1">
      <c r="A7" s="1457" t="s">
        <v>3019</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0"/>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3016</v>
      </c>
      <c r="B8" s="1465">
        <v>439</v>
      </c>
      <c r="C8" s="1465">
        <v>327</v>
      </c>
      <c r="D8" s="1465">
        <f>C8</f>
        <v>327</v>
      </c>
      <c r="E8" s="1465">
        <v>627</v>
      </c>
      <c r="F8" s="1466">
        <v>283</v>
      </c>
      <c r="G8" s="2917">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3017</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3"/>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7" t="s">
        <v>1385</v>
      </c>
      <c r="B10" s="1473">
        <f t="shared" si="40"/>
        <v>419.31181600000002</v>
      </c>
      <c r="C10" s="1473">
        <f t="shared" si="41"/>
        <v>313.95436800000004</v>
      </c>
      <c r="D10" s="1473">
        <f t="shared" si="42"/>
        <v>313.95436800000004</v>
      </c>
      <c r="E10" s="1473">
        <f t="shared" si="43"/>
        <v>596.63028431999999</v>
      </c>
      <c r="F10" s="1473">
        <f t="shared" si="44"/>
        <v>274.74220703999998</v>
      </c>
      <c r="G10" s="2912"/>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1160</v>
      </c>
      <c r="B11" s="1473">
        <f>B12*(1+N11)</f>
        <v>405.524</v>
      </c>
      <c r="C11" s="1473">
        <f>C12*(1+O11)</f>
        <v>307.79840000000002</v>
      </c>
      <c r="D11" s="1473">
        <f>C11</f>
        <v>307.79840000000002</v>
      </c>
      <c r="E11" s="1473">
        <f>E12*(1+P11)</f>
        <v>574.67759999999998</v>
      </c>
      <c r="F11" s="1473">
        <f>F12*(1+Q11)</f>
        <v>270.20280000000002</v>
      </c>
      <c r="G11" s="2913"/>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50">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47"/>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47"/>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48"/>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46">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47"/>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47"/>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48"/>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46">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47"/>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47"/>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48"/>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1161</v>
      </c>
      <c r="X23" s="1501">
        <v>1</v>
      </c>
      <c r="Y23" s="1501">
        <v>1</v>
      </c>
      <c r="Z23" s="1501">
        <v>1</v>
      </c>
      <c r="AA23" s="1501">
        <v>1</v>
      </c>
      <c r="AB23" s="1501">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7" t="s">
        <v>1162</v>
      </c>
      <c r="B24" s="1465">
        <v>299</v>
      </c>
      <c r="C24" s="1465">
        <v>252</v>
      </c>
      <c r="D24" s="1465">
        <f t="shared" si="54"/>
        <v>252</v>
      </c>
      <c r="E24" s="1465">
        <v>409</v>
      </c>
      <c r="F24" s="1466">
        <v>227</v>
      </c>
      <c r="G24" s="3351">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1163</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52"/>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1164</v>
      </c>
      <c r="B26" s="1473">
        <f t="shared" si="63"/>
        <v>288.2649053828776</v>
      </c>
      <c r="C26" s="1473">
        <f t="shared" si="63"/>
        <v>243.64564425013293</v>
      </c>
      <c r="D26" s="1473">
        <f t="shared" si="54"/>
        <v>243.64564425013293</v>
      </c>
      <c r="E26" s="1473">
        <f t="shared" si="64"/>
        <v>393.31080825986544</v>
      </c>
      <c r="F26" s="1473">
        <f t="shared" si="64"/>
        <v>223.07903790551154</v>
      </c>
      <c r="G26" s="3352"/>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1165</v>
      </c>
      <c r="B27" s="1473">
        <f t="shared" si="63"/>
        <v>282.50186729015837</v>
      </c>
      <c r="C27" s="1473">
        <f t="shared" si="63"/>
        <v>238.09796174155468</v>
      </c>
      <c r="D27" s="1473">
        <f t="shared" si="54"/>
        <v>238.09796174155468</v>
      </c>
      <c r="E27" s="1473">
        <f t="shared" si="64"/>
        <v>385.33438646014054</v>
      </c>
      <c r="F27" s="1473">
        <f t="shared" si="64"/>
        <v>221.55034055567739</v>
      </c>
      <c r="G27" s="3353"/>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1166</v>
      </c>
      <c r="B28" s="1507">
        <v>278</v>
      </c>
      <c r="C28" s="1507">
        <v>234</v>
      </c>
      <c r="D28" s="1507">
        <f t="shared" si="54"/>
        <v>234</v>
      </c>
      <c r="E28" s="1507">
        <v>379</v>
      </c>
      <c r="F28" s="1508">
        <v>220</v>
      </c>
      <c r="G28" s="3346">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1167</v>
      </c>
      <c r="B29" s="1473">
        <f>B28/(1+N28)</f>
        <v>275.49301357645425</v>
      </c>
      <c r="C29" s="1473">
        <f>C28/(1+O28)</f>
        <v>232.41954707985698</v>
      </c>
      <c r="D29" s="1473">
        <f t="shared" si="54"/>
        <v>232.41954707985698</v>
      </c>
      <c r="E29" s="1473">
        <f t="shared" ref="E29:F31" si="65">E28/(1+P28)</f>
        <v>375.32184591008121</v>
      </c>
      <c r="F29" s="1473">
        <f t="shared" si="65"/>
        <v>218.03766105054513</v>
      </c>
      <c r="G29" s="3347"/>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1168</v>
      </c>
      <c r="B30" s="1473">
        <f>B29/(1+N29)</f>
        <v>275.24529281292263</v>
      </c>
      <c r="C30" s="1473">
        <f>C29/(1+O29)</f>
        <v>231.74747938962707</v>
      </c>
      <c r="D30" s="1473">
        <f t="shared" si="54"/>
        <v>231.74747938962707</v>
      </c>
      <c r="E30" s="1473">
        <f t="shared" si="65"/>
        <v>375.35938184826603</v>
      </c>
      <c r="F30" s="1473">
        <f t="shared" si="65"/>
        <v>216.78033510692495</v>
      </c>
      <c r="G30" s="3347"/>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1169</v>
      </c>
      <c r="B31" s="1473">
        <f>B30/(1+N30)</f>
        <v>275.19025476197027</v>
      </c>
      <c r="C31" s="1509">
        <v>232</v>
      </c>
      <c r="D31" s="1509">
        <f t="shared" si="54"/>
        <v>232</v>
      </c>
      <c r="E31" s="1473">
        <f t="shared" si="65"/>
        <v>375.65990977608692</v>
      </c>
      <c r="F31" s="1473">
        <f t="shared" si="65"/>
        <v>214.12518283971252</v>
      </c>
      <c r="G31" s="3348"/>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1170</v>
      </c>
      <c r="B32" s="1465">
        <v>275</v>
      </c>
      <c r="C32" s="1465">
        <v>232</v>
      </c>
      <c r="D32" s="1465">
        <f t="shared" si="54"/>
        <v>232</v>
      </c>
      <c r="E32" s="1465">
        <v>376</v>
      </c>
      <c r="F32" s="1466">
        <v>213</v>
      </c>
      <c r="G32" s="3346">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1171</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47">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1172</v>
      </c>
      <c r="B34" s="1473">
        <f t="shared" si="66"/>
        <v>275.19335084830601</v>
      </c>
      <c r="C34" s="1473">
        <f t="shared" si="66"/>
        <v>230.18088050139744</v>
      </c>
      <c r="D34" s="1473">
        <f t="shared" si="54"/>
        <v>230.18088050139744</v>
      </c>
      <c r="E34" s="1473">
        <f t="shared" si="67"/>
        <v>377.58482925212331</v>
      </c>
      <c r="F34" s="1473">
        <f t="shared" si="67"/>
        <v>210.90687997847917</v>
      </c>
      <c r="G34" s="3347">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1173</v>
      </c>
      <c r="B35" s="1473">
        <f t="shared" si="66"/>
        <v>276.29854502841971</v>
      </c>
      <c r="C35" s="1473">
        <f t="shared" si="66"/>
        <v>229.79023709833027</v>
      </c>
      <c r="D35" s="1473">
        <f t="shared" si="54"/>
        <v>229.79023709833027</v>
      </c>
      <c r="E35" s="1473">
        <f t="shared" si="67"/>
        <v>379.78759731655936</v>
      </c>
      <c r="F35" s="1473">
        <f t="shared" si="67"/>
        <v>211.32953905659235</v>
      </c>
      <c r="G35" s="3348">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1174</v>
      </c>
      <c r="B36" s="1465">
        <v>269</v>
      </c>
      <c r="C36" s="1465">
        <v>221</v>
      </c>
      <c r="D36" s="1465">
        <f t="shared" si="54"/>
        <v>221</v>
      </c>
      <c r="E36" s="1465">
        <v>373</v>
      </c>
      <c r="F36" s="1466">
        <v>196</v>
      </c>
      <c r="G36" s="3346">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1175</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47">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1176</v>
      </c>
      <c r="B38" s="1473">
        <f t="shared" si="68"/>
        <v>242.95398227588385</v>
      </c>
      <c r="C38" s="1473">
        <f t="shared" si="68"/>
        <v>199.59137053614126</v>
      </c>
      <c r="D38" s="1473">
        <f t="shared" si="54"/>
        <v>199.59137053614126</v>
      </c>
      <c r="E38" s="1473">
        <f t="shared" si="69"/>
        <v>335.92189522342125</v>
      </c>
      <c r="F38" s="1473">
        <f t="shared" si="69"/>
        <v>183.10139991109489</v>
      </c>
      <c r="G38" s="3347">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1177</v>
      </c>
      <c r="B39" s="1473">
        <f t="shared" si="68"/>
        <v>232.06990378821649</v>
      </c>
      <c r="C39" s="1473">
        <f t="shared" si="68"/>
        <v>192.74878854286936</v>
      </c>
      <c r="D39" s="1473">
        <f t="shared" si="54"/>
        <v>192.74878854286936</v>
      </c>
      <c r="E39" s="1473">
        <f t="shared" si="69"/>
        <v>319.71247284992984</v>
      </c>
      <c r="F39" s="1473">
        <f t="shared" si="69"/>
        <v>175.67053622862409</v>
      </c>
      <c r="G39" s="3348">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1178</v>
      </c>
      <c r="B40" s="1465">
        <v>220</v>
      </c>
      <c r="C40" s="1465">
        <v>187</v>
      </c>
      <c r="D40" s="1465">
        <f t="shared" si="54"/>
        <v>187</v>
      </c>
      <c r="E40" s="1465">
        <v>301</v>
      </c>
      <c r="F40" s="1466">
        <v>168</v>
      </c>
      <c r="G40" s="3346">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1179</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47">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1180</v>
      </c>
      <c r="B42" s="1473">
        <f t="shared" si="70"/>
        <v>210.630522469011</v>
      </c>
      <c r="C42" s="1473">
        <f t="shared" si="70"/>
        <v>181.69567812247232</v>
      </c>
      <c r="D42" s="1473">
        <f t="shared" si="54"/>
        <v>181.69567812247232</v>
      </c>
      <c r="E42" s="1473">
        <f t="shared" si="71"/>
        <v>286.13517466736738</v>
      </c>
      <c r="F42" s="1473">
        <f t="shared" si="71"/>
        <v>165.47535084591149</v>
      </c>
      <c r="G42" s="3347">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1181</v>
      </c>
      <c r="B43" s="1473">
        <f t="shared" si="70"/>
        <v>208.83454537875372</v>
      </c>
      <c r="C43" s="1473">
        <f t="shared" si="70"/>
        <v>183.77230517090351</v>
      </c>
      <c r="D43" s="1473">
        <f t="shared" si="54"/>
        <v>183.77230517090351</v>
      </c>
      <c r="E43" s="1473">
        <f t="shared" si="71"/>
        <v>281.10342338870947</v>
      </c>
      <c r="F43" s="1473">
        <f t="shared" si="71"/>
        <v>168.97309388942256</v>
      </c>
      <c r="G43" s="3348">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1182</v>
      </c>
      <c r="B44" s="1507">
        <v>214</v>
      </c>
      <c r="C44" s="1507">
        <v>188</v>
      </c>
      <c r="D44" s="1507">
        <f t="shared" si="54"/>
        <v>188</v>
      </c>
      <c r="E44" s="1507">
        <v>289</v>
      </c>
      <c r="F44" s="1508">
        <v>166</v>
      </c>
      <c r="G44" s="3346">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1183</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47">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1184</v>
      </c>
      <c r="B46" s="1473">
        <f t="shared" si="72"/>
        <v>206.31694671589116</v>
      </c>
      <c r="C46" s="1473">
        <f t="shared" si="72"/>
        <v>183.61041121036101</v>
      </c>
      <c r="D46" s="1473">
        <f t="shared" si="54"/>
        <v>183.61041121036101</v>
      </c>
      <c r="E46" s="1473">
        <f t="shared" si="73"/>
        <v>276.66850301795557</v>
      </c>
      <c r="F46" s="1473">
        <f t="shared" si="73"/>
        <v>165.1360938278614</v>
      </c>
      <c r="G46" s="3347">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1185</v>
      </c>
      <c r="B47" s="1510">
        <f t="shared" si="72"/>
        <v>196.62341248059772</v>
      </c>
      <c r="C47" s="1510">
        <f t="shared" si="72"/>
        <v>170.99125648199012</v>
      </c>
      <c r="D47" s="1510">
        <f t="shared" si="54"/>
        <v>170.99125648199012</v>
      </c>
      <c r="E47" s="1510">
        <f t="shared" si="73"/>
        <v>266.07857570490052</v>
      </c>
      <c r="F47" s="1510">
        <f t="shared" si="73"/>
        <v>154.53499328828505</v>
      </c>
      <c r="G47" s="3348">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1186</v>
      </c>
      <c r="B48" s="1465">
        <v>188</v>
      </c>
      <c r="C48" s="1465">
        <v>165</v>
      </c>
      <c r="D48" s="1465">
        <f t="shared" si="54"/>
        <v>165</v>
      </c>
      <c r="E48" s="1465">
        <v>254</v>
      </c>
      <c r="F48" s="1466">
        <v>148</v>
      </c>
      <c r="G48" s="3346">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1187</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47">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1188</v>
      </c>
      <c r="B50" s="1473">
        <f t="shared" si="76"/>
        <v>168.82017748715555</v>
      </c>
      <c r="C50" s="1473">
        <f t="shared" si="76"/>
        <v>148.06267029972753</v>
      </c>
      <c r="D50" s="1473">
        <f t="shared" si="54"/>
        <v>148.06267029972753</v>
      </c>
      <c r="E50" s="1473">
        <f t="shared" si="77"/>
        <v>216.46288379323747</v>
      </c>
      <c r="F50" s="1473">
        <f t="shared" si="77"/>
        <v>134.23529411764704</v>
      </c>
      <c r="G50" s="3347">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1189</v>
      </c>
      <c r="B51" s="1473">
        <f t="shared" si="76"/>
        <v>163.84913591779542</v>
      </c>
      <c r="C51" s="1473">
        <f t="shared" si="76"/>
        <v>145.0283378746594</v>
      </c>
      <c r="D51" s="1473">
        <f t="shared" si="54"/>
        <v>145.0283378746594</v>
      </c>
      <c r="E51" s="1473">
        <f t="shared" si="77"/>
        <v>204.95180722891567</v>
      </c>
      <c r="F51" s="1473">
        <f t="shared" si="77"/>
        <v>125.95920303605313</v>
      </c>
      <c r="G51" s="3348">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1190</v>
      </c>
      <c r="B52" s="1486">
        <v>159</v>
      </c>
      <c r="C52" s="1486">
        <v>141</v>
      </c>
      <c r="D52" s="1486">
        <f t="shared" si="54"/>
        <v>141</v>
      </c>
      <c r="E52" s="1486">
        <v>195</v>
      </c>
      <c r="F52" s="1487">
        <v>122</v>
      </c>
      <c r="G52" s="3346">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1191</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47">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1192</v>
      </c>
      <c r="B54" s="1473">
        <f t="shared" si="80"/>
        <v>146.57412060301507</v>
      </c>
      <c r="C54" s="1473">
        <f t="shared" si="80"/>
        <v>136.46831955922866</v>
      </c>
      <c r="D54" s="1473">
        <f t="shared" si="54"/>
        <v>136.46831955922866</v>
      </c>
      <c r="E54" s="1473">
        <f t="shared" si="81"/>
        <v>166.73864894795128</v>
      </c>
      <c r="F54" s="1473">
        <f t="shared" si="81"/>
        <v>115.05882352941177</v>
      </c>
      <c r="G54" s="3347">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1193</v>
      </c>
      <c r="B55" s="1473">
        <f t="shared" si="80"/>
        <v>144.04145728643215</v>
      </c>
      <c r="C55" s="1473">
        <f t="shared" si="80"/>
        <v>136.12396694214877</v>
      </c>
      <c r="D55" s="1473">
        <f t="shared" si="54"/>
        <v>136.12396694214877</v>
      </c>
      <c r="E55" s="1473">
        <f t="shared" si="81"/>
        <v>158.32225913621264</v>
      </c>
      <c r="F55" s="1473">
        <f t="shared" si="81"/>
        <v>114.04278074866311</v>
      </c>
      <c r="G55" s="3348">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1194</v>
      </c>
      <c r="B56" s="1486">
        <v>138</v>
      </c>
      <c r="C56" s="1486">
        <v>131</v>
      </c>
      <c r="D56" s="1486">
        <f t="shared" si="54"/>
        <v>131</v>
      </c>
      <c r="E56" s="1486">
        <v>155</v>
      </c>
      <c r="F56" s="1487">
        <v>114</v>
      </c>
      <c r="G56" s="3346">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1195</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47">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1196</v>
      </c>
      <c r="B58" s="1473">
        <f t="shared" si="84"/>
        <v>124.29032258064517</v>
      </c>
      <c r="C58" s="1473">
        <f t="shared" si="84"/>
        <v>123.8968609865471</v>
      </c>
      <c r="D58" s="1473">
        <f t="shared" si="54"/>
        <v>123.8968609865471</v>
      </c>
      <c r="E58" s="1473">
        <f t="shared" si="85"/>
        <v>138.00507614213197</v>
      </c>
      <c r="F58" s="1473">
        <f t="shared" si="85"/>
        <v>107.96106557377048</v>
      </c>
      <c r="G58" s="3347">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1197</v>
      </c>
      <c r="B59" s="1473">
        <f t="shared" si="84"/>
        <v>122.57204301075269</v>
      </c>
      <c r="C59" s="1473">
        <f t="shared" si="84"/>
        <v>123.4932735426009</v>
      </c>
      <c r="D59" s="1473">
        <f t="shared" si="54"/>
        <v>123.4932735426009</v>
      </c>
      <c r="E59" s="1473">
        <f t="shared" si="85"/>
        <v>129.82233502538071</v>
      </c>
      <c r="F59" s="1473">
        <f t="shared" si="85"/>
        <v>107.39446721311475</v>
      </c>
      <c r="G59" s="3348">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1198</v>
      </c>
      <c r="B60" s="1507">
        <v>121</v>
      </c>
      <c r="C60" s="1507">
        <v>122</v>
      </c>
      <c r="D60" s="1507">
        <f t="shared" si="54"/>
        <v>122</v>
      </c>
      <c r="E60" s="1507">
        <v>124</v>
      </c>
      <c r="F60" s="1508">
        <v>107</v>
      </c>
      <c r="G60" s="3346">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1199</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47">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1200</v>
      </c>
      <c r="B62" s="1473">
        <f t="shared" si="88"/>
        <v>116.99099099099099</v>
      </c>
      <c r="C62" s="1473">
        <f t="shared" si="88"/>
        <v>118.84848484848486</v>
      </c>
      <c r="D62" s="1473">
        <f t="shared" si="54"/>
        <v>118.84848484848486</v>
      </c>
      <c r="E62" s="1473">
        <f t="shared" si="89"/>
        <v>117.60960960960961</v>
      </c>
      <c r="F62" s="1473">
        <f t="shared" si="89"/>
        <v>104</v>
      </c>
      <c r="G62" s="3347">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1201</v>
      </c>
      <c r="B63" s="1510">
        <f t="shared" si="88"/>
        <v>112.48648648648648</v>
      </c>
      <c r="C63" s="1510">
        <f t="shared" si="88"/>
        <v>115.21212121212122</v>
      </c>
      <c r="D63" s="1510">
        <f t="shared" si="54"/>
        <v>115.21212121212122</v>
      </c>
      <c r="E63" s="1510">
        <f t="shared" si="89"/>
        <v>110.4024024024024</v>
      </c>
      <c r="F63" s="1510">
        <f t="shared" si="89"/>
        <v>104</v>
      </c>
      <c r="G63" s="3348">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1202</v>
      </c>
      <c r="B64" s="1528">
        <v>111</v>
      </c>
      <c r="C64" s="1528">
        <v>114</v>
      </c>
      <c r="D64" s="1528">
        <f t="shared" si="54"/>
        <v>114</v>
      </c>
      <c r="E64" s="1528">
        <v>108</v>
      </c>
      <c r="F64" s="1529">
        <v>104</v>
      </c>
      <c r="G64" s="3346">
        <v>2003</v>
      </c>
      <c r="H64" s="1518">
        <v>4</v>
      </c>
      <c r="I64" s="1530"/>
      <c r="J64" s="1530"/>
      <c r="K64" s="1530"/>
      <c r="L64" s="1530"/>
      <c r="N64" s="1531"/>
      <c r="O64" s="1530"/>
      <c r="P64" s="1530"/>
      <c r="Q64" s="1530"/>
      <c r="S64" s="1531"/>
      <c r="T64" s="1530"/>
      <c r="U64" s="1530"/>
      <c r="V64" s="1530"/>
      <c r="X64" s="1522"/>
      <c r="Y64" s="1522"/>
      <c r="Z64" s="1522"/>
    </row>
    <row r="65" spans="1:26">
      <c r="A65" s="1457" t="s">
        <v>1203</v>
      </c>
      <c r="B65" s="1532">
        <f t="shared" ref="B65:C67" si="90">B66+(B$64-B$68)/4</f>
        <v>109.75</v>
      </c>
      <c r="C65" s="1532">
        <f t="shared" si="90"/>
        <v>112.25</v>
      </c>
      <c r="D65" s="1532">
        <f t="shared" si="54"/>
        <v>112.25</v>
      </c>
      <c r="E65" s="1532">
        <f t="shared" ref="E65:F67" si="91">E66+(E$64-E$68)/4</f>
        <v>107.25</v>
      </c>
      <c r="F65" s="1532">
        <f t="shared" si="91"/>
        <v>103.5</v>
      </c>
      <c r="G65" s="3347">
        <v>2003</v>
      </c>
      <c r="H65" s="1483">
        <v>3</v>
      </c>
      <c r="I65" s="1530"/>
      <c r="J65" s="1530"/>
      <c r="K65" s="1530"/>
      <c r="L65" s="1530"/>
      <c r="X65" s="1522"/>
      <c r="Y65" s="1522"/>
      <c r="Z65" s="1522"/>
    </row>
    <row r="66" spans="1:26">
      <c r="A66" s="1457" t="s">
        <v>1204</v>
      </c>
      <c r="B66" s="1532">
        <f t="shared" si="90"/>
        <v>108.5</v>
      </c>
      <c r="C66" s="1532">
        <f t="shared" si="90"/>
        <v>110.5</v>
      </c>
      <c r="D66" s="1532">
        <f t="shared" si="54"/>
        <v>110.5</v>
      </c>
      <c r="E66" s="1532">
        <f t="shared" si="91"/>
        <v>106.5</v>
      </c>
      <c r="F66" s="1532">
        <f t="shared" si="91"/>
        <v>103</v>
      </c>
      <c r="G66" s="3347">
        <v>2003</v>
      </c>
      <c r="H66" s="1461">
        <v>2</v>
      </c>
      <c r="I66" s="1530"/>
      <c r="J66" s="1530"/>
      <c r="K66" s="1530"/>
      <c r="L66" s="1530"/>
      <c r="X66" s="1522"/>
      <c r="Y66" s="1522"/>
      <c r="Z66" s="1522"/>
    </row>
    <row r="67" spans="1:26" ht="13.5" thickBot="1">
      <c r="A67" s="1457" t="s">
        <v>1205</v>
      </c>
      <c r="B67" s="1532">
        <f t="shared" si="90"/>
        <v>107.25</v>
      </c>
      <c r="C67" s="1532">
        <f t="shared" si="90"/>
        <v>108.75</v>
      </c>
      <c r="D67" s="1532">
        <f t="shared" si="54"/>
        <v>108.75</v>
      </c>
      <c r="E67" s="1532">
        <f t="shared" si="91"/>
        <v>105.75</v>
      </c>
      <c r="F67" s="1532">
        <f t="shared" si="91"/>
        <v>102.5</v>
      </c>
      <c r="G67" s="3348">
        <v>2003</v>
      </c>
      <c r="H67" s="1533">
        <v>1</v>
      </c>
      <c r="I67" s="1530"/>
      <c r="J67" s="1530"/>
      <c r="K67" s="1530"/>
      <c r="L67" s="1530"/>
      <c r="S67" s="1468"/>
      <c r="T67" s="1469"/>
      <c r="U67" s="1469"/>
      <c r="X67" s="1522"/>
      <c r="Y67" s="1522"/>
      <c r="Z67" s="1522"/>
    </row>
    <row r="68" spans="1:26" ht="13.5" thickBot="1">
      <c r="A68" s="1457" t="s">
        <v>1206</v>
      </c>
      <c r="B68" s="1534">
        <v>106</v>
      </c>
      <c r="C68" s="1534">
        <v>107</v>
      </c>
      <c r="D68" s="1534">
        <f t="shared" si="54"/>
        <v>107</v>
      </c>
      <c r="E68" s="1534">
        <v>105</v>
      </c>
      <c r="F68" s="1535">
        <v>102</v>
      </c>
      <c r="G68" s="3346">
        <v>2002</v>
      </c>
      <c r="H68" s="1478">
        <v>4</v>
      </c>
      <c r="I68" s="1530"/>
      <c r="J68" s="1530"/>
      <c r="K68" s="1530"/>
      <c r="L68" s="1530"/>
      <c r="N68" s="1531"/>
      <c r="O68" s="1530"/>
      <c r="P68" s="1530"/>
      <c r="Q68" s="1530"/>
      <c r="S68" s="1531"/>
      <c r="T68" s="1530"/>
      <c r="U68" s="1530"/>
      <c r="V68" s="1530"/>
      <c r="X68" s="1522"/>
      <c r="Y68" s="1522"/>
      <c r="Z68" s="1522"/>
    </row>
    <row r="69" spans="1:26">
      <c r="A69" s="1457" t="s">
        <v>1207</v>
      </c>
      <c r="B69" s="1532">
        <f t="shared" ref="B69:C71" si="92">B70+(B$68-B$72)/4</f>
        <v>105</v>
      </c>
      <c r="C69" s="1532">
        <f t="shared" si="92"/>
        <v>106</v>
      </c>
      <c r="D69" s="1532">
        <f t="shared" si="54"/>
        <v>106</v>
      </c>
      <c r="E69" s="1532">
        <f t="shared" ref="E69:F71" si="93">E70+(E$68-E$72)/4</f>
        <v>104.5</v>
      </c>
      <c r="F69" s="1532">
        <f t="shared" si="93"/>
        <v>101.5</v>
      </c>
      <c r="G69" s="3347">
        <v>2002</v>
      </c>
      <c r="H69" s="1483">
        <v>3</v>
      </c>
      <c r="I69" s="1530"/>
      <c r="J69" s="1530"/>
      <c r="K69" s="1530"/>
      <c r="L69" s="1530"/>
      <c r="X69" s="1522"/>
      <c r="Y69" s="1522"/>
      <c r="Z69" s="1522"/>
    </row>
    <row r="70" spans="1:26">
      <c r="A70" s="1457" t="s">
        <v>1208</v>
      </c>
      <c r="B70" s="1532">
        <f t="shared" si="92"/>
        <v>104</v>
      </c>
      <c r="C70" s="1532">
        <f t="shared" si="92"/>
        <v>105</v>
      </c>
      <c r="D70" s="1532">
        <f t="shared" si="54"/>
        <v>105</v>
      </c>
      <c r="E70" s="1532">
        <f t="shared" si="93"/>
        <v>104</v>
      </c>
      <c r="F70" s="1532">
        <f t="shared" si="93"/>
        <v>101</v>
      </c>
      <c r="G70" s="3347">
        <v>2002</v>
      </c>
      <c r="H70" s="1461">
        <v>2</v>
      </c>
      <c r="I70" s="1530"/>
      <c r="J70" s="1530"/>
      <c r="K70" s="1530"/>
      <c r="L70" s="1530"/>
      <c r="X70" s="1522"/>
      <c r="Y70" s="1522"/>
      <c r="Z70" s="1522"/>
    </row>
    <row r="71" spans="1:26" s="1494" customFormat="1" ht="13.5" thickBot="1">
      <c r="A71" s="1490" t="s">
        <v>1209</v>
      </c>
      <c r="B71" s="1536">
        <f t="shared" si="92"/>
        <v>103</v>
      </c>
      <c r="C71" s="1536">
        <f t="shared" si="92"/>
        <v>104</v>
      </c>
      <c r="D71" s="1536">
        <f t="shared" si="54"/>
        <v>104</v>
      </c>
      <c r="E71" s="1536">
        <f t="shared" si="93"/>
        <v>103.5</v>
      </c>
      <c r="F71" s="1536">
        <f t="shared" si="93"/>
        <v>100.5</v>
      </c>
      <c r="G71" s="3348">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1210</v>
      </c>
      <c r="G74" s="1546"/>
      <c r="N74" s="1546"/>
      <c r="S74" s="1546"/>
    </row>
    <row r="75" spans="1:26" s="1545" customFormat="1">
      <c r="A75" s="1545" t="s">
        <v>1211</v>
      </c>
      <c r="G75" s="1546"/>
      <c r="N75" s="1546"/>
      <c r="S75" s="1546"/>
    </row>
    <row r="76" spans="1:26" s="1545" customFormat="1">
      <c r="A76" s="1545" t="s">
        <v>1212</v>
      </c>
      <c r="G76" s="1546"/>
      <c r="I76" s="1547"/>
      <c r="J76" s="1547"/>
      <c r="K76" s="1547"/>
      <c r="L76" s="1547"/>
      <c r="N76" s="1548"/>
      <c r="O76" s="1547"/>
      <c r="P76" s="1547"/>
      <c r="Q76" s="1547"/>
      <c r="S76" s="1548"/>
      <c r="T76" s="1547"/>
      <c r="U76" s="1547"/>
      <c r="V76" s="1547"/>
    </row>
    <row r="77" spans="1:26" s="1545" customFormat="1">
      <c r="A77" s="1545" t="s">
        <v>1213</v>
      </c>
      <c r="G77" s="1546"/>
      <c r="N77" s="1546"/>
      <c r="S77" s="1546"/>
    </row>
    <row r="84" spans="7:22" ht="13.5" thickBot="1"/>
    <row r="85" spans="7:22">
      <c r="G85" s="1467"/>
      <c r="S85" s="1549" t="s">
        <v>1214</v>
      </c>
      <c r="T85" s="1550" t="s">
        <v>1215</v>
      </c>
      <c r="U85" s="1550" t="s">
        <v>1216</v>
      </c>
      <c r="V85" s="1550" t="s">
        <v>1217</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55" t="s">
        <v>2988</v>
      </c>
      <c r="D1" s="3356"/>
      <c r="E1" s="3356"/>
      <c r="F1" s="3356"/>
      <c r="G1" s="3356"/>
      <c r="H1" s="3356"/>
      <c r="I1" s="3356"/>
      <c r="J1" s="3356"/>
      <c r="K1" s="3356"/>
      <c r="L1" s="3356"/>
      <c r="M1" s="3356"/>
      <c r="N1" s="3356"/>
      <c r="O1" s="3356"/>
      <c r="P1" s="3356"/>
      <c r="Q1" s="3356"/>
      <c r="R1" s="3356"/>
      <c r="S1" s="3357"/>
      <c r="T1" s="1202" t="s">
        <v>2989</v>
      </c>
    </row>
    <row r="2" spans="1:45" s="706" customFormat="1">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3"/>
      <c r="G4" s="1703"/>
      <c r="H4" s="1703"/>
      <c r="I4" s="1703"/>
      <c r="J4" s="1703"/>
      <c r="K4" s="1703"/>
      <c r="L4" s="1703"/>
      <c r="M4" s="1704"/>
      <c r="N4" s="1704"/>
      <c r="O4" s="1703"/>
      <c r="P4" s="1703"/>
      <c r="Q4" s="1703"/>
      <c r="R4" s="1703"/>
      <c r="S4" s="1705"/>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4" t="s">
        <v>2991</v>
      </c>
      <c r="C5" s="1214"/>
      <c r="D5" s="1215"/>
      <c r="E5" s="1215"/>
      <c r="F5" s="1706"/>
      <c r="G5" s="1706"/>
      <c r="H5" s="1706"/>
      <c r="I5" s="1706"/>
      <c r="J5" s="1706"/>
      <c r="K5" s="1706"/>
      <c r="L5" s="1707"/>
      <c r="M5" s="1708"/>
      <c r="N5" s="1708"/>
      <c r="O5" s="1706"/>
      <c r="P5" s="1706"/>
      <c r="Q5" s="1706"/>
      <c r="R5" s="1706"/>
      <c r="S5" s="1709"/>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5" t="s">
        <v>2992</v>
      </c>
      <c r="C7" s="1119"/>
      <c r="D7" s="1113"/>
      <c r="E7" s="1113"/>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5" t="s">
        <v>2993</v>
      </c>
      <c r="C9" s="1119"/>
      <c r="D9" s="1113"/>
      <c r="E9" s="1113"/>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4"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4"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4"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2997</v>
      </c>
      <c r="B17" s="2908"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2999</v>
      </c>
      <c r="E19" s="1787"/>
      <c r="F19" s="1787"/>
      <c r="G19" s="1787"/>
      <c r="H19" s="1278"/>
      <c r="I19" s="167"/>
      <c r="J19" s="167"/>
      <c r="K19" s="167"/>
      <c r="L19" s="167"/>
      <c r="M19" s="167"/>
      <c r="N19" s="167"/>
      <c r="O19" s="167"/>
      <c r="P19" s="167"/>
      <c r="Q19" s="167"/>
      <c r="R19" s="787"/>
      <c r="S19" s="137"/>
    </row>
    <row r="20" spans="1:45" ht="16.5" thickBot="1">
      <c r="A20" s="714" t="s">
        <v>3000</v>
      </c>
      <c r="B20" s="337" t="e">
        <f ca="1">IF(D20="——",S22,S22-F20)</f>
        <v>#REF!</v>
      </c>
      <c r="C20" s="167"/>
      <c r="D20" s="2910" t="s">
        <v>3001</v>
      </c>
      <c r="E20" s="1788"/>
      <c r="F20" s="1202" t="e">
        <f ca="1">SUMIF(INDIRECT("'"&amp;H20&amp;"'"&amp;"!A:A"),"承租人权益价值",INDIRECT("'"&amp;H20&amp;"'"&amp;"!c:c"))</f>
        <v>#REF!</v>
      </c>
      <c r="G20" s="1202" t="s">
        <v>3002</v>
      </c>
      <c r="H20" s="2911"/>
      <c r="I20" s="167"/>
      <c r="J20" s="167"/>
      <c r="K20" s="167"/>
      <c r="L20" s="167"/>
      <c r="M20" s="167"/>
      <c r="N20" s="167"/>
      <c r="O20" s="167"/>
      <c r="P20" s="167"/>
      <c r="Q20" s="167"/>
      <c r="R20" s="787"/>
      <c r="S20" s="137"/>
    </row>
    <row r="21" spans="1:45" ht="15.75">
      <c r="A21" s="714" t="s">
        <v>3003</v>
      </c>
      <c r="B21" s="337">
        <f>R22</f>
        <v>10000</v>
      </c>
      <c r="C21" s="167"/>
      <c r="D21" s="167"/>
      <c r="E21" s="167"/>
      <c r="F21" s="167"/>
      <c r="G21" s="167"/>
      <c r="H21" s="167"/>
      <c r="I21" s="167"/>
      <c r="J21" s="167"/>
      <c r="K21" s="167"/>
      <c r="L21" s="167"/>
      <c r="M21" s="167"/>
      <c r="N21" s="167"/>
      <c r="O21" s="167"/>
      <c r="P21" s="167"/>
      <c r="Q21" s="167"/>
      <c r="R21" s="787"/>
      <c r="S21" s="137"/>
    </row>
    <row r="22" spans="1:45">
      <c r="A22" s="360" t="s">
        <v>3004</v>
      </c>
      <c r="B22" s="24">
        <f>SUM(B24:B10000)</f>
        <v>100</v>
      </c>
      <c r="C22" s="3137" t="s">
        <v>33</v>
      </c>
      <c r="D22" s="3138"/>
      <c r="E22" s="3138"/>
      <c r="F22" s="3138"/>
      <c r="G22" s="3138"/>
      <c r="H22" s="3138"/>
      <c r="I22" s="3138"/>
      <c r="J22" s="3138"/>
      <c r="K22" s="3138"/>
      <c r="L22" s="3138"/>
      <c r="M22" s="3138"/>
      <c r="N22" s="3138"/>
      <c r="O22" s="3138"/>
      <c r="P22" s="3138"/>
      <c r="Q22" s="3354"/>
      <c r="R22" s="715">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C52</f>
        <v>48301</v>
      </c>
      <c r="C2" s="2" t="s">
        <v>133</v>
      </c>
      <c r="D2" s="242"/>
      <c r="E2" s="242"/>
      <c r="F2" s="242"/>
      <c r="G2" s="242"/>
    </row>
    <row r="3" spans="1:7" s="243" customFormat="1" ht="18" customHeight="1" thickBot="1">
      <c r="A3" s="246" t="s">
        <v>85</v>
      </c>
      <c r="B3" s="247">
        <f>ROUND(B2*10000/'数据-汇总表'!E3,0)</f>
        <v>17711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ROUND(SUM(C23:C25),0)</f>
        <v>1894</v>
      </c>
      <c r="D22" s="278">
        <f>C26</f>
        <v>8.9999999999999998E-4</v>
      </c>
      <c r="E22" s="279" t="s">
        <v>126</v>
      </c>
      <c r="F22" s="280">
        <f>'数据-取费表'!B40</f>
        <v>4.3499999999999997E-2</v>
      </c>
      <c r="G22" s="1287" t="str">
        <f>IF('数据-取费表'!B22&lt;=1,"单利计息","复利计息")</f>
        <v>复利计息</v>
      </c>
    </row>
    <row r="23" spans="1:7" s="257" customFormat="1" ht="13.5" customHeight="1">
      <c r="A23" s="950" t="s">
        <v>794</v>
      </c>
      <c r="B23" s="258" t="s">
        <v>1061</v>
      </c>
      <c r="C23" s="1352">
        <f>ROUND(IF('数据-取费表'!B22&lt;=1,C5*F22*'数据-取费表'!B23,C5*(POWER((1+F22),'数据-取费表'!B23)-1)),0)</f>
        <v>1832</v>
      </c>
      <c r="D23" s="281"/>
      <c r="E23" s="281"/>
      <c r="F23" s="282"/>
      <c r="G23" s="283" t="s">
        <v>108</v>
      </c>
    </row>
    <row r="24" spans="1:7" s="257" customFormat="1" ht="13.5" customHeight="1">
      <c r="A24" s="950" t="s">
        <v>792</v>
      </c>
      <c r="B24" s="258" t="s">
        <v>1056</v>
      </c>
      <c r="C24" s="1352">
        <f>ROUND(IF('数据-取费表'!B22&lt;=1,C19*F22*('数据-取费表'!B19/2+'数据-取费表'!B21),C19*(POWER((1+F22),('数据-取费表'!B19/2+'数据-取费表'!B21))-1)),0)</f>
        <v>44</v>
      </c>
      <c r="D24" s="281"/>
      <c r="E24" s="281"/>
      <c r="F24" s="282"/>
      <c r="G24" s="283" t="s">
        <v>109</v>
      </c>
    </row>
    <row r="25" spans="1:7" s="257" customFormat="1" ht="24">
      <c r="A25" s="950" t="s">
        <v>793</v>
      </c>
      <c r="B25" s="258" t="s">
        <v>1058</v>
      </c>
      <c r="C25" s="1352">
        <f>ROUND(IF('数据-取费表'!B22&lt;=1,C20*F22*'数据-取费表'!B23/2,C20*(POWER((1+F22),'数据-取费表'!B23/2)-1)),0)</f>
        <v>18</v>
      </c>
      <c r="D25" s="281"/>
      <c r="E25" s="284"/>
      <c r="F25" s="282"/>
      <c r="G25" s="285" t="s">
        <v>110</v>
      </c>
    </row>
    <row r="26" spans="1:7" s="257" customFormat="1">
      <c r="A26" s="950" t="s">
        <v>795</v>
      </c>
      <c r="B26" s="258" t="s">
        <v>1060</v>
      </c>
      <c r="C26" s="281">
        <f>ROUND(IF('数据-取费表'!B22&lt;=1,F21*F22*'数据-取费表'!B23/2,F21*(POWER((1+F22),'数据-取费表'!B23/2)-1)),4)</f>
        <v>8.9999999999999998E-4</v>
      </c>
      <c r="D26" s="281"/>
      <c r="E26" s="284"/>
      <c r="F26" s="282"/>
      <c r="G26" s="286"/>
    </row>
    <row r="27" spans="1:7" s="257" customFormat="1" ht="24.75">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ROUND((C5+C19+C20+C22+C27)/(1-C21-D22-D27-C30/(1+'数据-取费表'!B42)),0)</f>
        <v>31276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ROUND(SUM(C42:C43),0)</f>
        <v>732</v>
      </c>
      <c r="D41" s="278">
        <f>C44</f>
        <v>8.9999999999999998E-4</v>
      </c>
      <c r="E41" s="279" t="s">
        <v>129</v>
      </c>
      <c r="F41" s="280"/>
      <c r="G41" s="1287" t="str">
        <f>IF('数据-取费表'!B22&lt;=1,"单利计息","复利计息")</f>
        <v>复利计息</v>
      </c>
    </row>
    <row r="42" spans="1:7" ht="13.5" customHeight="1">
      <c r="A42" s="950" t="s">
        <v>794</v>
      </c>
      <c r="B42" s="258" t="s">
        <v>1061</v>
      </c>
      <c r="C42" s="281">
        <f>ROUND(IF('数据-取费表'!B22&lt;=1,C33*F22*'数据-取费表'!B21/2,C33*(POWER((1+F22),'数据-取费表'!B21/2)-1)),0)</f>
        <v>718</v>
      </c>
      <c r="D42" s="281"/>
      <c r="E42" s="281"/>
      <c r="F42" s="282"/>
      <c r="G42" s="3264" t="s">
        <v>121</v>
      </c>
    </row>
    <row r="43" spans="1:7" ht="13.5" customHeight="1">
      <c r="A43" s="950" t="s">
        <v>792</v>
      </c>
      <c r="B43" s="258" t="s">
        <v>1064</v>
      </c>
      <c r="C43" s="281">
        <f>ROUND(IF('数据-取费表'!B22&lt;=1,C39*F22*'数据-取费表'!B21/2,C39*(POWER((1+F22),'数据-取费表'!B21/2)-1)),0)</f>
        <v>14</v>
      </c>
      <c r="D43" s="281"/>
      <c r="E43" s="281"/>
      <c r="F43" s="282"/>
      <c r="G43" s="3265"/>
    </row>
    <row r="44" spans="1:7" ht="13.5" customHeight="1">
      <c r="A44" s="950" t="s">
        <v>793</v>
      </c>
      <c r="B44" s="258" t="s">
        <v>1066</v>
      </c>
      <c r="C44" s="281">
        <f>ROUND(IF('数据-取费表'!B22&lt;=1,C40*F22*'数据-取费表'!B21/2,C40*(POWER((1+F22),'数据-取费表'!B21/2)-1)),4)</f>
        <v>8.9999999999999998E-4</v>
      </c>
      <c r="D44" s="281"/>
      <c r="E44" s="281"/>
      <c r="F44" s="282"/>
      <c r="G44" s="3266"/>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ROUND((C33+C39+C41+C45)/(1-C40-D41-D45-C48/(1+'数据-取费表'!B42)),0)</f>
        <v>23646</v>
      </c>
      <c r="D49" s="275"/>
      <c r="E49" s="275"/>
      <c r="F49" s="307"/>
      <c r="G49" s="277" t="s">
        <v>1073</v>
      </c>
    </row>
    <row r="50" spans="1:7" s="301" customFormat="1" ht="24">
      <c r="A50" s="947" t="s">
        <v>789</v>
      </c>
      <c r="B50" s="253" t="s">
        <v>124</v>
      </c>
      <c r="C50" s="275"/>
      <c r="D50" s="275"/>
      <c r="E50" s="275"/>
      <c r="F50" s="307">
        <f>IF('数据-取费表'!B24=0,'数据-取费表'!N16,1)</f>
        <v>0.72</v>
      </c>
      <c r="G50" s="290" t="s">
        <v>125</v>
      </c>
    </row>
    <row r="51" spans="1:7" ht="16.5" customHeight="1">
      <c r="A51" s="947" t="s">
        <v>790</v>
      </c>
      <c r="B51" s="253" t="s">
        <v>132</v>
      </c>
      <c r="C51" s="275">
        <f>ROUND(C49*F50,0)</f>
        <v>17025</v>
      </c>
      <c r="D51" s="275"/>
      <c r="E51" s="275"/>
      <c r="F51" s="307"/>
      <c r="G51" s="277" t="s">
        <v>64</v>
      </c>
    </row>
    <row r="52" spans="1:7" s="251" customFormat="1" ht="16.5" thickBot="1">
      <c r="A52" s="308" t="s">
        <v>65</v>
      </c>
      <c r="B52" s="309"/>
      <c r="C52" s="310">
        <f>C31+C51</f>
        <v>48301</v>
      </c>
      <c r="D52" s="309"/>
      <c r="E52" s="309"/>
      <c r="F52" s="309"/>
      <c r="G52" s="311"/>
    </row>
    <row r="55" spans="1:7" ht="15">
      <c r="B55" s="313" t="s">
        <v>66</v>
      </c>
      <c r="C55" s="314"/>
    </row>
    <row r="56" spans="1:7">
      <c r="B56" s="316" t="s">
        <v>67</v>
      </c>
      <c r="C56" s="317">
        <f>ROUND(C51/C52,3)</f>
        <v>0.35199999999999998</v>
      </c>
    </row>
    <row r="57" spans="1:7">
      <c r="B57" s="316" t="s">
        <v>68</v>
      </c>
      <c r="C57" s="318">
        <f>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8" t="s">
        <v>156</v>
      </c>
      <c r="B1" s="3358"/>
      <c r="C1" s="3358"/>
      <c r="D1" s="3358"/>
      <c r="E1" s="3358"/>
      <c r="F1" s="335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9" t="s">
        <v>169</v>
      </c>
      <c r="B2" s="3359"/>
      <c r="C2" s="3359"/>
      <c r="D2" s="3359"/>
      <c r="E2" s="3359"/>
      <c r="F2" s="335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6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6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8" t="s">
        <v>871</v>
      </c>
      <c r="B1" s="3358"/>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44312</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1640</v>
      </c>
      <c r="B2" s="3027" t="s">
        <v>1641</v>
      </c>
      <c r="C2" s="3027" t="s">
        <v>1642</v>
      </c>
      <c r="D2" s="3027" t="str">
        <f>结果表!D116</f>
        <v>出让国有建设用地使用权价值</v>
      </c>
      <c r="E2" s="3027"/>
      <c r="F2" s="3027" t="str">
        <f>结果表!F116</f>
        <v>建筑物价值</v>
      </c>
      <c r="G2" s="3027"/>
      <c r="H2" s="3027" t="str">
        <f>IF(项目基本情况!B9="房地产市场价值","房地产市场价值","房地产价值")</f>
        <v>房地产价值</v>
      </c>
      <c r="I2" s="3027"/>
    </row>
    <row r="3" spans="1:9" ht="15">
      <c r="A3" s="3028"/>
      <c r="B3" s="3028"/>
      <c r="C3" s="3028"/>
      <c r="D3" s="1042" t="s">
        <v>1637</v>
      </c>
      <c r="E3" s="1042" t="s">
        <v>1643</v>
      </c>
      <c r="F3" s="1042" t="s">
        <v>1637</v>
      </c>
      <c r="G3" s="1042" t="s">
        <v>1638</v>
      </c>
      <c r="H3" s="1042" t="s">
        <v>1637</v>
      </c>
      <c r="I3" s="1042" t="s">
        <v>1638</v>
      </c>
    </row>
    <row r="4" spans="1:9" ht="45">
      <c r="A4" s="1968" t="str">
        <f>项目基本情况!S2</f>
        <v>重庆市南岸区江南大道69号（南坪街道南坪南路318号）房地产房地产</v>
      </c>
      <c r="B4" s="1042">
        <f>项目基本情况!C17</f>
        <v>27271.82</v>
      </c>
      <c r="C4" s="1042">
        <f>项目基本情况!C18</f>
        <v>5686.65</v>
      </c>
      <c r="D4" s="1042">
        <f ca="1">结果表!D118</f>
        <v>15052</v>
      </c>
      <c r="E4" s="1042">
        <f ca="1">结果表!E118</f>
        <v>5519</v>
      </c>
      <c r="F4" s="1042">
        <f ca="1">结果表!F118</f>
        <v>17024</v>
      </c>
      <c r="G4" s="1042">
        <f ca="1">结果表!G118</f>
        <v>6242</v>
      </c>
      <c r="H4" s="1042">
        <f ca="1">结果表!H118</f>
        <v>32076</v>
      </c>
      <c r="I4" s="1042">
        <f ca="1">结果表!I118</f>
        <v>11762</v>
      </c>
    </row>
    <row r="5" spans="1:9" ht="30" customHeight="1">
      <c r="A5" s="3028" t="s">
        <v>1639</v>
      </c>
      <c r="B5" s="3028"/>
      <c r="C5" s="3028"/>
      <c r="D5" s="3029" t="str">
        <f ca="1">结果表!D119</f>
        <v>壹亿伍仟零伍拾贰万元整</v>
      </c>
      <c r="E5" s="3029"/>
      <c r="F5" s="3029" t="str">
        <f ca="1">结果表!F119</f>
        <v>壹亿柒仟零贰拾肆万元整</v>
      </c>
      <c r="G5" s="3029"/>
      <c r="H5" s="3029" t="str">
        <f ca="1">结果表!H119</f>
        <v>叁亿贰仟零柒拾陆万元整</v>
      </c>
      <c r="I5" s="3029"/>
    </row>
    <row r="6" spans="1:9" ht="15.75">
      <c r="A6" s="3030" t="str">
        <f>结果表!A120</f>
        <v>估价师知悉的法定优先受偿款</v>
      </c>
      <c r="B6" s="3030"/>
      <c r="C6" s="3030"/>
      <c r="D6" s="3030">
        <f>结果表!D120</f>
        <v>0</v>
      </c>
      <c r="E6" s="3030"/>
      <c r="F6" s="3030"/>
      <c r="G6" s="3030"/>
      <c r="H6" s="3030"/>
      <c r="I6" s="3030"/>
    </row>
    <row r="7" spans="1:9" ht="15">
      <c r="A7" s="3028" t="s">
        <v>1639</v>
      </c>
      <c r="B7" s="3028"/>
      <c r="C7" s="3028"/>
      <c r="D7" s="3031" t="str">
        <f>结果表!D121</f>
        <v>零元整</v>
      </c>
      <c r="E7" s="3032"/>
      <c r="F7" s="3032"/>
      <c r="G7" s="3032"/>
      <c r="H7" s="3032"/>
      <c r="I7" s="3033"/>
    </row>
    <row r="8" spans="1:9" ht="15.75">
      <c r="A8" s="3030" t="str">
        <f>结果表!A122</f>
        <v/>
      </c>
      <c r="B8" s="3030"/>
      <c r="C8" s="3030"/>
      <c r="D8" s="3030" t="str">
        <f>结果表!D122</f>
        <v>——</v>
      </c>
      <c r="E8" s="3030"/>
      <c r="F8" s="3030"/>
      <c r="G8" s="3030"/>
      <c r="H8" s="3030"/>
      <c r="I8" s="3030"/>
    </row>
    <row r="9" spans="1:9" ht="15">
      <c r="A9" s="3028" t="s">
        <v>1639</v>
      </c>
      <c r="B9" s="3028"/>
      <c r="C9" s="3028"/>
      <c r="D9" s="3029" t="e">
        <f>结果表!D123</f>
        <v>#VALUE!</v>
      </c>
      <c r="E9" s="3029"/>
      <c r="F9" s="3029"/>
      <c r="G9" s="3029"/>
      <c r="H9" s="3029"/>
      <c r="I9" s="3029"/>
    </row>
    <row r="10" spans="1:9" ht="15.75">
      <c r="A10" s="3030" t="str">
        <f>结果表!A124</f>
        <v>抵押担保权已注销时的房地产抵押价值</v>
      </c>
      <c r="B10" s="3030"/>
      <c r="C10" s="3030"/>
      <c r="D10" s="3030">
        <f ca="1">结果表!D124</f>
        <v>32076</v>
      </c>
      <c r="E10" s="3030"/>
      <c r="F10" s="3030"/>
      <c r="G10" s="3030"/>
      <c r="H10" s="3030"/>
      <c r="I10" s="3030"/>
    </row>
    <row r="11" spans="1:9" ht="15">
      <c r="A11" s="3028" t="s">
        <v>1639</v>
      </c>
      <c r="B11" s="3028"/>
      <c r="C11" s="3028"/>
      <c r="D11" s="3029" t="str">
        <f ca="1">结果表!D125</f>
        <v>叁亿贰仟零柒拾陆万元整</v>
      </c>
      <c r="E11" s="3029"/>
      <c r="F11" s="3029"/>
      <c r="G11" s="3029"/>
      <c r="H11" s="3029"/>
      <c r="I11" s="3029"/>
    </row>
    <row r="12" spans="1:9" ht="15.75">
      <c r="A12" s="3030" t="str">
        <f>结果表!A126</f>
        <v>抵押净值</v>
      </c>
      <c r="B12" s="3030"/>
      <c r="C12" s="3030"/>
      <c r="D12" s="3030">
        <f ca="1">结果表!D126</f>
        <v>25589</v>
      </c>
      <c r="E12" s="3030"/>
      <c r="F12" s="3030"/>
      <c r="G12" s="3030"/>
      <c r="H12" s="3030"/>
      <c r="I12" s="3030"/>
    </row>
    <row r="13" spans="1:9" ht="15.75" thickBot="1">
      <c r="A13" s="3034" t="s">
        <v>1639</v>
      </c>
      <c r="B13" s="3034"/>
      <c r="C13" s="3034"/>
      <c r="D13" s="3035" t="str">
        <f ca="1">结果表!D127</f>
        <v>贰亿伍仟伍佰捌拾玖万元整</v>
      </c>
      <c r="E13" s="3035"/>
      <c r="F13" s="3035"/>
      <c r="G13" s="3035"/>
      <c r="H13" s="3035"/>
      <c r="I13" s="3035"/>
    </row>
    <row r="14" spans="1:9" ht="15" thickTop="1">
      <c r="A14" s="3036" t="s">
        <v>1644</v>
      </c>
      <c r="B14" s="3036"/>
      <c r="C14" s="3036"/>
      <c r="D14" s="3036"/>
      <c r="E14" s="3036"/>
      <c r="F14" s="3036"/>
      <c r="G14" s="3036"/>
      <c r="H14" s="3036"/>
      <c r="I14" s="3036"/>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O32" sqref="O32"/>
    </sheetView>
  </sheetViews>
  <sheetFormatPr defaultRowHeight="13.5"/>
  <cols>
    <col min="1" max="1" width="10.5" customWidth="1"/>
    <col min="2" max="2" width="12.875" customWidth="1"/>
    <col min="3" max="3" width="8.75" customWidth="1"/>
  </cols>
  <sheetData>
    <row r="1" spans="1:9" ht="14.25">
      <c r="A1" s="3289" t="s">
        <v>1076</v>
      </c>
      <c r="B1" s="3290"/>
      <c r="C1" s="3291"/>
      <c r="D1" s="3292">
        <f>SUM(I11,I16,I21,I22,I24)</f>
        <v>2544.6</v>
      </c>
      <c r="E1" s="3292"/>
      <c r="F1" s="3292"/>
      <c r="G1" s="3292"/>
      <c r="H1" s="3292"/>
      <c r="I1" s="3293"/>
    </row>
    <row r="2" spans="1:9">
      <c r="A2" s="3279" t="s">
        <v>1077</v>
      </c>
      <c r="B2" s="3273" t="s">
        <v>1078</v>
      </c>
      <c r="C2" s="3273"/>
      <c r="D2" s="2943" t="s">
        <v>1079</v>
      </c>
      <c r="E2" s="2943" t="s">
        <v>1080</v>
      </c>
      <c r="F2" s="2943" t="s">
        <v>1081</v>
      </c>
      <c r="G2" s="2943" t="s">
        <v>1082</v>
      </c>
      <c r="H2" s="2943" t="s">
        <v>1083</v>
      </c>
      <c r="I2" s="1299" t="s">
        <v>1084</v>
      </c>
    </row>
    <row r="3" spans="1:9">
      <c r="A3" s="3279"/>
      <c r="B3" s="3273" t="s">
        <v>1085</v>
      </c>
      <c r="C3" s="3273"/>
      <c r="D3" s="1300">
        <v>0</v>
      </c>
      <c r="E3" s="2943">
        <v>0</v>
      </c>
      <c r="F3" s="1301">
        <v>0</v>
      </c>
      <c r="G3" s="1301">
        <v>0</v>
      </c>
      <c r="H3" s="1302">
        <v>0</v>
      </c>
      <c r="I3" s="1303">
        <f>ROUND(D3*E3*F3*G3*H3/10000,0)</f>
        <v>0</v>
      </c>
    </row>
    <row r="4" spans="1:9">
      <c r="A4" s="3279"/>
      <c r="B4" s="3273" t="s">
        <v>1086</v>
      </c>
      <c r="C4" s="3273"/>
      <c r="D4" s="1300">
        <v>2</v>
      </c>
      <c r="E4" s="2943">
        <v>1980</v>
      </c>
      <c r="F4" s="1301">
        <v>0.44</v>
      </c>
      <c r="G4" s="1301">
        <v>0.35</v>
      </c>
      <c r="H4" s="1302">
        <v>365</v>
      </c>
      <c r="I4" s="1303">
        <f t="shared" ref="I4:I10" si="0">ROUND(D4*E4*F4*G4*H4/10000,0)</f>
        <v>22</v>
      </c>
    </row>
    <row r="5" spans="1:9">
      <c r="A5" s="3279"/>
      <c r="B5" s="3273" t="s">
        <v>1087</v>
      </c>
      <c r="C5" s="3273"/>
      <c r="D5" s="1300">
        <v>10</v>
      </c>
      <c r="E5" s="2943">
        <v>1680</v>
      </c>
      <c r="F5" s="1301">
        <v>0.39</v>
      </c>
      <c r="G5" s="1301">
        <v>0.45</v>
      </c>
      <c r="H5" s="1302">
        <v>365</v>
      </c>
      <c r="I5" s="1303">
        <f t="shared" si="0"/>
        <v>108</v>
      </c>
    </row>
    <row r="6" spans="1:9">
      <c r="A6" s="3279"/>
      <c r="B6" s="3273" t="s">
        <v>1088</v>
      </c>
      <c r="C6" s="3273"/>
      <c r="D6" s="1300">
        <v>107</v>
      </c>
      <c r="E6" s="2943">
        <v>680</v>
      </c>
      <c r="F6" s="1301">
        <v>0.47</v>
      </c>
      <c r="G6" s="1301">
        <v>0.6</v>
      </c>
      <c r="H6" s="1302">
        <v>365</v>
      </c>
      <c r="I6" s="1303">
        <f t="shared" si="0"/>
        <v>749</v>
      </c>
    </row>
    <row r="7" spans="1:9">
      <c r="A7" s="3279"/>
      <c r="B7" s="3273" t="s">
        <v>1089</v>
      </c>
      <c r="C7" s="3273"/>
      <c r="D7" s="1300">
        <v>110</v>
      </c>
      <c r="E7" s="2943">
        <v>880</v>
      </c>
      <c r="F7" s="1301">
        <v>0.41</v>
      </c>
      <c r="G7" s="1301">
        <v>0.5</v>
      </c>
      <c r="H7" s="1302">
        <v>365</v>
      </c>
      <c r="I7" s="1303">
        <f t="shared" si="0"/>
        <v>724</v>
      </c>
    </row>
    <row r="8" spans="1:9">
      <c r="A8" s="3279"/>
      <c r="B8" s="3273" t="s">
        <v>1090</v>
      </c>
      <c r="C8" s="3273"/>
      <c r="D8" s="1300">
        <v>20</v>
      </c>
      <c r="E8" s="2943">
        <v>980</v>
      </c>
      <c r="F8" s="1301">
        <v>0.44</v>
      </c>
      <c r="G8" s="1301">
        <v>0.5</v>
      </c>
      <c r="H8" s="1302">
        <v>365</v>
      </c>
      <c r="I8" s="1303">
        <f t="shared" si="0"/>
        <v>157</v>
      </c>
    </row>
    <row r="9" spans="1:9">
      <c r="A9" s="3279"/>
      <c r="B9" s="3273" t="s">
        <v>1091</v>
      </c>
      <c r="C9" s="3273"/>
      <c r="D9" s="1300">
        <v>1</v>
      </c>
      <c r="E9" s="2943">
        <v>680</v>
      </c>
      <c r="F9" s="1301">
        <v>0.47</v>
      </c>
      <c r="G9" s="1301">
        <v>0.35</v>
      </c>
      <c r="H9" s="1302">
        <v>365</v>
      </c>
      <c r="I9" s="1303">
        <f t="shared" si="0"/>
        <v>4</v>
      </c>
    </row>
    <row r="10" spans="1:9">
      <c r="A10" s="3279"/>
      <c r="B10" s="2943"/>
      <c r="C10" s="2943"/>
      <c r="D10" s="1300">
        <v>1</v>
      </c>
      <c r="E10" s="2943">
        <v>4580</v>
      </c>
      <c r="F10" s="1301">
        <v>0.45</v>
      </c>
      <c r="G10" s="1301">
        <v>0.35</v>
      </c>
      <c r="H10" s="1302">
        <v>365</v>
      </c>
      <c r="I10" s="1303">
        <f t="shared" si="0"/>
        <v>26</v>
      </c>
    </row>
    <row r="11" spans="1:9">
      <c r="A11" s="3279"/>
      <c r="B11" s="3274" t="s">
        <v>1092</v>
      </c>
      <c r="C11" s="3274"/>
      <c r="D11" s="1304"/>
      <c r="E11" s="1304" t="e">
        <f>ROUND(D1*10000/D11/H9,0)</f>
        <v>#DIV/0!</v>
      </c>
      <c r="F11" s="1305"/>
      <c r="G11" s="1305"/>
      <c r="H11" s="1306"/>
      <c r="I11" s="1307">
        <f>SUM(I3:I10)</f>
        <v>1790</v>
      </c>
    </row>
    <row r="12" spans="1:9" ht="14.25">
      <c r="A12" s="3279" t="s">
        <v>1093</v>
      </c>
      <c r="B12" s="3273" t="s">
        <v>1094</v>
      </c>
      <c r="C12" s="3273"/>
      <c r="D12" s="1300" t="s">
        <v>1095</v>
      </c>
      <c r="E12" s="1300" t="s">
        <v>1096</v>
      </c>
      <c r="F12" s="1301" t="s">
        <v>1097</v>
      </c>
      <c r="G12" s="1301" t="s">
        <v>1083</v>
      </c>
      <c r="H12" s="1308" t="s">
        <v>555</v>
      </c>
      <c r="I12" s="1299" t="s">
        <v>1084</v>
      </c>
    </row>
    <row r="13" spans="1:9">
      <c r="A13" s="3279"/>
      <c r="B13" s="3273" t="s">
        <v>1099</v>
      </c>
      <c r="C13" s="3273"/>
      <c r="D13" s="1300"/>
      <c r="E13" s="1300"/>
      <c r="F13" s="1301"/>
      <c r="G13" s="1302"/>
      <c r="H13" s="1309"/>
      <c r="I13" s="1299">
        <f>ROUND(D13*E13*F13*G13/10000,0)</f>
        <v>0</v>
      </c>
    </row>
    <row r="14" spans="1:9">
      <c r="A14" s="3279"/>
      <c r="B14" s="3273" t="s">
        <v>1100</v>
      </c>
      <c r="C14" s="3273"/>
      <c r="D14" s="1300"/>
      <c r="E14" s="1300"/>
      <c r="F14" s="1301"/>
      <c r="G14" s="1302"/>
      <c r="H14" s="1309"/>
      <c r="I14" s="1299">
        <f>ROUND(D14*E14*F14*G14/10000,0)</f>
        <v>0</v>
      </c>
    </row>
    <row r="15" spans="1:9">
      <c r="A15" s="3279"/>
      <c r="B15" s="3273" t="s">
        <v>1101</v>
      </c>
      <c r="C15" s="3273"/>
      <c r="D15" s="1300"/>
      <c r="E15" s="1300"/>
      <c r="F15" s="1301"/>
      <c r="G15" s="1302"/>
      <c r="H15" s="1309"/>
      <c r="I15" s="1299">
        <f>ROUND(D15*E15*F15*G15/10000,0)</f>
        <v>0</v>
      </c>
    </row>
    <row r="16" spans="1:9">
      <c r="A16" s="3279"/>
      <c r="B16" s="3274" t="s">
        <v>1092</v>
      </c>
      <c r="C16" s="3274"/>
      <c r="D16" s="1304"/>
      <c r="E16" s="1304">
        <f>SUM(E13:E15)</f>
        <v>0</v>
      </c>
      <c r="F16" s="1305"/>
      <c r="G16" s="1302"/>
      <c r="H16" s="1309"/>
      <c r="I16" s="1310">
        <v>417.2</v>
      </c>
    </row>
    <row r="17" spans="1:9" ht="24">
      <c r="A17" s="3279" t="s">
        <v>1102</v>
      </c>
      <c r="B17" s="3273" t="s">
        <v>1103</v>
      </c>
      <c r="C17" s="3273"/>
      <c r="D17" s="1300" t="s">
        <v>1079</v>
      </c>
      <c r="E17" s="1311" t="s">
        <v>1104</v>
      </c>
      <c r="F17" s="1301" t="s">
        <v>1105</v>
      </c>
      <c r="G17" s="1302" t="s">
        <v>1083</v>
      </c>
      <c r="H17" s="1308" t="s">
        <v>555</v>
      </c>
      <c r="I17" s="1299" t="s">
        <v>1084</v>
      </c>
    </row>
    <row r="18" spans="1:9" ht="14.25">
      <c r="A18" s="3279"/>
      <c r="B18" s="3273" t="s">
        <v>1106</v>
      </c>
      <c r="C18" s="3273"/>
      <c r="D18" s="1300"/>
      <c r="E18" s="1300"/>
      <c r="F18" s="1301"/>
      <c r="G18" s="1302"/>
      <c r="H18" s="1312"/>
      <c r="I18" s="1313">
        <f>ROUND(D18*E18*F18*G18/10000,0)</f>
        <v>0</v>
      </c>
    </row>
    <row r="19" spans="1:9" ht="14.25">
      <c r="A19" s="3279"/>
      <c r="B19" s="3273" t="s">
        <v>1107</v>
      </c>
      <c r="C19" s="3273"/>
      <c r="D19" s="1300"/>
      <c r="E19" s="1300"/>
      <c r="F19" s="1301"/>
      <c r="G19" s="1302"/>
      <c r="H19" s="1312"/>
      <c r="I19" s="1313">
        <f>ROUND(D19*E19*F19*G19/10000,0)</f>
        <v>0</v>
      </c>
    </row>
    <row r="20" spans="1:9" ht="14.25">
      <c r="A20" s="3279"/>
      <c r="B20" s="3273" t="s">
        <v>1108</v>
      </c>
      <c r="C20" s="3273"/>
      <c r="D20" s="1300"/>
      <c r="E20" s="1300"/>
      <c r="F20" s="1301"/>
      <c r="G20" s="1302"/>
      <c r="H20" s="1312"/>
      <c r="I20" s="1313">
        <f>ROUND(D20*E20*F20*G20/10000,0)</f>
        <v>0</v>
      </c>
    </row>
    <row r="21" spans="1:9">
      <c r="A21" s="3279"/>
      <c r="B21" s="3274" t="s">
        <v>1092</v>
      </c>
      <c r="C21" s="3274"/>
      <c r="D21" s="1304">
        <f>SUM(D18:D20)</f>
        <v>0</v>
      </c>
      <c r="E21" s="1304"/>
      <c r="F21" s="1305"/>
      <c r="G21" s="1302"/>
      <c r="H21" s="1309"/>
      <c r="I21" s="1310">
        <v>158.4</v>
      </c>
    </row>
    <row r="22" spans="1:9">
      <c r="A22" s="3279" t="s">
        <v>1109</v>
      </c>
      <c r="B22" s="3281"/>
      <c r="C22" s="3281"/>
      <c r="D22" s="3281"/>
      <c r="E22" s="3281"/>
      <c r="F22" s="3281"/>
      <c r="G22" s="3281"/>
      <c r="H22" s="1760">
        <v>0.1</v>
      </c>
      <c r="I22" s="1307">
        <f>ROUND(I11*H22,0)</f>
        <v>179</v>
      </c>
    </row>
    <row r="23" spans="1:9" ht="14.25">
      <c r="A23" s="3282" t="s">
        <v>1110</v>
      </c>
      <c r="B23" s="3283"/>
      <c r="C23" s="3284"/>
      <c r="D23" s="1314" t="s">
        <v>1111</v>
      </c>
      <c r="E23" s="1314" t="s">
        <v>1112</v>
      </c>
      <c r="F23" s="1315" t="s">
        <v>1083</v>
      </c>
      <c r="G23" s="1315" t="s">
        <v>1114</v>
      </c>
      <c r="H23" s="1308" t="s">
        <v>555</v>
      </c>
      <c r="I23" s="1299" t="s">
        <v>1084</v>
      </c>
    </row>
    <row r="24" spans="1:9" ht="14.25" thickBot="1">
      <c r="A24" s="3285"/>
      <c r="B24" s="3286"/>
      <c r="C24" s="3287"/>
      <c r="D24" s="1316"/>
      <c r="E24" s="1316"/>
      <c r="F24" s="1316"/>
      <c r="G24" s="1317"/>
      <c r="H24" s="1318"/>
      <c r="I24" s="1319">
        <f>ROUND(E24*D24*F24*(1-G24)/10000,0)</f>
        <v>0</v>
      </c>
    </row>
    <row r="27" spans="1:9">
      <c r="A27" s="1320" t="s">
        <v>1117</v>
      </c>
      <c r="B27" s="1320"/>
      <c r="C27" s="1320"/>
      <c r="D27" s="1320"/>
      <c r="E27" s="3278">
        <f>C28-C31-C32-C33</f>
        <v>1781.2199999999998</v>
      </c>
      <c r="F27" s="3278"/>
      <c r="G27" s="3278"/>
      <c r="H27" s="1732" t="s">
        <v>1339</v>
      </c>
    </row>
    <row r="28" spans="1:9">
      <c r="A28" s="2945">
        <v>1</v>
      </c>
      <c r="B28" s="2944" t="s">
        <v>1118</v>
      </c>
      <c r="C28" s="2944">
        <f>C29+C30</f>
        <v>2544.6</v>
      </c>
      <c r="D28" s="2944"/>
      <c r="E28" s="3280"/>
      <c r="F28" s="3280"/>
      <c r="G28" s="3280"/>
    </row>
    <row r="29" spans="1:9">
      <c r="A29" s="1323" t="s">
        <v>1119</v>
      </c>
      <c r="B29" s="2944" t="s">
        <v>1120</v>
      </c>
      <c r="C29" s="2944">
        <f>I11</f>
        <v>1790</v>
      </c>
      <c r="D29" s="2944"/>
      <c r="E29" s="3280"/>
      <c r="F29" s="3280"/>
      <c r="G29" s="3280"/>
    </row>
    <row r="30" spans="1:9">
      <c r="A30" s="1323" t="s">
        <v>1121</v>
      </c>
      <c r="B30" s="2944" t="s">
        <v>1122</v>
      </c>
      <c r="C30" s="2944">
        <f>I16+I21+I22</f>
        <v>754.6</v>
      </c>
      <c r="D30" s="2944"/>
      <c r="E30" s="2944" t="s">
        <v>1123</v>
      </c>
      <c r="F30" s="2944"/>
      <c r="G30" s="2944"/>
    </row>
    <row r="31" spans="1:9">
      <c r="A31" s="2945">
        <v>2</v>
      </c>
      <c r="B31" s="2944" t="s">
        <v>1124</v>
      </c>
      <c r="C31" s="2944">
        <f>C28*D31</f>
        <v>508.92</v>
      </c>
      <c r="D31" s="1324">
        <v>0.2</v>
      </c>
      <c r="E31" s="2944" t="s">
        <v>1125</v>
      </c>
      <c r="F31" s="2944"/>
      <c r="G31" s="2944"/>
    </row>
    <row r="32" spans="1:9">
      <c r="A32" s="2945">
        <v>3</v>
      </c>
      <c r="B32" s="2944" t="s">
        <v>1126</v>
      </c>
      <c r="C32" s="2944">
        <f>C26*D32</f>
        <v>0</v>
      </c>
      <c r="D32" s="1324">
        <v>0.15</v>
      </c>
      <c r="E32" s="2944" t="s">
        <v>1127</v>
      </c>
      <c r="F32" s="2944"/>
      <c r="G32" s="2944"/>
    </row>
    <row r="33" spans="1:7">
      <c r="A33" s="2945">
        <v>4</v>
      </c>
      <c r="B33" s="2944" t="s">
        <v>1128</v>
      </c>
      <c r="C33" s="2944">
        <f>C28*D33</f>
        <v>254.46</v>
      </c>
      <c r="D33" s="1324">
        <v>0.1</v>
      </c>
      <c r="E33" s="3288"/>
      <c r="F33" s="3288"/>
      <c r="G33" s="3288"/>
    </row>
    <row r="34" spans="1:7" hidden="1">
      <c r="A34" s="3275" t="s">
        <v>1129</v>
      </c>
      <c r="B34" s="3276"/>
      <c r="C34" s="3276"/>
      <c r="D34" s="3277"/>
      <c r="E34" s="3278"/>
      <c r="F34" s="3278"/>
      <c r="G34" s="3278"/>
    </row>
    <row r="35" spans="1:7" hidden="1">
      <c r="A35" s="1325">
        <v>1</v>
      </c>
      <c r="B35" s="2944" t="s">
        <v>1130</v>
      </c>
      <c r="C35" s="2944"/>
      <c r="D35" s="2944"/>
      <c r="E35" s="3280"/>
      <c r="F35" s="3280"/>
      <c r="G35" s="3280"/>
    </row>
    <row r="36" spans="1:7" hidden="1">
      <c r="A36" s="1325">
        <v>2</v>
      </c>
      <c r="B36" s="2944" t="s">
        <v>1131</v>
      </c>
      <c r="C36" s="2944"/>
      <c r="D36" s="2944"/>
      <c r="E36" s="3280"/>
      <c r="F36" s="3280"/>
      <c r="G36" s="3280"/>
    </row>
    <row r="37" spans="1:7" hidden="1">
      <c r="A37" s="1325">
        <v>3</v>
      </c>
      <c r="B37" s="2944" t="s">
        <v>1132</v>
      </c>
      <c r="C37" s="2944"/>
      <c r="D37" s="2944"/>
      <c r="E37" s="3280"/>
      <c r="F37" s="3280"/>
      <c r="G37" s="3280"/>
    </row>
    <row r="38" spans="1:7" hidden="1">
      <c r="A38" s="1325">
        <v>4</v>
      </c>
      <c r="B38" s="2944" t="s">
        <v>1133</v>
      </c>
      <c r="C38" s="2944"/>
      <c r="D38" s="2944"/>
      <c r="E38" s="3280"/>
      <c r="F38" s="3280"/>
      <c r="G38" s="3280"/>
    </row>
    <row r="39" spans="1:7" hidden="1">
      <c r="A39" s="3275" t="s">
        <v>1134</v>
      </c>
      <c r="B39" s="3276"/>
      <c r="C39" s="3276"/>
      <c r="D39" s="3277"/>
      <c r="E39" s="3278"/>
      <c r="F39" s="3278"/>
      <c r="G39" s="3278"/>
    </row>
  </sheetData>
  <mergeCells count="38">
    <mergeCell ref="A1:C1"/>
    <mergeCell ref="D1:I1"/>
    <mergeCell ref="A2:A11"/>
    <mergeCell ref="B2:C2"/>
    <mergeCell ref="B3:C3"/>
    <mergeCell ref="B4:C4"/>
    <mergeCell ref="B5:C5"/>
    <mergeCell ref="B6:C6"/>
    <mergeCell ref="B7:C7"/>
    <mergeCell ref="B8:C8"/>
    <mergeCell ref="B9:C9"/>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5"/>
  <sheetViews>
    <sheetView workbookViewId="0">
      <selection activeCell="G71" sqref="G71"/>
    </sheetView>
  </sheetViews>
  <sheetFormatPr defaultRowHeight="13.5"/>
  <cols>
    <col min="2" max="2" width="13.375" customWidth="1"/>
    <col min="3" max="3" width="16" customWidth="1"/>
    <col min="4" max="4" width="15.75" customWidth="1"/>
    <col min="5" max="5" width="17.25" customWidth="1"/>
    <col min="6" max="6" width="18.125" customWidth="1"/>
  </cols>
  <sheetData>
    <row r="1" spans="2:6" ht="14.25" thickBot="1"/>
    <row r="2" spans="2:6" ht="14.25" thickBot="1">
      <c r="B2" s="2975" t="s">
        <v>3181</v>
      </c>
      <c r="C2" s="2976" t="s">
        <v>3182</v>
      </c>
      <c r="D2" s="2976" t="s">
        <v>3183</v>
      </c>
      <c r="E2" s="2976" t="s">
        <v>3184</v>
      </c>
      <c r="F2" s="2976" t="s">
        <v>3185</v>
      </c>
    </row>
    <row r="3" spans="2:6" ht="14.25" thickBot="1">
      <c r="B3" s="2977" t="s">
        <v>3186</v>
      </c>
      <c r="C3" s="2978">
        <v>42644</v>
      </c>
      <c r="D3" s="2978">
        <v>43373</v>
      </c>
      <c r="E3" s="2979">
        <v>10000</v>
      </c>
      <c r="F3" s="2979"/>
    </row>
    <row r="4" spans="2:6" ht="14.25" thickBot="1">
      <c r="B4" s="2977" t="s">
        <v>3187</v>
      </c>
      <c r="C4" s="2978">
        <v>42826</v>
      </c>
      <c r="D4" s="2978">
        <v>43555</v>
      </c>
      <c r="E4" s="2979" t="s">
        <v>3188</v>
      </c>
      <c r="F4" s="2979"/>
    </row>
    <row r="5" spans="2:6" ht="14.25" thickBot="1">
      <c r="B5" s="2977" t="s">
        <v>3189</v>
      </c>
      <c r="C5" s="2978">
        <v>43009</v>
      </c>
      <c r="D5" s="2978">
        <v>43465</v>
      </c>
      <c r="E5" s="2981">
        <v>1200</v>
      </c>
      <c r="F5" s="2979"/>
    </row>
    <row r="6" spans="2:6" ht="14.25" thickBot="1">
      <c r="B6" s="2977" t="s">
        <v>3190</v>
      </c>
      <c r="C6" s="2978">
        <v>43040</v>
      </c>
      <c r="D6" s="2978">
        <v>43465</v>
      </c>
      <c r="E6" s="2981">
        <v>1600</v>
      </c>
      <c r="F6" s="2979"/>
    </row>
    <row r="7" spans="2:6" ht="14.25" thickBot="1">
      <c r="B7" s="2977" t="s">
        <v>3191</v>
      </c>
      <c r="C7" s="2978">
        <v>43070</v>
      </c>
      <c r="D7" s="2978">
        <v>43465</v>
      </c>
      <c r="E7" s="2981">
        <v>1200</v>
      </c>
      <c r="F7" s="2979"/>
    </row>
    <row r="8" spans="2:6" ht="14.25" thickBot="1">
      <c r="B8" s="2977" t="s">
        <v>3192</v>
      </c>
      <c r="C8" s="2978">
        <v>43070</v>
      </c>
      <c r="D8" s="2978">
        <v>43465</v>
      </c>
      <c r="E8" s="2981">
        <v>1200</v>
      </c>
      <c r="F8" s="2979"/>
    </row>
    <row r="9" spans="2:6" ht="14.25" thickBot="1">
      <c r="B9" s="2977" t="s">
        <v>3193</v>
      </c>
      <c r="C9" s="2978">
        <v>42500</v>
      </c>
      <c r="D9" s="2978">
        <v>44325</v>
      </c>
      <c r="E9" s="2979">
        <v>58000</v>
      </c>
      <c r="F9" s="2979"/>
    </row>
    <row r="10" spans="2:6" ht="14.25" thickBot="1">
      <c r="B10" s="2977" t="s">
        <v>3194</v>
      </c>
      <c r="C10" s="2978">
        <v>43101</v>
      </c>
      <c r="D10" s="2978">
        <v>43465</v>
      </c>
      <c r="E10" s="2981">
        <v>1200</v>
      </c>
      <c r="F10" s="2979"/>
    </row>
    <row r="11" spans="2:6" ht="14.25" thickBot="1">
      <c r="B11" s="2977" t="s">
        <v>3195</v>
      </c>
      <c r="C11" s="2978">
        <v>43101</v>
      </c>
      <c r="D11" s="2978">
        <v>43465</v>
      </c>
      <c r="E11" s="2981">
        <v>900</v>
      </c>
      <c r="F11" s="2979"/>
    </row>
    <row r="12" spans="2:6" ht="14.25" thickBot="1">
      <c r="B12" s="2977" t="s">
        <v>3196</v>
      </c>
      <c r="C12" s="2978">
        <v>43101</v>
      </c>
      <c r="D12" s="2979" t="s">
        <v>3197</v>
      </c>
      <c r="E12" s="2981">
        <v>1000</v>
      </c>
      <c r="F12" s="2979"/>
    </row>
    <row r="13" spans="2:6" ht="14.25" thickBot="1">
      <c r="B13" s="2977" t="s">
        <v>3198</v>
      </c>
      <c r="C13" s="2978">
        <v>43101</v>
      </c>
      <c r="D13" s="2978">
        <v>43465</v>
      </c>
      <c r="E13" s="2981">
        <v>1300</v>
      </c>
      <c r="F13" s="2979"/>
    </row>
    <row r="14" spans="2:6" ht="14.25" thickBot="1">
      <c r="B14" s="2977" t="s">
        <v>3199</v>
      </c>
      <c r="C14" s="2978">
        <v>43101</v>
      </c>
      <c r="D14" s="2978">
        <v>43465</v>
      </c>
      <c r="E14" s="2981">
        <v>1200</v>
      </c>
      <c r="F14" s="2979"/>
    </row>
    <row r="15" spans="2:6" ht="14.25" thickBot="1">
      <c r="B15" s="2977" t="s">
        <v>3200</v>
      </c>
      <c r="C15" s="2978">
        <v>43101</v>
      </c>
      <c r="D15" s="2978">
        <v>43465</v>
      </c>
      <c r="E15" s="2981">
        <v>2500</v>
      </c>
      <c r="F15" s="2979"/>
    </row>
    <row r="16" spans="2:6" ht="14.25" thickBot="1">
      <c r="B16" s="2977" t="s">
        <v>3201</v>
      </c>
      <c r="C16" s="2978">
        <v>43101</v>
      </c>
      <c r="D16" s="2978">
        <v>43465</v>
      </c>
      <c r="E16" s="2981">
        <v>900</v>
      </c>
      <c r="F16" s="2979"/>
    </row>
    <row r="17" spans="2:6" ht="14.25" thickBot="1">
      <c r="B17" s="2977" t="s">
        <v>3202</v>
      </c>
      <c r="C17" s="2978">
        <v>43101</v>
      </c>
      <c r="D17" s="2978">
        <v>43465</v>
      </c>
      <c r="E17" s="2981">
        <v>1200</v>
      </c>
      <c r="F17" s="2979"/>
    </row>
    <row r="18" spans="2:6" ht="14.25" thickBot="1">
      <c r="B18" s="2977" t="s">
        <v>3203</v>
      </c>
      <c r="C18" s="2978">
        <v>43101</v>
      </c>
      <c r="D18" s="2978">
        <v>43465</v>
      </c>
      <c r="E18" s="2981">
        <v>1200</v>
      </c>
      <c r="F18" s="2979"/>
    </row>
    <row r="19" spans="2:6" ht="14.25" thickBot="1">
      <c r="B19" s="2977" t="s">
        <v>3204</v>
      </c>
      <c r="C19" s="2978">
        <v>43101</v>
      </c>
      <c r="D19" s="2978">
        <v>43465</v>
      </c>
      <c r="E19" s="2981">
        <v>1300</v>
      </c>
      <c r="F19" s="2979"/>
    </row>
    <row r="20" spans="2:6" ht="14.25" thickBot="1">
      <c r="B20" s="2977" t="s">
        <v>3205</v>
      </c>
      <c r="C20" s="2978">
        <v>43101</v>
      </c>
      <c r="D20" s="2978">
        <v>43465</v>
      </c>
      <c r="E20" s="2981">
        <v>900</v>
      </c>
      <c r="F20" s="2979"/>
    </row>
    <row r="21" spans="2:6" ht="14.25" thickBot="1">
      <c r="B21" s="2977" t="s">
        <v>3206</v>
      </c>
      <c r="C21" s="2978">
        <v>43101</v>
      </c>
      <c r="D21" s="2978">
        <v>43465</v>
      </c>
      <c r="E21" s="2981">
        <v>1200</v>
      </c>
      <c r="F21" s="2979"/>
    </row>
    <row r="22" spans="2:6" ht="14.25" thickBot="1">
      <c r="B22" s="2977" t="s">
        <v>3207</v>
      </c>
      <c r="C22" s="2978">
        <v>43101</v>
      </c>
      <c r="D22" s="2978">
        <v>43465</v>
      </c>
      <c r="E22" s="2981">
        <v>1200</v>
      </c>
      <c r="F22" s="2979"/>
    </row>
    <row r="23" spans="2:6" ht="14.25" thickBot="1">
      <c r="B23" s="2977" t="s">
        <v>3208</v>
      </c>
      <c r="C23" s="2978">
        <v>43101</v>
      </c>
      <c r="D23" s="2978">
        <v>43465</v>
      </c>
      <c r="E23" s="2981">
        <v>900</v>
      </c>
      <c r="F23" s="2979"/>
    </row>
    <row r="24" spans="2:6" ht="14.25" thickBot="1">
      <c r="B24" s="2977" t="s">
        <v>3209</v>
      </c>
      <c r="C24" s="2978">
        <v>43101</v>
      </c>
      <c r="D24" s="2978">
        <v>43465</v>
      </c>
      <c r="E24" s="2981">
        <v>900</v>
      </c>
      <c r="F24" s="2979"/>
    </row>
    <row r="25" spans="2:6" ht="14.25" thickBot="1">
      <c r="B25" s="2977" t="s">
        <v>3210</v>
      </c>
      <c r="C25" s="2978">
        <v>43101</v>
      </c>
      <c r="D25" s="2978">
        <v>43465</v>
      </c>
      <c r="E25" s="2981">
        <v>1300</v>
      </c>
      <c r="F25" s="2979"/>
    </row>
    <row r="26" spans="2:6" ht="14.25" thickBot="1">
      <c r="B26" s="2977" t="s">
        <v>3211</v>
      </c>
      <c r="C26" s="2978">
        <v>43101</v>
      </c>
      <c r="D26" s="2978">
        <v>43465</v>
      </c>
      <c r="E26" s="2981">
        <v>1400</v>
      </c>
      <c r="F26" s="2979"/>
    </row>
    <row r="27" spans="2:6" ht="14.25" thickBot="1">
      <c r="B27" s="2977" t="s">
        <v>3212</v>
      </c>
      <c r="C27" s="2978">
        <v>43101</v>
      </c>
      <c r="D27" s="2978">
        <v>43465</v>
      </c>
      <c r="E27" s="2981">
        <v>1300</v>
      </c>
      <c r="F27" s="2979"/>
    </row>
    <row r="28" spans="2:6" ht="14.25" thickBot="1">
      <c r="B28" s="2977" t="s">
        <v>3213</v>
      </c>
      <c r="C28" s="2978">
        <v>43101</v>
      </c>
      <c r="D28" s="2978">
        <v>43465</v>
      </c>
      <c r="E28" s="2981">
        <v>1300</v>
      </c>
      <c r="F28" s="2979"/>
    </row>
    <row r="29" spans="2:6" ht="14.25" thickBot="1">
      <c r="B29" s="2977" t="s">
        <v>3214</v>
      </c>
      <c r="C29" s="2978">
        <v>43101</v>
      </c>
      <c r="D29" s="2978">
        <v>43465</v>
      </c>
      <c r="E29" s="2981">
        <v>1200</v>
      </c>
      <c r="F29" s="2979"/>
    </row>
    <row r="30" spans="2:6" ht="14.25" thickBot="1">
      <c r="B30" s="2977" t="s">
        <v>3215</v>
      </c>
      <c r="C30" s="2978">
        <v>43101</v>
      </c>
      <c r="D30" s="2978">
        <v>43465</v>
      </c>
      <c r="E30" s="2981">
        <v>900</v>
      </c>
      <c r="F30" s="2979"/>
    </row>
    <row r="31" spans="2:6" ht="14.25" thickBot="1">
      <c r="B31" s="2977" t="s">
        <v>3216</v>
      </c>
      <c r="C31" s="2978">
        <v>43101</v>
      </c>
      <c r="D31" s="2978">
        <v>43465</v>
      </c>
      <c r="E31" s="2981">
        <v>1300</v>
      </c>
      <c r="F31" s="2979"/>
    </row>
    <row r="32" spans="2:6" ht="14.25" thickBot="1">
      <c r="B32" s="2977" t="s">
        <v>3217</v>
      </c>
      <c r="C32" s="2978">
        <v>43101</v>
      </c>
      <c r="D32" s="2978">
        <v>43465</v>
      </c>
      <c r="E32" s="2981">
        <v>900</v>
      </c>
      <c r="F32" s="2979"/>
    </row>
    <row r="33" spans="2:6" ht="14.25" thickBot="1">
      <c r="B33" s="2977" t="s">
        <v>3218</v>
      </c>
      <c r="C33" s="2978">
        <v>43101</v>
      </c>
      <c r="D33" s="2978">
        <v>43465</v>
      </c>
      <c r="E33" s="2981">
        <v>1200</v>
      </c>
      <c r="F33" s="2979"/>
    </row>
    <row r="34" spans="2:6" ht="14.25" thickBot="1">
      <c r="B34" s="2977" t="s">
        <v>3219</v>
      </c>
      <c r="C34" s="2978">
        <v>43101</v>
      </c>
      <c r="D34" s="2978">
        <v>43465</v>
      </c>
      <c r="E34" s="2981">
        <v>900</v>
      </c>
      <c r="F34" s="2979"/>
    </row>
    <row r="35" spans="2:6" ht="14.25" thickBot="1">
      <c r="B35" s="2977" t="s">
        <v>3220</v>
      </c>
      <c r="C35" s="2978">
        <v>43101</v>
      </c>
      <c r="D35" s="2978">
        <v>43465</v>
      </c>
      <c r="E35" s="2981">
        <v>600</v>
      </c>
      <c r="F35" s="2979"/>
    </row>
    <row r="36" spans="2:6" ht="14.25" thickBot="1">
      <c r="B36" s="2977" t="s">
        <v>3221</v>
      </c>
      <c r="C36" s="2978">
        <v>43101</v>
      </c>
      <c r="D36" s="2978">
        <v>43465</v>
      </c>
      <c r="E36" s="2981">
        <v>900</v>
      </c>
      <c r="F36" s="2979"/>
    </row>
    <row r="37" spans="2:6" ht="14.25" thickBot="1">
      <c r="B37" s="2977" t="s">
        <v>3222</v>
      </c>
      <c r="C37" s="2978">
        <v>43132</v>
      </c>
      <c r="D37" s="2978">
        <v>43496</v>
      </c>
      <c r="E37" s="2981">
        <v>650</v>
      </c>
      <c r="F37" s="2979"/>
    </row>
    <row r="38" spans="2:6" ht="14.25" thickBot="1">
      <c r="B38" s="2977" t="s">
        <v>3223</v>
      </c>
      <c r="C38" s="2978">
        <v>43132</v>
      </c>
      <c r="D38" s="2978">
        <v>43496</v>
      </c>
      <c r="E38" s="2981">
        <v>1200</v>
      </c>
      <c r="F38" s="2979"/>
    </row>
    <row r="39" spans="2:6" ht="14.25" thickBot="1">
      <c r="B39" s="2977" t="s">
        <v>3224</v>
      </c>
      <c r="C39" s="2978">
        <v>43132</v>
      </c>
      <c r="D39" s="2978">
        <v>43496</v>
      </c>
      <c r="E39" s="2981">
        <v>1200</v>
      </c>
      <c r="F39" s="2979"/>
    </row>
    <row r="40" spans="2:6" ht="14.25" thickBot="1">
      <c r="B40" s="2977" t="s">
        <v>3225</v>
      </c>
      <c r="C40" s="2978">
        <v>43132</v>
      </c>
      <c r="D40" s="2978">
        <v>43496</v>
      </c>
      <c r="E40" s="2981">
        <v>1200</v>
      </c>
      <c r="F40" s="2979"/>
    </row>
    <row r="41" spans="2:6" ht="14.25" thickBot="1">
      <c r="B41" s="2977" t="s">
        <v>3226</v>
      </c>
      <c r="C41" s="2978">
        <v>43132</v>
      </c>
      <c r="D41" s="2978">
        <v>43496</v>
      </c>
      <c r="E41" s="2981">
        <v>1200</v>
      </c>
      <c r="F41" s="2979"/>
    </row>
    <row r="42" spans="2:6" ht="14.25" thickBot="1">
      <c r="B42" s="2977" t="s">
        <v>3227</v>
      </c>
      <c r="C42" s="2978">
        <v>43160</v>
      </c>
      <c r="D42" s="2978">
        <v>43889</v>
      </c>
      <c r="E42" s="2979">
        <v>30000</v>
      </c>
      <c r="F42" s="2979"/>
    </row>
    <row r="43" spans="2:6" ht="14.25" thickBot="1">
      <c r="B43" s="2977" t="s">
        <v>3228</v>
      </c>
      <c r="C43" s="2978">
        <v>43160</v>
      </c>
      <c r="D43" s="2978">
        <v>43889</v>
      </c>
      <c r="E43" s="2981">
        <v>1600</v>
      </c>
      <c r="F43" s="2979"/>
    </row>
    <row r="44" spans="2:6" ht="14.25" thickBot="1">
      <c r="B44" s="2977" t="s">
        <v>3229</v>
      </c>
      <c r="C44" s="2978">
        <v>43160</v>
      </c>
      <c r="D44" s="2978">
        <v>43889</v>
      </c>
      <c r="E44" s="2981">
        <v>1200</v>
      </c>
      <c r="F44" s="2979"/>
    </row>
    <row r="45" spans="2:6" ht="14.25" thickBot="1">
      <c r="B45" s="2977" t="s">
        <v>3230</v>
      </c>
      <c r="C45" s="2978">
        <v>43160</v>
      </c>
      <c r="D45" s="2978">
        <v>43889</v>
      </c>
      <c r="E45" s="2981">
        <v>900</v>
      </c>
      <c r="F45" s="2979"/>
    </row>
    <row r="46" spans="2:6" ht="26.25" thickBot="1">
      <c r="B46" s="2977" t="s">
        <v>3231</v>
      </c>
      <c r="C46" s="2978">
        <v>43143</v>
      </c>
      <c r="D46" s="2978">
        <v>43872</v>
      </c>
      <c r="E46" s="2979">
        <v>8000</v>
      </c>
      <c r="F46" s="2979"/>
    </row>
    <row r="47" spans="2:6" ht="14.25" thickBot="1">
      <c r="B47" s="2977" t="s">
        <v>3232</v>
      </c>
      <c r="C47" s="2978">
        <v>43188</v>
      </c>
      <c r="D47" s="2978">
        <v>43552</v>
      </c>
      <c r="E47" s="2979">
        <v>1100</v>
      </c>
      <c r="F47" s="2979"/>
    </row>
    <row r="48" spans="2:6" ht="14.25" thickBot="1">
      <c r="B48" s="2977" t="s">
        <v>3233</v>
      </c>
      <c r="C48" s="2978">
        <v>43191</v>
      </c>
      <c r="D48" s="2978">
        <v>43555</v>
      </c>
      <c r="E48" s="2979">
        <v>8000</v>
      </c>
      <c r="F48" s="2979"/>
    </row>
    <row r="49" spans="2:6" ht="14.25" thickBot="1">
      <c r="B49" s="2977" t="s">
        <v>3234</v>
      </c>
      <c r="C49" s="2978">
        <v>43191</v>
      </c>
      <c r="D49" s="2978">
        <v>43555</v>
      </c>
      <c r="E49" s="2981">
        <v>800</v>
      </c>
      <c r="F49" s="2979"/>
    </row>
    <row r="50" spans="2:6" ht="14.25" thickBot="1">
      <c r="B50" s="2977" t="s">
        <v>3235</v>
      </c>
      <c r="C50" s="2978">
        <v>43191</v>
      </c>
      <c r="D50" s="2978">
        <v>43555</v>
      </c>
      <c r="E50" s="2981">
        <v>900</v>
      </c>
      <c r="F50" s="2979"/>
    </row>
    <row r="51" spans="2:6" ht="14.25" thickBot="1">
      <c r="B51" s="2977" t="s">
        <v>3236</v>
      </c>
      <c r="C51" s="2978">
        <v>43191</v>
      </c>
      <c r="D51" s="2978">
        <v>43555</v>
      </c>
      <c r="E51" s="2981">
        <v>900</v>
      </c>
      <c r="F51" s="2979"/>
    </row>
    <row r="52" spans="2:6" ht="14.25" thickBot="1">
      <c r="B52" s="2977" t="s">
        <v>3237</v>
      </c>
      <c r="C52" s="2978">
        <v>43191</v>
      </c>
      <c r="D52" s="2978">
        <v>43555</v>
      </c>
      <c r="E52" s="2981">
        <v>650</v>
      </c>
      <c r="F52" s="2979"/>
    </row>
    <row r="53" spans="2:6" ht="14.25" thickBot="1">
      <c r="B53" s="2977" t="s">
        <v>3230</v>
      </c>
      <c r="C53" s="2978">
        <v>43191</v>
      </c>
      <c r="D53" s="2978">
        <v>43555</v>
      </c>
      <c r="E53" s="2981">
        <v>900</v>
      </c>
      <c r="F53" s="2979"/>
    </row>
    <row r="54" spans="2:6" ht="14.25" thickBot="1">
      <c r="B54" s="2977" t="s">
        <v>3238</v>
      </c>
      <c r="C54" s="2978">
        <v>43191</v>
      </c>
      <c r="D54" s="2978">
        <v>43555</v>
      </c>
      <c r="E54" s="2981">
        <v>1300</v>
      </c>
      <c r="F54" s="2979"/>
    </row>
    <row r="55" spans="2:6" ht="14.25" thickBot="1">
      <c r="B55" s="2977" t="s">
        <v>3239</v>
      </c>
      <c r="C55" s="2978">
        <v>43191</v>
      </c>
      <c r="D55" s="2978">
        <v>43555</v>
      </c>
      <c r="E55" s="2981">
        <v>1200</v>
      </c>
      <c r="F55" s="2979"/>
    </row>
    <row r="56" spans="2:6" ht="14.25" thickBot="1">
      <c r="B56" s="2977" t="s">
        <v>3240</v>
      </c>
      <c r="C56" s="2978">
        <v>43221</v>
      </c>
      <c r="D56" s="2978">
        <v>43585</v>
      </c>
      <c r="E56" s="2981">
        <v>900</v>
      </c>
      <c r="F56" s="2979"/>
    </row>
    <row r="57" spans="2:6" ht="14.25" thickBot="1">
      <c r="B57" s="2977" t="s">
        <v>3241</v>
      </c>
      <c r="C57" s="2978">
        <v>43221</v>
      </c>
      <c r="D57" s="2978">
        <v>43585</v>
      </c>
      <c r="E57" s="2981">
        <v>1200</v>
      </c>
      <c r="F57" s="2979"/>
    </row>
    <row r="58" spans="2:6" ht="14.25" thickBot="1">
      <c r="B58" s="2977" t="s">
        <v>3242</v>
      </c>
      <c r="C58" s="2978">
        <v>43221</v>
      </c>
      <c r="D58" s="2978">
        <v>43585</v>
      </c>
      <c r="E58" s="2981">
        <v>1200</v>
      </c>
      <c r="F58" s="2979"/>
    </row>
    <row r="59" spans="2:6" ht="14.25" thickBot="1">
      <c r="B59" s="2977" t="s">
        <v>3243</v>
      </c>
      <c r="C59" s="2978">
        <v>43221</v>
      </c>
      <c r="D59" s="2978">
        <v>43585</v>
      </c>
      <c r="E59" s="2981">
        <v>1200</v>
      </c>
      <c r="F59" s="2979"/>
    </row>
    <row r="60" spans="2:6" ht="14.25" thickBot="1">
      <c r="B60" s="2977" t="s">
        <v>3244</v>
      </c>
      <c r="C60" s="2978">
        <v>43221</v>
      </c>
      <c r="D60" s="2978">
        <v>43585</v>
      </c>
      <c r="E60" s="2979">
        <v>800</v>
      </c>
      <c r="F60" s="2979"/>
    </row>
    <row r="61" spans="2:6" ht="14.25" thickBot="1">
      <c r="B61" s="2977" t="s">
        <v>3245</v>
      </c>
      <c r="C61" s="2978">
        <v>43221</v>
      </c>
      <c r="D61" s="2978">
        <v>43585</v>
      </c>
      <c r="E61" s="2981">
        <v>1200</v>
      </c>
      <c r="F61" s="2979"/>
    </row>
    <row r="62" spans="2:6" ht="14.25" thickBot="1">
      <c r="B62" s="2977" t="s">
        <v>3246</v>
      </c>
      <c r="C62" s="2978">
        <v>43252</v>
      </c>
      <c r="D62" s="2978">
        <v>43616</v>
      </c>
      <c r="E62" s="2981">
        <v>1200</v>
      </c>
      <c r="F62" s="2979"/>
    </row>
    <row r="63" spans="2:6" ht="14.25" thickBot="1">
      <c r="B63" s="2977" t="s">
        <v>3247</v>
      </c>
      <c r="C63" s="2978">
        <v>43282</v>
      </c>
      <c r="D63" s="2978">
        <v>43646</v>
      </c>
      <c r="E63" s="2981">
        <v>1200</v>
      </c>
      <c r="F63" s="2979"/>
    </row>
    <row r="64" spans="2:6" ht="14.25" thickBot="1">
      <c r="B64" s="2977" t="s">
        <v>3248</v>
      </c>
      <c r="C64" s="2978">
        <v>43282</v>
      </c>
      <c r="D64" s="2978">
        <v>43646</v>
      </c>
      <c r="E64" s="2981">
        <v>1200</v>
      </c>
      <c r="F64" s="2979"/>
    </row>
    <row r="65" spans="2:6" ht="14.25" thickBot="1">
      <c r="B65" s="2977" t="s">
        <v>3203</v>
      </c>
      <c r="C65" s="2978">
        <v>43313</v>
      </c>
      <c r="D65" s="2978">
        <v>43677</v>
      </c>
      <c r="E65" s="2981">
        <v>1200</v>
      </c>
      <c r="F65" s="2979"/>
    </row>
    <row r="66" spans="2:6" ht="14.25" thickBot="1">
      <c r="B66" s="2977" t="s">
        <v>3249</v>
      </c>
      <c r="C66" s="2978">
        <v>43313</v>
      </c>
      <c r="D66" s="2978">
        <v>43677</v>
      </c>
      <c r="E66" s="2981">
        <v>1200</v>
      </c>
      <c r="F66" s="2979"/>
    </row>
    <row r="67" spans="2:6" ht="14.25" thickBot="1">
      <c r="B67" s="2977" t="s">
        <v>3246</v>
      </c>
      <c r="C67" s="2978">
        <v>43313</v>
      </c>
      <c r="D67" s="2978">
        <v>43677</v>
      </c>
      <c r="E67" s="2981">
        <v>1200</v>
      </c>
      <c r="F67" s="2979"/>
    </row>
    <row r="68" spans="2:6" ht="14.25" thickBot="1">
      <c r="B68" s="2977" t="s">
        <v>3250</v>
      </c>
      <c r="C68" s="2978">
        <v>43351</v>
      </c>
      <c r="D68" s="2978">
        <v>43715</v>
      </c>
      <c r="E68" s="2979">
        <v>3000</v>
      </c>
      <c r="F68" s="2979"/>
    </row>
    <row r="69" spans="2:6" ht="14.25" thickBot="1">
      <c r="B69" s="2977" t="s">
        <v>3251</v>
      </c>
      <c r="C69" s="2978">
        <v>43344</v>
      </c>
      <c r="D69" s="2978">
        <v>43708</v>
      </c>
      <c r="E69" s="2981">
        <v>900</v>
      </c>
      <c r="F69" s="2979"/>
    </row>
    <row r="70" spans="2:6">
      <c r="E70">
        <f>SUM(E5:E69,E3)</f>
        <v>184700</v>
      </c>
    </row>
    <row r="71" spans="2:6">
      <c r="E71">
        <f>E70*12</f>
        <v>2216400</v>
      </c>
    </row>
    <row r="72" spans="2:6">
      <c r="E72">
        <f>E71+161568</f>
        <v>2377968</v>
      </c>
      <c r="F72">
        <f>E72-E75</f>
        <v>1588368</v>
      </c>
    </row>
    <row r="73" spans="2:6">
      <c r="E73" s="2980" t="s">
        <v>3252</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7" t="s">
        <v>1661</v>
      </c>
      <c r="B1" s="3037"/>
      <c r="C1" s="3037"/>
      <c r="D1" s="3037"/>
    </row>
    <row r="2" spans="1:4" ht="18">
      <c r="A2" s="3038" t="s">
        <v>1645</v>
      </c>
      <c r="B2" s="3038"/>
      <c r="C2" s="3038"/>
      <c r="D2" s="3038"/>
    </row>
    <row r="3" spans="1:4" ht="18.75">
      <c r="A3" s="1972" t="s">
        <v>1646</v>
      </c>
      <c r="B3" s="1972" t="s">
        <v>1647</v>
      </c>
      <c r="C3" s="1972" t="s">
        <v>1648</v>
      </c>
      <c r="D3" s="1972" t="s">
        <v>1649</v>
      </c>
    </row>
    <row r="4" spans="1:4" ht="56.25" customHeight="1">
      <c r="A4" s="1973" t="str">
        <f>项目基本情况!B4</f>
        <v>王鹏</v>
      </c>
      <c r="B4" s="1974">
        <f ca="1">项目基本情况!C4</f>
        <v>1120050019</v>
      </c>
      <c r="C4" s="1975"/>
      <c r="D4" s="1976" t="s">
        <v>1650</v>
      </c>
    </row>
    <row r="5" spans="1:4" ht="56.25" customHeight="1">
      <c r="A5" s="1973" t="str">
        <f>项目基本情况!D4</f>
        <v>郑燚</v>
      </c>
      <c r="B5" s="1974">
        <f ca="1">项目基本情况!E4</f>
        <v>0</v>
      </c>
      <c r="C5" s="1977"/>
      <c r="D5" s="1976" t="s">
        <v>1650</v>
      </c>
    </row>
    <row r="6" spans="1:4" ht="18">
      <c r="A6" s="3038" t="s">
        <v>1651</v>
      </c>
      <c r="B6" s="3038"/>
      <c r="C6" s="3038"/>
      <c r="D6" s="3038"/>
    </row>
    <row r="7" spans="1:4" ht="18.75">
      <c r="A7" s="1972" t="s">
        <v>1646</v>
      </c>
      <c r="B7" s="1974" t="s">
        <v>1652</v>
      </c>
      <c r="C7" s="1972" t="s">
        <v>1648</v>
      </c>
      <c r="D7" s="1972" t="s">
        <v>1649</v>
      </c>
    </row>
    <row r="8" spans="1:4" ht="56.25" customHeight="1">
      <c r="A8" s="1978" t="s">
        <v>869</v>
      </c>
      <c r="B8" s="1978" t="s">
        <v>1</v>
      </c>
      <c r="C8" s="1975"/>
      <c r="D8" s="1976" t="s">
        <v>1650</v>
      </c>
    </row>
    <row r="9" spans="1:4">
      <c r="A9" s="727"/>
      <c r="B9" s="727"/>
      <c r="C9" s="727"/>
      <c r="D9" s="727"/>
    </row>
    <row r="10" spans="1:4" ht="18.75">
      <c r="A10" s="1979" t="s">
        <v>1653</v>
      </c>
      <c r="B10" s="727"/>
      <c r="C10" s="727"/>
      <c r="D10" s="727"/>
    </row>
    <row r="11" spans="1:4" ht="30" customHeight="1">
      <c r="A11" s="3039" t="s">
        <v>1654</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40"/>
      <c r="C15" s="3040"/>
      <c r="D15" s="3040"/>
    </row>
    <row r="16" spans="1:4" ht="30" customHeight="1">
      <c r="A16" s="3043" t="s">
        <v>1655</v>
      </c>
      <c r="B16" s="3043"/>
      <c r="C16" s="3043"/>
      <c r="D16" s="3043"/>
    </row>
    <row r="17" spans="1:4" ht="144" customHeight="1">
      <c r="A17" s="3043" t="s">
        <v>1656</v>
      </c>
      <c r="B17" s="3043"/>
      <c r="C17" s="3043"/>
      <c r="D17" s="3043"/>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1657</v>
      </c>
      <c r="B22" s="3045"/>
      <c r="C22" s="3045"/>
      <c r="D22" s="3045"/>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51" t="s">
        <v>1668</v>
      </c>
      <c r="B15" s="3046" t="s">
        <v>136</v>
      </c>
      <c r="C15" s="3047"/>
    </row>
    <row r="16" spans="1:7" ht="13.5">
      <c r="A16" s="3052"/>
      <c r="B16" s="3046" t="s">
        <v>69</v>
      </c>
      <c r="C16" s="3047"/>
    </row>
    <row r="17" spans="1:3" ht="13.5">
      <c r="A17" s="3052"/>
      <c r="B17" s="3049" t="s">
        <v>1669</v>
      </c>
      <c r="C17" s="1995" t="s">
        <v>1668</v>
      </c>
    </row>
    <row r="18" spans="1:3" ht="13.5">
      <c r="A18" s="3052"/>
      <c r="B18" s="3049"/>
      <c r="C18" s="1995" t="s">
        <v>1670</v>
      </c>
    </row>
    <row r="19" spans="1:3" ht="13.5">
      <c r="A19" s="3052"/>
      <c r="B19" s="3049"/>
      <c r="C19" s="1995" t="s">
        <v>1671</v>
      </c>
    </row>
    <row r="20" spans="1:3" ht="13.5">
      <c r="A20" s="3053"/>
      <c r="B20" s="3048" t="s">
        <v>1672</v>
      </c>
      <c r="C20" s="3047"/>
    </row>
    <row r="21" spans="1:3" ht="13.5">
      <c r="A21" s="1996" t="s">
        <v>1673</v>
      </c>
      <c r="B21" s="1997"/>
      <c r="C21" s="1998"/>
    </row>
    <row r="22" spans="1:3" ht="13.5">
      <c r="A22" s="3050" t="s">
        <v>1674</v>
      </c>
      <c r="B22" s="3048" t="s">
        <v>1675</v>
      </c>
      <c r="C22" s="3047"/>
    </row>
    <row r="23" spans="1:3" ht="13.5">
      <c r="A23" s="3050"/>
      <c r="B23" s="3048" t="s">
        <v>1676</v>
      </c>
      <c r="C23" s="3047"/>
    </row>
    <row r="24" spans="1:3" ht="13.5">
      <c r="A24" s="3050"/>
      <c r="B24" s="3048" t="s">
        <v>1677</v>
      </c>
      <c r="C24" s="3047"/>
    </row>
    <row r="25" spans="1:3" ht="13.5">
      <c r="A25" s="3050"/>
      <c r="B25" s="3049" t="s">
        <v>1678</v>
      </c>
      <c r="C25" s="1995" t="s">
        <v>1679</v>
      </c>
    </row>
    <row r="26" spans="1:3" ht="13.5">
      <c r="A26" s="3050"/>
      <c r="B26" s="3049"/>
      <c r="C26" s="1995" t="s">
        <v>1680</v>
      </c>
    </row>
    <row r="27" spans="1:3" ht="13.5">
      <c r="A27" s="3050"/>
      <c r="B27" s="3049"/>
      <c r="C27" s="1995" t="s">
        <v>1681</v>
      </c>
    </row>
    <row r="28" spans="1:3" ht="13.5">
      <c r="A28" s="3050"/>
      <c r="B28" s="3049"/>
      <c r="C28" s="1995" t="s">
        <v>1682</v>
      </c>
    </row>
    <row r="29" spans="1:3" ht="13.5">
      <c r="A29" s="3050"/>
      <c r="B29" s="3049"/>
      <c r="C29" s="1995" t="s">
        <v>1683</v>
      </c>
    </row>
    <row r="30" spans="1:3" ht="13.5">
      <c r="A30" s="3050"/>
      <c r="B30" s="3049"/>
      <c r="C30" s="1995" t="s">
        <v>1684</v>
      </c>
    </row>
    <row r="31" spans="1:3" ht="13.5">
      <c r="A31" s="3050"/>
      <c r="B31" s="3049"/>
      <c r="C31" s="1995" t="s">
        <v>1685</v>
      </c>
    </row>
    <row r="32" spans="1:3" ht="13.5">
      <c r="A32" s="3050"/>
      <c r="B32" s="3049"/>
      <c r="C32" s="1995" t="s">
        <v>1686</v>
      </c>
    </row>
    <row r="33" spans="1:3" ht="13.5">
      <c r="A33" s="3050"/>
      <c r="B33" s="3049"/>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44313</v>
      </c>
      <c r="C2" s="1018" t="s">
        <v>826</v>
      </c>
      <c r="D2" s="1018"/>
    </row>
    <row r="3" spans="1:6" ht="24" customHeight="1">
      <c r="A3" s="1019" t="s">
        <v>827</v>
      </c>
      <c r="B3" s="1020" t="s">
        <v>828</v>
      </c>
      <c r="C3" s="2337" t="s">
        <v>829</v>
      </c>
      <c r="D3" s="2340" t="s">
        <v>830</v>
      </c>
      <c r="E3" s="1021" t="s">
        <v>831</v>
      </c>
      <c r="F3" s="1020" t="s">
        <v>829</v>
      </c>
    </row>
    <row r="4" spans="1:6" ht="24" customHeight="1">
      <c r="A4" s="1697" t="s">
        <v>832</v>
      </c>
      <c r="B4" s="1021" t="str">
        <f ca="1">IF(C4&lt;B2,"已过期",1119970066)</f>
        <v>已过期</v>
      </c>
      <c r="C4" s="2338">
        <v>43849</v>
      </c>
      <c r="D4" s="2341" t="s">
        <v>832</v>
      </c>
      <c r="E4" s="1021">
        <f ca="1">IF(F4&lt;B2,"已过期",96010014)</f>
        <v>96010014</v>
      </c>
      <c r="F4" s="1029">
        <v>47118</v>
      </c>
    </row>
    <row r="5" spans="1:6" ht="24" customHeight="1">
      <c r="A5" s="1697" t="s">
        <v>833</v>
      </c>
      <c r="B5" s="1021" t="str">
        <f ca="1">IF(C5&lt;B2,"已过期",1119970074)</f>
        <v>已过期</v>
      </c>
      <c r="C5" s="2338">
        <v>43849</v>
      </c>
      <c r="D5" s="2341" t="s">
        <v>833</v>
      </c>
      <c r="E5" s="1021">
        <f ca="1">IF(F5&lt;B2,"已过期",2002110027)</f>
        <v>2002110027</v>
      </c>
      <c r="F5" s="1029">
        <v>46752</v>
      </c>
    </row>
    <row r="6" spans="1:6" ht="24" customHeight="1">
      <c r="A6" s="1697" t="s">
        <v>834</v>
      </c>
      <c r="B6" s="1021" t="str">
        <f ca="1">IF(C6&lt;B2,"已过期",1119970111)</f>
        <v>已过期</v>
      </c>
      <c r="C6" s="2338">
        <v>43849</v>
      </c>
      <c r="D6" s="2341" t="s">
        <v>834</v>
      </c>
      <c r="E6" s="1021">
        <f ca="1">IF(F6&lt;B2,"已过期",94010078)</f>
        <v>94010078</v>
      </c>
      <c r="F6" s="1029">
        <v>46387</v>
      </c>
    </row>
    <row r="7" spans="1:6" ht="24" customHeight="1">
      <c r="A7" s="1697" t="s">
        <v>835</v>
      </c>
      <c r="B7" s="1021">
        <f ca="1">IF(C7&lt;B2,"已过期",1120050019)</f>
        <v>1120050019</v>
      </c>
      <c r="C7" s="2338">
        <v>44395</v>
      </c>
      <c r="D7" s="2341" t="s">
        <v>835</v>
      </c>
      <c r="E7" s="1021">
        <f ca="1">IF(F7&lt;B2,"已过期",2002110030)</f>
        <v>2002110030</v>
      </c>
      <c r="F7" s="1029">
        <v>46387</v>
      </c>
    </row>
    <row r="8" spans="1:6" ht="24" customHeight="1">
      <c r="A8" s="1697" t="s">
        <v>836</v>
      </c>
      <c r="B8" s="1021" t="str">
        <f ca="1">IF(C8&lt;B2,"已过期",1120000080)</f>
        <v>已过期</v>
      </c>
      <c r="C8" s="2338">
        <v>43849</v>
      </c>
      <c r="D8" s="2341" t="s">
        <v>836</v>
      </c>
      <c r="E8" s="1021">
        <f ca="1">IF(F8&lt;B2,"已过期",2000110082)</f>
        <v>2000110082</v>
      </c>
      <c r="F8" s="1029">
        <v>46387</v>
      </c>
    </row>
    <row r="9" spans="1:6" ht="24" customHeight="1">
      <c r="A9" s="1697" t="s">
        <v>837</v>
      </c>
      <c r="B9" s="1021" t="str">
        <f ca="1">IF(C9&lt;B2,"已过期",1419970001)</f>
        <v>已过期</v>
      </c>
      <c r="C9" s="2338">
        <v>43867</v>
      </c>
      <c r="D9" s="2341" t="s">
        <v>837</v>
      </c>
      <c r="E9" s="1021">
        <f ca="1">IF(F9&lt;B2,"已过期",2002110125)</f>
        <v>2002110125</v>
      </c>
      <c r="F9" s="1029">
        <v>47118</v>
      </c>
    </row>
    <row r="10" spans="1:6" ht="24" customHeight="1">
      <c r="A10" s="1697" t="s">
        <v>838</v>
      </c>
      <c r="B10" s="1021" t="str">
        <f ca="1">IF(C10&lt;B2,"已过期",1120060040)</f>
        <v>已过期</v>
      </c>
      <c r="C10" s="2338">
        <v>43483</v>
      </c>
      <c r="D10" s="2341" t="s">
        <v>838</v>
      </c>
      <c r="E10" s="1021">
        <f ca="1">IF(F10&lt;B2,"已过期",2004110096)</f>
        <v>2004110096</v>
      </c>
      <c r="F10" s="1029">
        <v>47118</v>
      </c>
    </row>
    <row r="11" spans="1:6" ht="24" customHeight="1">
      <c r="A11" s="1697" t="s">
        <v>839</v>
      </c>
      <c r="B11" s="1021" t="str">
        <f ca="1">IF(C11&lt;B2,"已过期",1120100036)</f>
        <v>已过期</v>
      </c>
      <c r="C11" s="2338">
        <v>43622</v>
      </c>
      <c r="D11" s="2341" t="s">
        <v>839</v>
      </c>
      <c r="E11" s="1021">
        <f ca="1">IF(F11&lt;B2,"已过期",2010110070)</f>
        <v>2010110070</v>
      </c>
      <c r="F11" s="1029">
        <v>47907</v>
      </c>
    </row>
    <row r="12" spans="1:6" ht="24" customHeight="1">
      <c r="A12" s="1697" t="s">
        <v>3026</v>
      </c>
      <c r="B12" s="1021">
        <v>1120110054</v>
      </c>
      <c r="C12" s="2931">
        <v>43937</v>
      </c>
      <c r="D12" s="1697" t="s">
        <v>3026</v>
      </c>
      <c r="E12" s="1021">
        <v>2008110060</v>
      </c>
      <c r="F12" s="1029">
        <v>47177</v>
      </c>
    </row>
    <row r="13" spans="1:6" ht="24" customHeight="1">
      <c r="A13" s="1697" t="s">
        <v>840</v>
      </c>
      <c r="B13" s="1021" t="str">
        <f ca="1">IF(C13&lt;B2,"已过期",1120070131)</f>
        <v>已过期</v>
      </c>
      <c r="C13" s="2338">
        <v>43814</v>
      </c>
      <c r="D13" s="2341" t="s">
        <v>840</v>
      </c>
      <c r="E13" s="1021">
        <v>2014110011</v>
      </c>
      <c r="F13" s="1029">
        <v>49302</v>
      </c>
    </row>
    <row r="14" spans="1:6" ht="24" customHeight="1">
      <c r="A14" s="1697" t="s">
        <v>841</v>
      </c>
      <c r="B14" s="1021" t="str">
        <f ca="1">IF(C14&lt;B2,"已过期",1120130020)</f>
        <v>已过期</v>
      </c>
      <c r="C14" s="2338">
        <v>43622</v>
      </c>
      <c r="D14" s="2341"/>
      <c r="E14" s="1021"/>
      <c r="F14" s="1021"/>
    </row>
    <row r="15" spans="1:6" ht="24" customHeight="1">
      <c r="A15" s="1698" t="s">
        <v>1148</v>
      </c>
      <c r="B15" s="1021">
        <v>1120070085</v>
      </c>
      <c r="C15" s="2338">
        <v>43814</v>
      </c>
      <c r="D15" s="2342" t="s">
        <v>1148</v>
      </c>
      <c r="E15" s="1021">
        <v>2004110128</v>
      </c>
      <c r="F15" s="1022">
        <v>47118</v>
      </c>
    </row>
    <row r="16" spans="1:6" ht="24" customHeight="1">
      <c r="A16" s="1697" t="s">
        <v>842</v>
      </c>
      <c r="B16" s="1021" t="str">
        <f ca="1">IF(C16&lt;B2,"已过期",1120140022)</f>
        <v>已过期</v>
      </c>
      <c r="C16" s="2338">
        <v>44029</v>
      </c>
      <c r="D16" s="2341" t="s">
        <v>842</v>
      </c>
      <c r="E16" s="1021">
        <f ca="1">IF(F16&lt;B2,"已过期",2008110059)</f>
        <v>2008110059</v>
      </c>
      <c r="F16" s="1029">
        <v>47177</v>
      </c>
    </row>
    <row r="17" spans="1:7" ht="24" customHeight="1">
      <c r="A17" s="1697"/>
      <c r="B17" s="1021"/>
      <c r="C17" s="2338"/>
      <c r="D17" s="2341"/>
      <c r="E17" s="1021"/>
      <c r="F17" s="1029"/>
    </row>
    <row r="18" spans="1:7" ht="24" customHeight="1">
      <c r="A18" s="1697"/>
      <c r="B18" s="1021"/>
      <c r="C18" s="2338"/>
      <c r="D18" s="2341"/>
      <c r="E18" s="1021"/>
      <c r="F18" s="1029"/>
    </row>
    <row r="19" spans="1:7" ht="24" customHeight="1">
      <c r="A19" s="1697"/>
      <c r="B19" s="1021"/>
      <c r="C19" s="2338"/>
      <c r="D19" s="2341"/>
      <c r="E19" s="1021"/>
      <c r="F19" s="1021"/>
    </row>
    <row r="20" spans="1:7" ht="24" customHeight="1">
      <c r="A20" s="1697"/>
      <c r="B20" s="1021"/>
      <c r="C20" s="2338"/>
      <c r="D20" s="2341"/>
      <c r="E20" s="1021"/>
      <c r="F20" s="1021"/>
    </row>
    <row r="21" spans="1:7" ht="24" customHeight="1">
      <c r="A21" s="1697"/>
      <c r="B21" s="1021"/>
      <c r="C21" s="2338"/>
      <c r="D21" s="2341" t="s">
        <v>843</v>
      </c>
      <c r="E21" s="1021">
        <f ca="1">IF(F21&lt;B2,"已过期",2011110090)</f>
        <v>2011110090</v>
      </c>
      <c r="F21" s="1029">
        <v>48302</v>
      </c>
    </row>
    <row r="22" spans="1:7" ht="24" customHeight="1">
      <c r="A22" s="1697" t="s">
        <v>844</v>
      </c>
      <c r="B22" s="1021">
        <f ca="1">IF(C22&lt;B2,"已过期",1120020033)</f>
        <v>1120020033</v>
      </c>
      <c r="C22" s="2931">
        <v>44339</v>
      </c>
      <c r="D22" s="2341" t="s">
        <v>844</v>
      </c>
      <c r="E22" s="1021">
        <f ca="1">IF(F22&lt;B2,"已过期",2000110137)</f>
        <v>2000110137</v>
      </c>
      <c r="F22" s="1029">
        <v>46387</v>
      </c>
    </row>
    <row r="23" spans="1:7" ht="24" customHeight="1">
      <c r="A23" s="1697" t="s">
        <v>845</v>
      </c>
      <c r="B23" s="1021" t="str">
        <f ca="1">IF(C23&lt;B2,"已过期",1120130048)</f>
        <v>已过期</v>
      </c>
      <c r="C23" s="2338">
        <v>43686</v>
      </c>
      <c r="D23" s="2341"/>
      <c r="E23" s="1021"/>
      <c r="F23" s="1021"/>
    </row>
    <row r="24" spans="1:7" s="1023" customFormat="1" ht="24" customHeight="1">
      <c r="A24" s="1698" t="s">
        <v>1332</v>
      </c>
      <c r="B24" s="1698" t="s">
        <v>1332</v>
      </c>
      <c r="C24" s="2339" t="s">
        <v>1332</v>
      </c>
      <c r="D24" s="2342" t="s">
        <v>1332</v>
      </c>
      <c r="E24" s="1698" t="s">
        <v>1332</v>
      </c>
      <c r="F24" s="1698" t="s">
        <v>1332</v>
      </c>
    </row>
    <row r="25" spans="1:7" ht="24" customHeight="1">
      <c r="A25" s="3054" t="s">
        <v>846</v>
      </c>
      <c r="B25" s="3054"/>
      <c r="C25" s="3054"/>
      <c r="D25" s="3054"/>
      <c r="E25" s="3054"/>
      <c r="F25" s="3054"/>
      <c r="G25" s="3054"/>
    </row>
    <row r="26" spans="1:7" s="1024" customFormat="1" ht="24" customHeight="1">
      <c r="A26" s="3055" t="s">
        <v>847</v>
      </c>
      <c r="B26" s="3055"/>
      <c r="C26" s="3056"/>
      <c r="D26" s="3057" t="s">
        <v>848</v>
      </c>
      <c r="E26" s="3055"/>
      <c r="F26" s="3055"/>
    </row>
    <row r="27" spans="1:7" s="1026" customFormat="1" ht="24" customHeight="1">
      <c r="A27" s="1025" t="s">
        <v>849</v>
      </c>
      <c r="B27" s="1020" t="s">
        <v>850</v>
      </c>
      <c r="C27" s="2337" t="s">
        <v>851</v>
      </c>
      <c r="D27" s="2345" t="s">
        <v>849</v>
      </c>
      <c r="E27" s="1020" t="s">
        <v>850</v>
      </c>
      <c r="F27" s="1020" t="s">
        <v>851</v>
      </c>
    </row>
    <row r="28" spans="1:7" s="1026" customFormat="1" ht="24" customHeight="1">
      <c r="A28" s="1027" t="s">
        <v>852</v>
      </c>
      <c r="B28" s="1028" t="s">
        <v>853</v>
      </c>
      <c r="C28" s="2343">
        <v>43725</v>
      </c>
      <c r="D28" s="2346" t="s">
        <v>854</v>
      </c>
      <c r="E28" s="1027" t="s">
        <v>855</v>
      </c>
      <c r="F28" s="1056">
        <v>44377</v>
      </c>
    </row>
    <row r="29" spans="1:7" s="1026" customFormat="1" ht="24" customHeight="1">
      <c r="A29" s="1027"/>
      <c r="B29" s="1027"/>
      <c r="C29" s="2344"/>
      <c r="D29" s="2346"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(酒店净值2)</vt:lpstr>
      <vt:lpstr>土地比较法-住宅、综合</vt:lpstr>
      <vt:lpstr>土地案例</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2021-04-27T02:43:29Z</dcterms:modified>
</cp:coreProperties>
</file>